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comments5.xml" ContentType="application/vnd.openxmlformats-officedocument.spreadsheetml.comments+xml"/>
  <Override PartName="/xl/tables/table4.xml" ContentType="application/vnd.openxmlformats-officedocument.spreadsheetml.table+xml"/>
  <Override PartName="/xl/comments6.xml" ContentType="application/vnd.openxmlformats-officedocument.spreadsheetml.comments+xml"/>
  <Override PartName="/xl/tables/table5.xml" ContentType="application/vnd.openxmlformats-officedocument.spreadsheetml.table+xml"/>
  <Override PartName="/xl/comments7.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8.xml" ContentType="application/vnd.openxmlformats-officedocument.spreadsheetml.comments+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9.xml" ContentType="application/vnd.openxmlformats-officedocument.spreadsheetml.comments+xml"/>
  <Override PartName="/xl/tables/table12.xml" ContentType="application/vnd.openxmlformats-officedocument.spreadsheetml.table+xml"/>
  <Override PartName="/xl/comments10.xml" ContentType="application/vnd.openxmlformats-officedocument.spreadsheetml.comments+xml"/>
  <Override PartName="/xl/tables/table13.xml" ContentType="application/vnd.openxmlformats-officedocument.spreadsheetml.table+xml"/>
  <Override PartName="/xl/comments11.xml" ContentType="application/vnd.openxmlformats-officedocument.spreadsheetml.comments+xml"/>
  <Override PartName="/xl/tables/table14.xml" ContentType="application/vnd.openxmlformats-officedocument.spreadsheetml.table+xml"/>
  <Override PartName="/xl/comments12.xml" ContentType="application/vnd.openxmlformats-officedocument.spreadsheetml.comments+xml"/>
  <Override PartName="/xl/tables/table15.xml" ContentType="application/vnd.openxmlformats-officedocument.spreadsheetml.table+xml"/>
  <Override PartName="/xl/tables/table16.xml" ContentType="application/vnd.openxmlformats-officedocument.spreadsheetml.table+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filterPrivacy="1" defaultThemeVersion="124226"/>
  <xr:revisionPtr revIDLastSave="0" documentId="13_ncr:1_{30012CC8-0450-432A-ABCA-3C6AB6501CE2}" xr6:coauthVersionLast="36" xr6:coauthVersionMax="36" xr10:uidLastSave="{00000000-0000-0000-0000-000000000000}"/>
  <bookViews>
    <workbookView xWindow="240" yWindow="165" windowWidth="14805" windowHeight="7950" tabRatio="775" xr2:uid="{00000000-000D-0000-FFFF-FFFF00000000}"/>
  </bookViews>
  <sheets>
    <sheet name="Disclaimer and description" sheetId="72" r:id="rId1"/>
    <sheet name="General variables" sheetId="3" r:id="rId2"/>
    <sheet name="BC performance summary" sheetId="7" r:id="rId3"/>
    <sheet name="BC Materials BOQ" sheetId="73" r:id="rId4"/>
    <sheet name="BC Assemblies BOQ" sheetId="5" r:id="rId5"/>
    <sheet name="Emissions factors calculation" sheetId="62" r:id="rId6"/>
    <sheet name="Annual Calculations" sheetId="28" r:id="rId7"/>
    <sheet name="NPV Calculation" sheetId="29" r:id="rId8"/>
    <sheet name="NPV Calculation low" sheetId="56" r:id="rId9"/>
    <sheet name="NPV Calculation high" sheetId="57" r:id="rId10"/>
    <sheet name="SOLAR_COLL" sheetId="12" r:id="rId11"/>
    <sheet name="LED" sheetId="13" r:id="rId12"/>
    <sheet name="EFF_APP" sheetId="14" r:id="rId13"/>
    <sheet name="EFF_AC" sheetId="15" r:id="rId14"/>
    <sheet name="INSUL+" sheetId="16" r:id="rId15"/>
    <sheet name="PV" sheetId="22" r:id="rId16"/>
    <sheet name="ALL_OPE" sheetId="17" state="hidden" r:id="rId17"/>
    <sheet name="ALL_PV" sheetId="27" state="hidden" r:id="rId18"/>
    <sheet name="South_Facade_PV" sheetId="44" r:id="rId19"/>
    <sheet name="South_Facade_PV_5S" sheetId="52" r:id="rId20"/>
    <sheet name="South_Facade_PV_10S" sheetId="53" r:id="rId21"/>
    <sheet name="STAMPED_CONC" sheetId="41" r:id="rId22"/>
    <sheet name="PART_WALL" sheetId="42" r:id="rId23"/>
    <sheet name="ATR_WALL" sheetId="43" r:id="rId24"/>
    <sheet name="AC_HEATING" sheetId="45" r:id="rId25"/>
    <sheet name="NZLCPEGHGB" sheetId="40" r:id="rId26"/>
    <sheet name="NZLCPEGHGB SUMMARY" sheetId="60" r:id="rId27"/>
    <sheet name="Sensitivity Analysis" sheetId="58" r:id="rId28"/>
    <sheet name="Results" sheetId="47" r:id="rId29"/>
    <sheet name="IEE REE LCEE intensities" sheetId="71" r:id="rId30"/>
  </sheets>
  <definedNames>
    <definedName name="NPV_ALL_EE" localSheetId="9">'NPV Calculation high'!#REF!</definedName>
    <definedName name="NPV_ALL_EE" localSheetId="8">'NPV Calculation low'!#REF!</definedName>
    <definedName name="NPV_ALL_EE">'NPV Calculation'!#REF!</definedName>
    <definedName name="NPV_ALL_NO_PV" localSheetId="9">'NPV Calculation high'!#REF!</definedName>
    <definedName name="NPV_ALL_NO_PV" localSheetId="8">'NPV Calculation low'!#REF!</definedName>
    <definedName name="NPV_ALL_NO_PV">'NPV Calculation'!#REF!</definedName>
    <definedName name="NPV_ALL_OPE" localSheetId="9">'NPV Calculation high'!#REF!</definedName>
    <definedName name="NPV_ALL_OPE" localSheetId="8">'NPV Calculation low'!#REF!</definedName>
    <definedName name="NPV_ALL_OPE">'NPV Calculation'!#REF!</definedName>
    <definedName name="NPV_ALL_OPE_NO_PV" localSheetId="9">'NPV Calculation high'!#REF!</definedName>
    <definedName name="NPV_ALL_OPE_NO_PV" localSheetId="8">'NPV Calculation low'!#REF!</definedName>
    <definedName name="NPV_ALL_OPE_NO_PV">'NPV Calculation'!#REF!</definedName>
    <definedName name="NPV_ALL_OPTIMUM" localSheetId="9">'NPV Calculation high'!#REF!</definedName>
    <definedName name="NPV_ALL_OPTIMUM" localSheetId="8">'NPV Calculation low'!#REF!</definedName>
    <definedName name="NPV_ALL_OPTIMUM">'NPV Calculation'!#REF!</definedName>
    <definedName name="NPV_ALL_OPTIUMUM" localSheetId="9">'NPV Calculation high'!#REF!</definedName>
    <definedName name="NPV_ALL_OPTIUMUM" localSheetId="8">'NPV Calculation low'!#REF!</definedName>
    <definedName name="NPV_ALL_OPTIUMUM">'NPV Calculation'!#REF!</definedName>
    <definedName name="NPV_ALL_PV" localSheetId="9">'NPV Calculation high'!#REF!</definedName>
    <definedName name="NPV_ALL_PV" localSheetId="8">'NPV Calculation low'!#REF!</definedName>
    <definedName name="NPV_ALL_PV">'NPV Calculation'!#REF!</definedName>
    <definedName name="NPV_ALL_TE" localSheetId="9">'NPV Calculation high'!#REF!</definedName>
    <definedName name="NPV_ALL_TE" localSheetId="8">'NPV Calculation low'!#REF!</definedName>
    <definedName name="NPV_ALL_TE">'NPV Calculation'!#REF!</definedName>
    <definedName name="NPV_ALL_TE_NO_HYB" localSheetId="9">'NPV Calculation high'!#REF!</definedName>
    <definedName name="NPV_ALL_TE_NO_HYB" localSheetId="8">'NPV Calculation low'!#REF!</definedName>
    <definedName name="NPV_ALL_TE_NO_HYB">'NPV Calculation'!#REF!</definedName>
    <definedName name="NPV_CAR_POOL" localSheetId="9">'NPV Calculation high'!#REF!</definedName>
    <definedName name="NPV_CAR_POOL" localSheetId="8">'NPV Calculation low'!#REF!</definedName>
    <definedName name="NPV_CAR_POOL">'NPV Calculation'!#REF!</definedName>
    <definedName name="NPV_EFF_AC" localSheetId="9">'NPV Calculation high'!#REF!</definedName>
    <definedName name="NPV_EFF_AC" localSheetId="8">'NPV Calculation low'!#REF!</definedName>
    <definedName name="NPV_EFF_AC">'NPV Calculation'!#REF!</definedName>
    <definedName name="NPV_EFF_APP" localSheetId="9">'NPV Calculation high'!#REF!</definedName>
    <definedName name="NPV_EFF_APP" localSheetId="8">'NPV Calculation low'!#REF!</definedName>
    <definedName name="NPV_EFF_APP">'NPV Calculation'!#REF!</definedName>
    <definedName name="NPV_EPS_FILL" localSheetId="9">'NPV Calculation high'!#REF!</definedName>
    <definedName name="NPV_EPS_FILL" localSheetId="8">'NPV Calculation low'!#REF!</definedName>
    <definedName name="NPV_EPS_FILL">'NPV Calculation'!#REF!</definedName>
    <definedName name="NPV_H_CARS" localSheetId="9">'NPV Calculation high'!#REF!</definedName>
    <definedName name="NPV_H_CARS" localSheetId="8">'NPV Calculation low'!#REF!</definedName>
    <definedName name="NPV_H_CARS">'NPV Calculation'!#REF!</definedName>
    <definedName name="NPV_INSUL" localSheetId="9">'NPV Calculation high'!#REF!</definedName>
    <definedName name="NPV_INSUL" localSheetId="8">'NPV Calculation low'!#REF!</definedName>
    <definedName name="NPV_INSUL">'NPV Calculation'!#REF!</definedName>
    <definedName name="NPV_LED" localSheetId="9">'NPV Calculation high'!#REF!</definedName>
    <definedName name="NPV_LED" localSheetId="8">'NPV Calculation low'!#REF!</definedName>
    <definedName name="NPV_LED">'NPV Calculation'!#REF!</definedName>
    <definedName name="NPV_PREFAB_RIBS" localSheetId="9">'NPV Calculation high'!#REF!</definedName>
    <definedName name="NPV_PREFAB_RIBS" localSheetId="8">'NPV Calculation low'!#REF!</definedName>
    <definedName name="NPV_PREFAB_RIBS">'NPV Calculation'!#REF!</definedName>
    <definedName name="NPV_PV_1kWp" localSheetId="9">'NPV Calculation high'!#REF!</definedName>
    <definedName name="NPV_PV_1kWp" localSheetId="8">'NPV Calculation low'!#REF!</definedName>
    <definedName name="NPV_PV_1kWp">'NPV Calculation'!#REF!</definedName>
    <definedName name="NPV_PV_3kWp" localSheetId="9">'NPV Calculation high'!#REF!</definedName>
    <definedName name="NPV_PV_3kWp" localSheetId="8">'NPV Calculation low'!#REF!</definedName>
    <definedName name="NPV_PV_3kWp">'NPV Calculation'!#REF!</definedName>
    <definedName name="NPV_PV_3kWp_NO_BAT" localSheetId="9">'NPV Calculation high'!#REF!</definedName>
    <definedName name="NPV_PV_3kWp_NO_BAT" localSheetId="8">'NPV Calculation low'!#REF!</definedName>
    <definedName name="NPV_PV_3kWp_NO_BAT">'NPV Calculation'!#REF!</definedName>
    <definedName name="NPV_SOLAR_COLL" localSheetId="9">'NPV Calculation high'!#REF!</definedName>
    <definedName name="NPV_SOLAR_COLL" localSheetId="8">'NPV Calculation low'!#REF!</definedName>
    <definedName name="NPV_SOLAR_COLL">'NPV Calculation'!#REF!</definedName>
    <definedName name="NPV_TD_10" localSheetId="9">'NPV Calculation high'!#REF!</definedName>
    <definedName name="NPV_TD_10" localSheetId="8">'NPV Calculation low'!#REF!</definedName>
    <definedName name="NPV_TD_10">'NPV Calculation'!#REF!</definedName>
    <definedName name="NPV_TD_15" localSheetId="9">'NPV Calculation high'!#REF!</definedName>
    <definedName name="NPV_TD_15" localSheetId="8">'NPV Calculation low'!#REF!</definedName>
    <definedName name="NPV_TD_15">'NPV Calculation'!#REF!</definedName>
    <definedName name="NPV_TD_20" localSheetId="9">'NPV Calculation high'!#REF!</definedName>
    <definedName name="NPV_TD_20" localSheetId="8">'NPV Calculation low'!#REF!</definedName>
    <definedName name="NPV_TD_20">'NPV Calculation'!#REF!</definedName>
    <definedName name="NPV_TD_30" localSheetId="9">'NPV Calculation high'!#REF!</definedName>
    <definedName name="NPV_TD_30" localSheetId="8">'NPV Calculation low'!#REF!</definedName>
    <definedName name="NPV_TD_30">'NPV Calculation'!#REF!</definedName>
    <definedName name="NPV_TD_40" localSheetId="9">'NPV Calculation high'!#REF!</definedName>
    <definedName name="NPV_TD_40" localSheetId="8">'NPV Calculation low'!#REF!</definedName>
    <definedName name="NPV_TD_40">'NPV Calculation'!#REF!</definedName>
    <definedName name="solver_adj" localSheetId="7" hidden="1">'NPV Calculation'!$C$2</definedName>
    <definedName name="solver_adj" localSheetId="9" hidden="1">'NPV Calculation high'!$C$2</definedName>
    <definedName name="solver_adj" localSheetId="8" hidden="1">'NPV Calculation low'!$C$2</definedName>
    <definedName name="solver_cvg" localSheetId="7" hidden="1">0.0001</definedName>
    <definedName name="solver_cvg" localSheetId="9" hidden="1">0.0001</definedName>
    <definedName name="solver_cvg" localSheetId="8" hidden="1">0.0001</definedName>
    <definedName name="solver_drv" localSheetId="7" hidden="1">1</definedName>
    <definedName name="solver_drv" localSheetId="9" hidden="1">1</definedName>
    <definedName name="solver_drv" localSheetId="8" hidden="1">1</definedName>
    <definedName name="solver_est" localSheetId="7" hidden="1">1</definedName>
    <definedName name="solver_est" localSheetId="9" hidden="1">1</definedName>
    <definedName name="solver_est" localSheetId="8" hidden="1">1</definedName>
    <definedName name="solver_itr" localSheetId="7" hidden="1">100</definedName>
    <definedName name="solver_itr" localSheetId="9" hidden="1">100</definedName>
    <definedName name="solver_itr" localSheetId="8" hidden="1">100</definedName>
    <definedName name="solver_lin" localSheetId="7" hidden="1">2</definedName>
    <definedName name="solver_lin" localSheetId="9" hidden="1">2</definedName>
    <definedName name="solver_lin" localSheetId="8" hidden="1">2</definedName>
    <definedName name="solver_neg" localSheetId="7" hidden="1">2</definedName>
    <definedName name="solver_neg" localSheetId="9" hidden="1">2</definedName>
    <definedName name="solver_neg" localSheetId="8" hidden="1">2</definedName>
    <definedName name="solver_num" localSheetId="7" hidden="1">0</definedName>
    <definedName name="solver_num" localSheetId="9" hidden="1">0</definedName>
    <definedName name="solver_num" localSheetId="8" hidden="1">0</definedName>
    <definedName name="solver_nwt" localSheetId="7" hidden="1">1</definedName>
    <definedName name="solver_nwt" localSheetId="9" hidden="1">1</definedName>
    <definedName name="solver_nwt" localSheetId="8" hidden="1">1</definedName>
    <definedName name="solver_opt" localSheetId="7" hidden="1">'NPV Calculation'!#REF!</definedName>
    <definedName name="solver_opt" localSheetId="9" hidden="1">'NPV Calculation high'!#REF!</definedName>
    <definedName name="solver_opt" localSheetId="8" hidden="1">'NPV Calculation low'!#REF!</definedName>
    <definedName name="solver_pre" localSheetId="7" hidden="1">0.000001</definedName>
    <definedName name="solver_pre" localSheetId="9" hidden="1">0.000001</definedName>
    <definedName name="solver_pre" localSheetId="8" hidden="1">0.000001</definedName>
    <definedName name="solver_scl" localSheetId="7" hidden="1">2</definedName>
    <definedName name="solver_scl" localSheetId="9" hidden="1">2</definedName>
    <definedName name="solver_scl" localSheetId="8" hidden="1">2</definedName>
    <definedName name="solver_sho" localSheetId="7" hidden="1">2</definedName>
    <definedName name="solver_sho" localSheetId="9" hidden="1">2</definedName>
    <definedName name="solver_sho" localSheetId="8" hidden="1">2</definedName>
    <definedName name="solver_tim" localSheetId="7" hidden="1">100</definedName>
    <definedName name="solver_tim" localSheetId="9" hidden="1">100</definedName>
    <definedName name="solver_tim" localSheetId="8" hidden="1">100</definedName>
    <definedName name="solver_tol" localSheetId="7" hidden="1">0.05</definedName>
    <definedName name="solver_tol" localSheetId="9" hidden="1">0.05</definedName>
    <definedName name="solver_tol" localSheetId="8" hidden="1">0.05</definedName>
    <definedName name="solver_typ" localSheetId="7" hidden="1">3</definedName>
    <definedName name="solver_typ" localSheetId="9" hidden="1">3</definedName>
    <definedName name="solver_typ" localSheetId="8" hidden="1">3</definedName>
    <definedName name="solver_val" localSheetId="7" hidden="1">0</definedName>
    <definedName name="solver_val" localSheetId="9" hidden="1">0</definedName>
    <definedName name="solver_val" localSheetId="8" hidden="1">0</definedName>
  </definedNames>
  <calcPr calcId="191029"/>
</workbook>
</file>

<file path=xl/calcChain.xml><?xml version="1.0" encoding="utf-8"?>
<calcChain xmlns="http://schemas.openxmlformats.org/spreadsheetml/2006/main">
  <c r="O12" i="58" l="1"/>
  <c r="L6" i="16" l="1"/>
  <c r="BB25" i="29" l="1"/>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E25"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E24" i="29"/>
  <c r="BB17" i="29"/>
  <c r="BA17" i="29"/>
  <c r="AZ17" i="29"/>
  <c r="AY17" i="29"/>
  <c r="AX17" i="29"/>
  <c r="AW17" i="29"/>
  <c r="AV17"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E17" i="29"/>
  <c r="BB16" i="29"/>
  <c r="BA16" i="29"/>
  <c r="AZ16" i="29"/>
  <c r="AY16" i="29"/>
  <c r="AX16" i="29"/>
  <c r="AW16" i="29"/>
  <c r="AV16"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E16"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E9" i="29"/>
  <c r="BB8" i="29"/>
  <c r="BA8" i="29"/>
  <c r="AZ8" i="29"/>
  <c r="AY8" i="29"/>
  <c r="AX8" i="29"/>
  <c r="AW8" i="29"/>
  <c r="AV8" i="29"/>
  <c r="AU8" i="29"/>
  <c r="AT8" i="29"/>
  <c r="AS8" i="29"/>
  <c r="AR8" i="29"/>
  <c r="AQ8" i="29"/>
  <c r="AP8" i="29"/>
  <c r="AO8" i="29"/>
  <c r="AN8" i="29"/>
  <c r="AM8" i="29"/>
  <c r="AL8" i="29"/>
  <c r="AK8" i="29"/>
  <c r="AJ8" i="29"/>
  <c r="AI8" i="29"/>
  <c r="AH8" i="29"/>
  <c r="AG8"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E8" i="29"/>
  <c r="E166" i="57" l="1"/>
  <c r="F166" i="57"/>
  <c r="G166" i="57"/>
  <c r="H166" i="57"/>
  <c r="J166" i="57"/>
  <c r="K166" i="57"/>
  <c r="L166" i="57"/>
  <c r="M166" i="57"/>
  <c r="O166" i="57"/>
  <c r="P166" i="57"/>
  <c r="Q166" i="57"/>
  <c r="R166" i="57"/>
  <c r="U166" i="57"/>
  <c r="V166" i="57"/>
  <c r="W166" i="57"/>
  <c r="Y166" i="57"/>
  <c r="Z166" i="57"/>
  <c r="AA166" i="57"/>
  <c r="AB166" i="57"/>
  <c r="AD166" i="57"/>
  <c r="AE166" i="57"/>
  <c r="AF166" i="57"/>
  <c r="AG166" i="57"/>
  <c r="AI166" i="57"/>
  <c r="AK166" i="57"/>
  <c r="AL166" i="57"/>
  <c r="AN166" i="57"/>
  <c r="AO166" i="57"/>
  <c r="AP166" i="57"/>
  <c r="AQ166" i="57"/>
  <c r="AS166" i="57"/>
  <c r="AT166" i="57"/>
  <c r="AU166" i="57"/>
  <c r="AV166" i="57"/>
  <c r="AX166" i="57"/>
  <c r="AY166" i="57"/>
  <c r="AZ166" i="57"/>
  <c r="BA166" i="57"/>
  <c r="BB170" i="57"/>
  <c r="BA170" i="57"/>
  <c r="AZ170" i="57"/>
  <c r="AY170" i="57"/>
  <c r="AX170" i="57"/>
  <c r="AW170" i="57"/>
  <c r="AV170" i="57"/>
  <c r="AU170" i="57"/>
  <c r="AT170" i="57"/>
  <c r="AS170" i="57"/>
  <c r="AR170" i="57"/>
  <c r="AQ170" i="57"/>
  <c r="AP170" i="57"/>
  <c r="AO170" i="57"/>
  <c r="AN170" i="57"/>
  <c r="AM170" i="57"/>
  <c r="AL170" i="57"/>
  <c r="AK170" i="57"/>
  <c r="AJ170" i="57"/>
  <c r="AI170" i="57"/>
  <c r="AH170" i="57"/>
  <c r="AG170" i="57"/>
  <c r="AF170" i="57"/>
  <c r="AE170" i="57"/>
  <c r="AD170" i="57"/>
  <c r="AC170" i="57"/>
  <c r="AB170" i="57"/>
  <c r="AA170" i="57"/>
  <c r="Z170" i="57"/>
  <c r="Y170" i="57"/>
  <c r="X170" i="57"/>
  <c r="W170" i="57"/>
  <c r="V170" i="57"/>
  <c r="U170" i="57"/>
  <c r="T170" i="57"/>
  <c r="S170" i="57"/>
  <c r="R170" i="57"/>
  <c r="Q170" i="57"/>
  <c r="P170" i="57"/>
  <c r="O170" i="57"/>
  <c r="N170" i="57"/>
  <c r="M170" i="57"/>
  <c r="L170" i="57"/>
  <c r="K170" i="57"/>
  <c r="J170" i="57"/>
  <c r="I170" i="57"/>
  <c r="H170" i="57"/>
  <c r="G170" i="57"/>
  <c r="F170" i="57"/>
  <c r="E170" i="57"/>
  <c r="D170" i="57"/>
  <c r="E158" i="56"/>
  <c r="F158" i="56"/>
  <c r="G158" i="56"/>
  <c r="H158" i="56"/>
  <c r="J158" i="56"/>
  <c r="K158" i="56"/>
  <c r="L158" i="56"/>
  <c r="M158" i="56"/>
  <c r="O158" i="56"/>
  <c r="P158" i="56"/>
  <c r="Q158" i="56"/>
  <c r="R158" i="56"/>
  <c r="U158" i="56"/>
  <c r="V158" i="56"/>
  <c r="W158" i="56"/>
  <c r="Y158" i="56"/>
  <c r="Z158" i="56"/>
  <c r="AA158" i="56"/>
  <c r="AB158" i="56"/>
  <c r="AD158" i="56"/>
  <c r="AE158" i="56"/>
  <c r="AF158" i="56"/>
  <c r="AG158" i="56"/>
  <c r="AI158" i="56"/>
  <c r="AK158" i="56"/>
  <c r="AL158" i="56"/>
  <c r="AN158" i="56"/>
  <c r="AO158" i="56"/>
  <c r="AP158" i="56"/>
  <c r="AQ158" i="56"/>
  <c r="AS158" i="56"/>
  <c r="AT158" i="56"/>
  <c r="AU158" i="56"/>
  <c r="AV158" i="56"/>
  <c r="AX158" i="56"/>
  <c r="AY158" i="56"/>
  <c r="AZ158" i="56"/>
  <c r="BA158" i="56"/>
  <c r="BB162" i="56"/>
  <c r="BA162" i="56"/>
  <c r="AZ162" i="56"/>
  <c r="AY162" i="56"/>
  <c r="AX162" i="56"/>
  <c r="AW162" i="56"/>
  <c r="AV162" i="56"/>
  <c r="AU162" i="56"/>
  <c r="AT162" i="56"/>
  <c r="AS162" i="56"/>
  <c r="AR162" i="56"/>
  <c r="AQ162" i="56"/>
  <c r="AP162" i="56"/>
  <c r="AO162" i="56"/>
  <c r="AN162" i="56"/>
  <c r="AM162" i="56"/>
  <c r="AL162" i="56"/>
  <c r="AK162" i="56"/>
  <c r="AJ162" i="56"/>
  <c r="AI162" i="56"/>
  <c r="AH162" i="56"/>
  <c r="AG162" i="56"/>
  <c r="AF162" i="56"/>
  <c r="AE162" i="56"/>
  <c r="AD162" i="56"/>
  <c r="AC162" i="56"/>
  <c r="AB162" i="56"/>
  <c r="AA162" i="56"/>
  <c r="Z162" i="56"/>
  <c r="Y162" i="56"/>
  <c r="X162" i="56"/>
  <c r="W162" i="56"/>
  <c r="V162" i="56"/>
  <c r="U162" i="56"/>
  <c r="T162" i="56"/>
  <c r="S162" i="56"/>
  <c r="R162" i="56"/>
  <c r="Q162" i="56"/>
  <c r="P162" i="56"/>
  <c r="O162" i="56"/>
  <c r="N162" i="56"/>
  <c r="M162" i="56"/>
  <c r="L162" i="56"/>
  <c r="K162" i="56"/>
  <c r="J162" i="56"/>
  <c r="I162" i="56"/>
  <c r="H162" i="56"/>
  <c r="G162" i="56"/>
  <c r="F162" i="56"/>
  <c r="E162" i="56"/>
  <c r="D162" i="56"/>
  <c r="E180" i="29"/>
  <c r="F180" i="29"/>
  <c r="G180" i="29"/>
  <c r="H180" i="29"/>
  <c r="J180" i="29"/>
  <c r="K180" i="29"/>
  <c r="L180" i="29"/>
  <c r="L189" i="29" s="1"/>
  <c r="M180" i="29"/>
  <c r="O180" i="29"/>
  <c r="P180" i="29"/>
  <c r="Q180" i="29"/>
  <c r="Q189" i="29" s="1"/>
  <c r="R180" i="29"/>
  <c r="U180" i="29"/>
  <c r="V180" i="29"/>
  <c r="W180" i="29"/>
  <c r="Y180" i="29"/>
  <c r="Z180" i="29"/>
  <c r="AA180" i="29"/>
  <c r="AB180" i="29"/>
  <c r="AD180" i="29"/>
  <c r="AE180" i="29"/>
  <c r="AF180" i="29"/>
  <c r="AG180" i="29"/>
  <c r="AI180" i="29"/>
  <c r="AK180" i="29"/>
  <c r="AL180" i="29"/>
  <c r="AN180" i="29"/>
  <c r="AO180" i="29"/>
  <c r="AP180" i="29"/>
  <c r="AQ180" i="29"/>
  <c r="AS180" i="29"/>
  <c r="AT180" i="29"/>
  <c r="AU180" i="29"/>
  <c r="AV180" i="29"/>
  <c r="AX180" i="29"/>
  <c r="AY180" i="29"/>
  <c r="AZ180" i="29"/>
  <c r="AZ189" i="29" s="1"/>
  <c r="BA180"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BB91" i="57"/>
  <c r="BA91" i="57"/>
  <c r="AZ91" i="57"/>
  <c r="AY91" i="57"/>
  <c r="AX91" i="57"/>
  <c r="AW91" i="57"/>
  <c r="AV91" i="57"/>
  <c r="AU91" i="57"/>
  <c r="AT91" i="57"/>
  <c r="AS91" i="57"/>
  <c r="AR91" i="57"/>
  <c r="AQ91" i="57"/>
  <c r="AP91" i="57"/>
  <c r="AO91" i="57"/>
  <c r="AN91" i="57"/>
  <c r="AM91" i="57"/>
  <c r="AL91" i="57"/>
  <c r="AK91" i="57"/>
  <c r="AJ91" i="57"/>
  <c r="AI91" i="57"/>
  <c r="AH91" i="57"/>
  <c r="AG91" i="57"/>
  <c r="AF91" i="57"/>
  <c r="AE91" i="57"/>
  <c r="AD91" i="57"/>
  <c r="AC91" i="57"/>
  <c r="AB91" i="57"/>
  <c r="AA91" i="57"/>
  <c r="Z91" i="57"/>
  <c r="Y91" i="57"/>
  <c r="X91" i="57"/>
  <c r="W91" i="57"/>
  <c r="V91" i="57"/>
  <c r="U91" i="57"/>
  <c r="T91" i="57"/>
  <c r="S91" i="57"/>
  <c r="R91" i="57"/>
  <c r="Q91" i="57"/>
  <c r="P91" i="57"/>
  <c r="O91" i="57"/>
  <c r="N91" i="57"/>
  <c r="M91" i="57"/>
  <c r="L91" i="57"/>
  <c r="K91" i="57"/>
  <c r="J91" i="57"/>
  <c r="I91" i="57"/>
  <c r="H91" i="57"/>
  <c r="G91" i="57"/>
  <c r="F91" i="57"/>
  <c r="E91" i="57"/>
  <c r="D91" i="57"/>
  <c r="BB59" i="57"/>
  <c r="BA59" i="57"/>
  <c r="AZ59" i="57"/>
  <c r="AY59" i="57"/>
  <c r="AX59" i="57"/>
  <c r="AW59" i="57"/>
  <c r="AV59" i="57"/>
  <c r="AU59" i="57"/>
  <c r="AT59" i="57"/>
  <c r="AS59" i="57"/>
  <c r="AR59" i="57"/>
  <c r="AQ59" i="57"/>
  <c r="AP59" i="57"/>
  <c r="AO59" i="57"/>
  <c r="AN59" i="57"/>
  <c r="AM59" i="57"/>
  <c r="AL59" i="57"/>
  <c r="AK59" i="57"/>
  <c r="AJ59" i="57"/>
  <c r="AI59" i="57"/>
  <c r="AH59" i="57"/>
  <c r="AG59" i="57"/>
  <c r="AF59" i="57"/>
  <c r="AE59" i="57"/>
  <c r="AD59" i="57"/>
  <c r="AC59" i="57"/>
  <c r="AB59" i="57"/>
  <c r="AA59" i="57"/>
  <c r="Z59" i="57"/>
  <c r="Y59" i="57"/>
  <c r="X59" i="57"/>
  <c r="W59" i="57"/>
  <c r="V59" i="57"/>
  <c r="U59" i="57"/>
  <c r="T59" i="57"/>
  <c r="S59" i="57"/>
  <c r="R59" i="57"/>
  <c r="Q59" i="57"/>
  <c r="P59" i="57"/>
  <c r="O59" i="57"/>
  <c r="N59" i="57"/>
  <c r="M59" i="57"/>
  <c r="L59" i="57"/>
  <c r="K59" i="57"/>
  <c r="J59" i="57"/>
  <c r="I59" i="57"/>
  <c r="H59" i="57"/>
  <c r="G59" i="57"/>
  <c r="F59" i="57"/>
  <c r="E59" i="57"/>
  <c r="D59" i="57"/>
  <c r="BB91" i="56"/>
  <c r="BA91" i="56"/>
  <c r="AZ91" i="56"/>
  <c r="AY91" i="56"/>
  <c r="AX91" i="56"/>
  <c r="AW91" i="56"/>
  <c r="AV91" i="56"/>
  <c r="AU91" i="56"/>
  <c r="AT91" i="56"/>
  <c r="AS91" i="56"/>
  <c r="AR91" i="56"/>
  <c r="AQ91" i="56"/>
  <c r="AP91" i="56"/>
  <c r="AO91" i="56"/>
  <c r="AN91" i="56"/>
  <c r="AM91" i="56"/>
  <c r="AL91" i="56"/>
  <c r="AK91" i="56"/>
  <c r="AJ91" i="56"/>
  <c r="AI91" i="56"/>
  <c r="AH91" i="56"/>
  <c r="AG91" i="56"/>
  <c r="AF91" i="56"/>
  <c r="AE91" i="56"/>
  <c r="AD91" i="56"/>
  <c r="AC91" i="56"/>
  <c r="AB91" i="56"/>
  <c r="AA91" i="56"/>
  <c r="Z91" i="56"/>
  <c r="Y91" i="56"/>
  <c r="X91" i="56"/>
  <c r="W91" i="56"/>
  <c r="V91" i="56"/>
  <c r="U91" i="56"/>
  <c r="T91" i="56"/>
  <c r="S91" i="56"/>
  <c r="R91" i="56"/>
  <c r="Q91" i="56"/>
  <c r="P91" i="56"/>
  <c r="O91" i="56"/>
  <c r="N91" i="56"/>
  <c r="M91" i="56"/>
  <c r="L91" i="56"/>
  <c r="K91" i="56"/>
  <c r="J91" i="56"/>
  <c r="I91" i="56"/>
  <c r="H91" i="56"/>
  <c r="G91" i="56"/>
  <c r="F91" i="56"/>
  <c r="E91" i="56"/>
  <c r="D91" i="56"/>
  <c r="BB59" i="56"/>
  <c r="BA59" i="56"/>
  <c r="AZ59" i="56"/>
  <c r="AY59" i="56"/>
  <c r="AX59" i="56"/>
  <c r="AW59" i="56"/>
  <c r="AV59" i="56"/>
  <c r="AU59" i="56"/>
  <c r="AT59" i="56"/>
  <c r="AS59" i="56"/>
  <c r="AR59" i="56"/>
  <c r="AQ59" i="56"/>
  <c r="AP59" i="56"/>
  <c r="AO59" i="56"/>
  <c r="AN59" i="56"/>
  <c r="AM59" i="56"/>
  <c r="AL59" i="56"/>
  <c r="AK59" i="56"/>
  <c r="AJ59" i="56"/>
  <c r="AI59" i="56"/>
  <c r="AH59" i="56"/>
  <c r="AG59" i="56"/>
  <c r="AF59" i="56"/>
  <c r="AE59" i="56"/>
  <c r="AD59" i="56"/>
  <c r="AC59" i="56"/>
  <c r="AB59" i="56"/>
  <c r="AA59" i="56"/>
  <c r="Z59" i="56"/>
  <c r="Y59" i="56"/>
  <c r="X59" i="56"/>
  <c r="W59" i="56"/>
  <c r="V59" i="56"/>
  <c r="U59" i="56"/>
  <c r="T59" i="56"/>
  <c r="S59" i="56"/>
  <c r="R59" i="56"/>
  <c r="Q59" i="56"/>
  <c r="P59" i="56"/>
  <c r="O59" i="56"/>
  <c r="N59" i="56"/>
  <c r="M59" i="56"/>
  <c r="L59" i="56"/>
  <c r="K59" i="56"/>
  <c r="J59" i="56"/>
  <c r="I59" i="56"/>
  <c r="H59" i="56"/>
  <c r="G59" i="56"/>
  <c r="F59" i="56"/>
  <c r="E59" i="56"/>
  <c r="D59" i="56"/>
  <c r="B34" i="44"/>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B79" i="22"/>
  <c r="AY189" i="29" l="1"/>
  <c r="AD189" i="29"/>
  <c r="H189" i="29"/>
  <c r="AX189" i="29"/>
  <c r="AB189" i="29"/>
  <c r="G189" i="29"/>
  <c r="AV189" i="29"/>
  <c r="F189" i="29"/>
  <c r="AS189" i="29"/>
  <c r="V189" i="29"/>
  <c r="AI189" i="29"/>
  <c r="M189" i="29"/>
  <c r="AG189" i="29"/>
  <c r="AA189" i="29"/>
  <c r="AU189" i="29"/>
  <c r="Z189" i="29"/>
  <c r="E189" i="29"/>
  <c r="AT189" i="29"/>
  <c r="Y189" i="29"/>
  <c r="W189" i="29"/>
  <c r="AQ189" i="29"/>
  <c r="AP189" i="29"/>
  <c r="U189" i="29"/>
  <c r="AO189" i="29"/>
  <c r="R189" i="29"/>
  <c r="AN189" i="29"/>
  <c r="AL189" i="29"/>
  <c r="P189" i="29"/>
  <c r="AK189" i="29"/>
  <c r="O189" i="29"/>
  <c r="BA189" i="29"/>
  <c r="AF189" i="29"/>
  <c r="K189" i="29"/>
  <c r="AE189" i="29"/>
  <c r="J189" i="29"/>
  <c r="H5" i="60"/>
  <c r="H6" i="60"/>
  <c r="B2" i="71"/>
  <c r="H3" i="7"/>
  <c r="B6" i="71" s="1"/>
  <c r="H5" i="7"/>
  <c r="H6" i="7"/>
  <c r="H2" i="7"/>
  <c r="B5" i="71" s="1"/>
  <c r="D3" i="7"/>
  <c r="B3" i="71" s="1"/>
  <c r="D5" i="7"/>
  <c r="D6" i="7"/>
  <c r="D2" i="7"/>
  <c r="C18" i="47" l="1"/>
  <c r="E18" i="47" s="1"/>
  <c r="C17" i="47"/>
  <c r="E17" i="47" s="1"/>
  <c r="C3" i="47"/>
  <c r="C14" i="47"/>
  <c r="E14" i="47" s="1"/>
  <c r="B21" i="47"/>
  <c r="D21" i="47" s="1"/>
  <c r="B20" i="47"/>
  <c r="D20" i="47" s="1"/>
  <c r="B18" i="47"/>
  <c r="B23" i="47" s="1"/>
  <c r="D15" i="47"/>
  <c r="D16" i="47"/>
  <c r="D17" i="47"/>
  <c r="D19" i="47"/>
  <c r="D22" i="47"/>
  <c r="D14" i="47"/>
  <c r="D18" i="47" l="1"/>
  <c r="D23" i="47" s="1"/>
  <c r="L6" i="12" l="1"/>
  <c r="B18" i="28" l="1"/>
  <c r="B19" i="28" s="1"/>
  <c r="B20" i="28"/>
  <c r="B8" i="62" l="1"/>
  <c r="B7" i="62"/>
  <c r="B20" i="62"/>
  <c r="B14" i="62"/>
  <c r="B15" i="62"/>
  <c r="B21" i="62"/>
  <c r="B22" i="62" l="1"/>
  <c r="B23" i="62" s="1"/>
  <c r="B16" i="62"/>
  <c r="B17" i="62" s="1"/>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22" i="28"/>
  <c r="B22" i="28"/>
  <c r="C21" i="28"/>
  <c r="B21" i="28"/>
  <c r="J13" i="58"/>
  <c r="J12" i="58"/>
  <c r="I5" i="60"/>
  <c r="G5" i="60"/>
  <c r="K24" i="40"/>
  <c r="L24" i="40"/>
  <c r="B26" i="62" l="1"/>
  <c r="K17" i="62"/>
  <c r="K18" i="62" s="1"/>
  <c r="L18" i="62" s="1"/>
  <c r="M24" i="40"/>
  <c r="L3" i="22"/>
  <c r="L4" i="22"/>
  <c r="L5" i="22"/>
  <c r="L6" i="22"/>
  <c r="B27" i="62" l="1"/>
  <c r="B86" i="22"/>
  <c r="B87" i="22"/>
  <c r="B31" i="45"/>
  <c r="B30" i="45"/>
  <c r="BB159" i="57"/>
  <c r="BA159" i="57"/>
  <c r="AZ159" i="57"/>
  <c r="AY159" i="57"/>
  <c r="AX159" i="57"/>
  <c r="AW159" i="57"/>
  <c r="AV159" i="57"/>
  <c r="AU159" i="57"/>
  <c r="AT159" i="57"/>
  <c r="AS159" i="57"/>
  <c r="AR159" i="57"/>
  <c r="AQ159" i="57"/>
  <c r="AP159" i="57"/>
  <c r="AO159" i="57"/>
  <c r="AN159" i="57"/>
  <c r="AM159" i="57"/>
  <c r="AL159" i="57"/>
  <c r="AK159" i="57"/>
  <c r="AJ159" i="57"/>
  <c r="AI159" i="57"/>
  <c r="AH159" i="57"/>
  <c r="AG159" i="57"/>
  <c r="AF159" i="57"/>
  <c r="AE159" i="57"/>
  <c r="AD159" i="57"/>
  <c r="AC159" i="57"/>
  <c r="AB159" i="57"/>
  <c r="AA159" i="57"/>
  <c r="Z159" i="57"/>
  <c r="Y159" i="57"/>
  <c r="X159" i="57"/>
  <c r="W159" i="57"/>
  <c r="V159" i="57"/>
  <c r="U159" i="57"/>
  <c r="T159" i="57"/>
  <c r="S159" i="57"/>
  <c r="R159" i="57"/>
  <c r="Q159" i="57"/>
  <c r="P159" i="57"/>
  <c r="O159" i="57"/>
  <c r="N159" i="57"/>
  <c r="M159" i="57"/>
  <c r="L159" i="57"/>
  <c r="K159" i="57"/>
  <c r="J159" i="57"/>
  <c r="I159" i="57"/>
  <c r="H159" i="57"/>
  <c r="G159" i="57"/>
  <c r="F159" i="57"/>
  <c r="E159" i="57"/>
  <c r="D159" i="57"/>
  <c r="BA155" i="57"/>
  <c r="AZ155" i="57"/>
  <c r="AY155" i="57"/>
  <c r="AX155" i="57"/>
  <c r="AV155" i="57"/>
  <c r="AU155" i="57"/>
  <c r="AT155" i="57"/>
  <c r="AS155" i="57"/>
  <c r="AQ155" i="57"/>
  <c r="AP155" i="57"/>
  <c r="AO155" i="57"/>
  <c r="AN155" i="57"/>
  <c r="AL155" i="57"/>
  <c r="AK155" i="57"/>
  <c r="AI155" i="57"/>
  <c r="AG155" i="57"/>
  <c r="AF155" i="57"/>
  <c r="AE155" i="57"/>
  <c r="AD155" i="57"/>
  <c r="AB155" i="57"/>
  <c r="AA155" i="57"/>
  <c r="Z155" i="57"/>
  <c r="Y155" i="57"/>
  <c r="W155" i="57"/>
  <c r="V155" i="57"/>
  <c r="U155" i="57"/>
  <c r="R155" i="57"/>
  <c r="Q155" i="57"/>
  <c r="P155" i="57"/>
  <c r="O155" i="57"/>
  <c r="M155" i="57"/>
  <c r="L155" i="57"/>
  <c r="K155" i="57"/>
  <c r="J155" i="57"/>
  <c r="H155" i="57"/>
  <c r="G155" i="57"/>
  <c r="F155" i="57"/>
  <c r="E155" i="57"/>
  <c r="BB149" i="57"/>
  <c r="BA149" i="57"/>
  <c r="AZ149" i="57"/>
  <c r="AY149" i="57"/>
  <c r="AX149" i="57"/>
  <c r="AW149" i="57"/>
  <c r="AV149" i="57"/>
  <c r="AU149" i="57"/>
  <c r="AT149" i="57"/>
  <c r="AS149" i="57"/>
  <c r="AR149" i="57"/>
  <c r="AQ149" i="57"/>
  <c r="AP149" i="57"/>
  <c r="AO149" i="57"/>
  <c r="AN149" i="57"/>
  <c r="AM149" i="57"/>
  <c r="AL149" i="57"/>
  <c r="AK149" i="57"/>
  <c r="AJ149" i="57"/>
  <c r="AI149" i="57"/>
  <c r="AH149" i="57"/>
  <c r="AG149" i="57"/>
  <c r="AF149" i="57"/>
  <c r="AE149" i="57"/>
  <c r="AD149" i="57"/>
  <c r="AC149" i="57"/>
  <c r="AB149" i="57"/>
  <c r="AA149" i="57"/>
  <c r="Z149" i="57"/>
  <c r="Y149" i="57"/>
  <c r="X149" i="57"/>
  <c r="W149" i="57"/>
  <c r="V149" i="57"/>
  <c r="U149" i="57"/>
  <c r="T149" i="57"/>
  <c r="S149" i="57"/>
  <c r="R149" i="57"/>
  <c r="Q149" i="57"/>
  <c r="P149" i="57"/>
  <c r="O149" i="57"/>
  <c r="N149" i="57"/>
  <c r="M149" i="57"/>
  <c r="L149" i="57"/>
  <c r="K149" i="57"/>
  <c r="J149" i="57"/>
  <c r="I149" i="57"/>
  <c r="H149" i="57"/>
  <c r="G149" i="57"/>
  <c r="F149" i="57"/>
  <c r="E149" i="57"/>
  <c r="D149" i="57"/>
  <c r="BA145" i="57"/>
  <c r="AZ145" i="57"/>
  <c r="AY145" i="57"/>
  <c r="AX145" i="57"/>
  <c r="AV145" i="57"/>
  <c r="AU145" i="57"/>
  <c r="AT145" i="57"/>
  <c r="AS145" i="57"/>
  <c r="AQ145" i="57"/>
  <c r="AP145" i="57"/>
  <c r="AO145" i="57"/>
  <c r="AN145" i="57"/>
  <c r="AL145" i="57"/>
  <c r="AK145" i="57"/>
  <c r="AI145" i="57"/>
  <c r="AG145" i="57"/>
  <c r="AF145" i="57"/>
  <c r="AE145" i="57"/>
  <c r="AD145" i="57"/>
  <c r="AB145" i="57"/>
  <c r="AA145" i="57"/>
  <c r="Z145" i="57"/>
  <c r="Y145" i="57"/>
  <c r="W145" i="57"/>
  <c r="V145" i="57"/>
  <c r="U145" i="57"/>
  <c r="R145" i="57"/>
  <c r="Q145" i="57"/>
  <c r="P145" i="57"/>
  <c r="O145" i="57"/>
  <c r="M145" i="57"/>
  <c r="L145" i="57"/>
  <c r="K145" i="57"/>
  <c r="J145" i="57"/>
  <c r="H145" i="57"/>
  <c r="G145" i="57"/>
  <c r="F145" i="57"/>
  <c r="E145" i="57"/>
  <c r="BB139" i="57"/>
  <c r="BA139" i="57"/>
  <c r="AZ139" i="57"/>
  <c r="AY139" i="57"/>
  <c r="AX139" i="57"/>
  <c r="AW139" i="57"/>
  <c r="AV139" i="57"/>
  <c r="AU139" i="57"/>
  <c r="AT139" i="57"/>
  <c r="AS139" i="57"/>
  <c r="AR139" i="57"/>
  <c r="AQ139" i="57"/>
  <c r="AP139" i="57"/>
  <c r="AO139" i="57"/>
  <c r="AN139" i="57"/>
  <c r="AM139" i="57"/>
  <c r="AL139" i="57"/>
  <c r="AK139" i="57"/>
  <c r="AJ139" i="57"/>
  <c r="AI139" i="57"/>
  <c r="AH139" i="57"/>
  <c r="AG139" i="57"/>
  <c r="AF139" i="57"/>
  <c r="AE139" i="57"/>
  <c r="AD139" i="57"/>
  <c r="AC139" i="57"/>
  <c r="AB139" i="57"/>
  <c r="AA139" i="57"/>
  <c r="Z139" i="57"/>
  <c r="Y139" i="57"/>
  <c r="X139" i="57"/>
  <c r="W139" i="57"/>
  <c r="V139" i="57"/>
  <c r="U139" i="57"/>
  <c r="T139" i="57"/>
  <c r="S139" i="57"/>
  <c r="R139" i="57"/>
  <c r="Q139" i="57"/>
  <c r="P139" i="57"/>
  <c r="O139" i="57"/>
  <c r="N139" i="57"/>
  <c r="M139" i="57"/>
  <c r="L139" i="57"/>
  <c r="K139" i="57"/>
  <c r="J139" i="57"/>
  <c r="I139" i="57"/>
  <c r="H139" i="57"/>
  <c r="G139" i="57"/>
  <c r="F139" i="57"/>
  <c r="E139" i="57"/>
  <c r="D139" i="57"/>
  <c r="BA135" i="57"/>
  <c r="AZ135" i="57"/>
  <c r="AY135" i="57"/>
  <c r="AX135" i="57"/>
  <c r="AV135" i="57"/>
  <c r="AU135" i="57"/>
  <c r="AT135" i="57"/>
  <c r="AS135" i="57"/>
  <c r="AQ135" i="57"/>
  <c r="AP135" i="57"/>
  <c r="AO135" i="57"/>
  <c r="AN135" i="57"/>
  <c r="AL135" i="57"/>
  <c r="AK135" i="57"/>
  <c r="AI135" i="57"/>
  <c r="AG135" i="57"/>
  <c r="AF135" i="57"/>
  <c r="AE135" i="57"/>
  <c r="AD135" i="57"/>
  <c r="AB135" i="57"/>
  <c r="AA135" i="57"/>
  <c r="Z135" i="57"/>
  <c r="Y135" i="57"/>
  <c r="W135" i="57"/>
  <c r="V135" i="57"/>
  <c r="U135" i="57"/>
  <c r="R135" i="57"/>
  <c r="Q135" i="57"/>
  <c r="P135" i="57"/>
  <c r="O135" i="57"/>
  <c r="M135" i="57"/>
  <c r="L135" i="57"/>
  <c r="K135" i="57"/>
  <c r="J135" i="57"/>
  <c r="H135" i="57"/>
  <c r="G135" i="57"/>
  <c r="F135" i="57"/>
  <c r="E135" i="57"/>
  <c r="BB131" i="57"/>
  <c r="BA131" i="57"/>
  <c r="AZ131" i="57"/>
  <c r="AY131" i="57"/>
  <c r="AX131" i="57"/>
  <c r="AW131" i="57"/>
  <c r="AV131" i="57"/>
  <c r="AU131" i="57"/>
  <c r="AT131" i="57"/>
  <c r="AS131" i="57"/>
  <c r="AR131" i="57"/>
  <c r="AQ131" i="57"/>
  <c r="AP131" i="57"/>
  <c r="AO131" i="57"/>
  <c r="AN131" i="57"/>
  <c r="AM131" i="57"/>
  <c r="AL131" i="57"/>
  <c r="AK131" i="57"/>
  <c r="AJ131" i="57"/>
  <c r="AI131" i="57"/>
  <c r="AH131" i="57"/>
  <c r="AG131" i="57"/>
  <c r="AF131" i="57"/>
  <c r="AE131" i="57"/>
  <c r="AD131" i="57"/>
  <c r="AC131" i="57"/>
  <c r="AB131" i="57"/>
  <c r="AA131" i="57"/>
  <c r="Z131" i="57"/>
  <c r="Y131" i="57"/>
  <c r="X131" i="57"/>
  <c r="W131" i="57"/>
  <c r="V131" i="57"/>
  <c r="U131" i="57"/>
  <c r="T131" i="57"/>
  <c r="S131" i="57"/>
  <c r="R131" i="57"/>
  <c r="Q131" i="57"/>
  <c r="P131" i="57"/>
  <c r="O131" i="57"/>
  <c r="N131" i="57"/>
  <c r="M131" i="57"/>
  <c r="L131" i="57"/>
  <c r="K131" i="57"/>
  <c r="J131" i="57"/>
  <c r="I131" i="57"/>
  <c r="H131" i="57"/>
  <c r="G131" i="57"/>
  <c r="F131" i="57"/>
  <c r="E131" i="57"/>
  <c r="D131" i="57"/>
  <c r="BB130" i="57"/>
  <c r="BA130" i="57"/>
  <c r="AZ130" i="57"/>
  <c r="AY130" i="57"/>
  <c r="AX130" i="57"/>
  <c r="AW130" i="57"/>
  <c r="AV130" i="57"/>
  <c r="AU130" i="57"/>
  <c r="AT130" i="57"/>
  <c r="AS130" i="57"/>
  <c r="AQ130" i="57"/>
  <c r="AP130" i="57"/>
  <c r="AO130" i="57"/>
  <c r="AN130" i="57"/>
  <c r="AM130" i="57"/>
  <c r="AL130" i="57"/>
  <c r="AK130" i="57"/>
  <c r="AJ130" i="57"/>
  <c r="AI130" i="57"/>
  <c r="AG130" i="57"/>
  <c r="AF130" i="57"/>
  <c r="AE130" i="57"/>
  <c r="AD130" i="57"/>
  <c r="AC130" i="57"/>
  <c r="AB130" i="57"/>
  <c r="AA130" i="57"/>
  <c r="Z130" i="57"/>
  <c r="Y130" i="57"/>
  <c r="W130" i="57"/>
  <c r="V130" i="57"/>
  <c r="U130" i="57"/>
  <c r="T130" i="57"/>
  <c r="S130" i="57"/>
  <c r="S132" i="57" s="1"/>
  <c r="R130" i="57"/>
  <c r="Q130" i="57"/>
  <c r="P130" i="57"/>
  <c r="O130" i="57"/>
  <c r="M130" i="57"/>
  <c r="L130" i="57"/>
  <c r="K130" i="57"/>
  <c r="J130" i="57"/>
  <c r="I130" i="57"/>
  <c r="H130" i="57"/>
  <c r="G130" i="57"/>
  <c r="F130" i="57"/>
  <c r="E130" i="57"/>
  <c r="BB123" i="57"/>
  <c r="BA123" i="57"/>
  <c r="AZ123" i="57"/>
  <c r="AY123" i="57"/>
  <c r="AX123" i="57"/>
  <c r="AW123" i="57"/>
  <c r="AV123" i="57"/>
  <c r="AU123" i="57"/>
  <c r="AT123" i="57"/>
  <c r="AS123" i="57"/>
  <c r="AR123" i="57"/>
  <c r="AQ123" i="57"/>
  <c r="AP123" i="57"/>
  <c r="AO123" i="57"/>
  <c r="AN123" i="57"/>
  <c r="AM123" i="57"/>
  <c r="AL123" i="57"/>
  <c r="AK123" i="57"/>
  <c r="AJ123" i="57"/>
  <c r="AI123" i="57"/>
  <c r="AH123" i="57"/>
  <c r="AG123" i="57"/>
  <c r="AF123" i="57"/>
  <c r="AE123" i="57"/>
  <c r="AD123" i="57"/>
  <c r="AC123" i="57"/>
  <c r="AB123" i="57"/>
  <c r="AA123" i="57"/>
  <c r="Z123" i="57"/>
  <c r="Y123" i="57"/>
  <c r="X123" i="57"/>
  <c r="W123" i="57"/>
  <c r="V123" i="57"/>
  <c r="U123" i="57"/>
  <c r="T123" i="57"/>
  <c r="S123" i="57"/>
  <c r="R123" i="57"/>
  <c r="Q123" i="57"/>
  <c r="P123" i="57"/>
  <c r="O123" i="57"/>
  <c r="N123" i="57"/>
  <c r="M123" i="57"/>
  <c r="L123" i="57"/>
  <c r="K123" i="57"/>
  <c r="J123" i="57"/>
  <c r="I123" i="57"/>
  <c r="H123" i="57"/>
  <c r="G123" i="57"/>
  <c r="F123" i="57"/>
  <c r="E123" i="57"/>
  <c r="D123" i="57"/>
  <c r="BB122" i="57"/>
  <c r="BA122" i="57"/>
  <c r="AZ122" i="57"/>
  <c r="AY122" i="57"/>
  <c r="AX122" i="57"/>
  <c r="AW122" i="57"/>
  <c r="AV122" i="57"/>
  <c r="AU122" i="57"/>
  <c r="AT122" i="57"/>
  <c r="AS122" i="57"/>
  <c r="AQ122" i="57"/>
  <c r="AP122" i="57"/>
  <c r="AO122" i="57"/>
  <c r="AN122" i="57"/>
  <c r="AM122" i="57"/>
  <c r="AL122" i="57"/>
  <c r="AK122" i="57"/>
  <c r="AJ122" i="57"/>
  <c r="AI122" i="57"/>
  <c r="AG122" i="57"/>
  <c r="AF122" i="57"/>
  <c r="AE122" i="57"/>
  <c r="AD122" i="57"/>
  <c r="AB122" i="57"/>
  <c r="AA122" i="57"/>
  <c r="Z122" i="57"/>
  <c r="Y122" i="57"/>
  <c r="Y124" i="57" s="1"/>
  <c r="W122" i="57"/>
  <c r="V122" i="57"/>
  <c r="U122" i="57"/>
  <c r="T122" i="57"/>
  <c r="S122" i="57"/>
  <c r="R122" i="57"/>
  <c r="Q122" i="57"/>
  <c r="P122" i="57"/>
  <c r="O122" i="57"/>
  <c r="M122" i="57"/>
  <c r="L122" i="57"/>
  <c r="K122" i="57"/>
  <c r="J122" i="57"/>
  <c r="I122" i="57"/>
  <c r="H122" i="57"/>
  <c r="G122" i="57"/>
  <c r="F122" i="57"/>
  <c r="E122" i="57"/>
  <c r="AC119" i="57"/>
  <c r="AC122" i="57" s="1"/>
  <c r="BB115" i="57"/>
  <c r="BA115" i="57"/>
  <c r="AZ115" i="57"/>
  <c r="AY115" i="57"/>
  <c r="AX115" i="57"/>
  <c r="AW115" i="57"/>
  <c r="AV115" i="57"/>
  <c r="AU115" i="57"/>
  <c r="AT115" i="57"/>
  <c r="AS115" i="57"/>
  <c r="AR115" i="57"/>
  <c r="AQ115" i="57"/>
  <c r="AP115" i="57"/>
  <c r="AO115" i="57"/>
  <c r="AN115" i="57"/>
  <c r="AM115" i="57"/>
  <c r="AL115" i="57"/>
  <c r="AK115" i="57"/>
  <c r="AJ115" i="57"/>
  <c r="AI115" i="57"/>
  <c r="AH115" i="57"/>
  <c r="AG115" i="57"/>
  <c r="AF115" i="57"/>
  <c r="AE115" i="57"/>
  <c r="AD115" i="57"/>
  <c r="AC115" i="57"/>
  <c r="AB115" i="57"/>
  <c r="AA115" i="57"/>
  <c r="Z115" i="57"/>
  <c r="Y115" i="57"/>
  <c r="X115" i="57"/>
  <c r="W115" i="57"/>
  <c r="V115" i="57"/>
  <c r="U115" i="57"/>
  <c r="T115" i="57"/>
  <c r="S115" i="57"/>
  <c r="R115" i="57"/>
  <c r="Q115" i="57"/>
  <c r="P115" i="57"/>
  <c r="O115" i="57"/>
  <c r="N115" i="57"/>
  <c r="M115" i="57"/>
  <c r="L115" i="57"/>
  <c r="K115" i="57"/>
  <c r="J115" i="57"/>
  <c r="I115" i="57"/>
  <c r="H115" i="57"/>
  <c r="G115" i="57"/>
  <c r="F115" i="57"/>
  <c r="E115" i="57"/>
  <c r="D115" i="57"/>
  <c r="AR111" i="57"/>
  <c r="AH111" i="57"/>
  <c r="BB107" i="57"/>
  <c r="BA107" i="57"/>
  <c r="AZ107" i="57"/>
  <c r="AY107" i="57"/>
  <c r="AX107" i="57"/>
  <c r="AW107" i="57"/>
  <c r="AV107" i="57"/>
  <c r="AU107" i="57"/>
  <c r="AT107" i="57"/>
  <c r="AS107" i="57"/>
  <c r="AR107" i="57"/>
  <c r="AQ107" i="57"/>
  <c r="AP107" i="57"/>
  <c r="AO107" i="57"/>
  <c r="AN107" i="57"/>
  <c r="AM107" i="57"/>
  <c r="AL107" i="57"/>
  <c r="AK107" i="57"/>
  <c r="AJ107" i="57"/>
  <c r="AI107" i="57"/>
  <c r="AH107" i="57"/>
  <c r="AG107" i="57"/>
  <c r="AF107" i="57"/>
  <c r="AE107" i="57"/>
  <c r="AD107" i="57"/>
  <c r="AC107" i="57"/>
  <c r="AB107" i="57"/>
  <c r="AA107" i="57"/>
  <c r="Z107" i="57"/>
  <c r="Y107" i="57"/>
  <c r="X107" i="57"/>
  <c r="W107" i="57"/>
  <c r="V107" i="57"/>
  <c r="U107" i="57"/>
  <c r="T107" i="57"/>
  <c r="S107" i="57"/>
  <c r="R107" i="57"/>
  <c r="Q107" i="57"/>
  <c r="P107" i="57"/>
  <c r="O107" i="57"/>
  <c r="N107" i="57"/>
  <c r="M107" i="57"/>
  <c r="L107" i="57"/>
  <c r="K107" i="57"/>
  <c r="J107" i="57"/>
  <c r="I107" i="57"/>
  <c r="H107" i="57"/>
  <c r="G107" i="57"/>
  <c r="F107" i="57"/>
  <c r="E107" i="57"/>
  <c r="D107" i="57"/>
  <c r="BB99" i="57"/>
  <c r="BA99" i="57"/>
  <c r="AZ99" i="57"/>
  <c r="AY99" i="57"/>
  <c r="AX99" i="57"/>
  <c r="AW99" i="57"/>
  <c r="AV99" i="57"/>
  <c r="AU99" i="57"/>
  <c r="AT99" i="57"/>
  <c r="AS99" i="57"/>
  <c r="AR99" i="57"/>
  <c r="AQ99" i="57"/>
  <c r="AP99" i="57"/>
  <c r="AO99" i="57"/>
  <c r="AN99" i="57"/>
  <c r="AM99" i="57"/>
  <c r="AL99" i="57"/>
  <c r="AK99" i="57"/>
  <c r="AJ99" i="57"/>
  <c r="AI99" i="57"/>
  <c r="AH99" i="57"/>
  <c r="AG99" i="57"/>
  <c r="AF99" i="57"/>
  <c r="AE99" i="57"/>
  <c r="AD99" i="57"/>
  <c r="AC99" i="57"/>
  <c r="AB99" i="57"/>
  <c r="AA99" i="57"/>
  <c r="Z99" i="57"/>
  <c r="Y99" i="57"/>
  <c r="X99" i="57"/>
  <c r="W99" i="57"/>
  <c r="V99" i="57"/>
  <c r="U99" i="57"/>
  <c r="T99" i="57"/>
  <c r="S99" i="57"/>
  <c r="R99" i="57"/>
  <c r="Q99" i="57"/>
  <c r="P99" i="57"/>
  <c r="O99" i="57"/>
  <c r="N99" i="57"/>
  <c r="M99" i="57"/>
  <c r="L99" i="57"/>
  <c r="K99" i="57"/>
  <c r="J99" i="57"/>
  <c r="I99" i="57"/>
  <c r="H99" i="57"/>
  <c r="G99" i="57"/>
  <c r="F99" i="57"/>
  <c r="E99" i="57"/>
  <c r="D99" i="57"/>
  <c r="BB83" i="57"/>
  <c r="BA83" i="57"/>
  <c r="AZ83" i="57"/>
  <c r="AY83" i="57"/>
  <c r="AX83" i="57"/>
  <c r="AW83" i="57"/>
  <c r="AV83" i="57"/>
  <c r="AU83" i="57"/>
  <c r="AT83" i="57"/>
  <c r="AS83" i="57"/>
  <c r="AR83" i="57"/>
  <c r="AQ83" i="57"/>
  <c r="AP83" i="57"/>
  <c r="AO83" i="57"/>
  <c r="AN83" i="57"/>
  <c r="AM83" i="57"/>
  <c r="AL83" i="57"/>
  <c r="AK83" i="57"/>
  <c r="AJ83" i="57"/>
  <c r="AI83" i="57"/>
  <c r="AH83" i="57"/>
  <c r="AG83" i="57"/>
  <c r="AF83" i="57"/>
  <c r="AE83" i="57"/>
  <c r="AD83" i="57"/>
  <c r="AC83" i="57"/>
  <c r="AB83" i="57"/>
  <c r="AA83" i="57"/>
  <c r="Z83" i="57"/>
  <c r="Y83" i="57"/>
  <c r="X83" i="57"/>
  <c r="W83" i="57"/>
  <c r="V83" i="57"/>
  <c r="U83" i="57"/>
  <c r="T83" i="57"/>
  <c r="S83" i="57"/>
  <c r="R83" i="57"/>
  <c r="Q83" i="57"/>
  <c r="P83" i="57"/>
  <c r="O83" i="57"/>
  <c r="N83" i="57"/>
  <c r="M83" i="57"/>
  <c r="L83" i="57"/>
  <c r="K83" i="57"/>
  <c r="J83" i="57"/>
  <c r="I83" i="57"/>
  <c r="H83" i="57"/>
  <c r="G83" i="57"/>
  <c r="F83" i="57"/>
  <c r="E83" i="57"/>
  <c r="D83" i="57"/>
  <c r="BB75" i="57"/>
  <c r="BA75" i="57"/>
  <c r="AZ75" i="57"/>
  <c r="AY75" i="57"/>
  <c r="AX75" i="57"/>
  <c r="AW75" i="57"/>
  <c r="AV75" i="57"/>
  <c r="AU75" i="57"/>
  <c r="AT75" i="57"/>
  <c r="AS75" i="57"/>
  <c r="AR75" i="57"/>
  <c r="AQ75" i="57"/>
  <c r="AP75" i="57"/>
  <c r="AO75" i="57"/>
  <c r="AN75" i="57"/>
  <c r="AM75" i="57"/>
  <c r="AL75" i="57"/>
  <c r="AK75" i="57"/>
  <c r="AJ75" i="57"/>
  <c r="AI75" i="57"/>
  <c r="AH75" i="57"/>
  <c r="AG75" i="57"/>
  <c r="AF75" i="57"/>
  <c r="AE75" i="57"/>
  <c r="AD75" i="57"/>
  <c r="AC75" i="57"/>
  <c r="AB75" i="57"/>
  <c r="AA75" i="57"/>
  <c r="Z75" i="57"/>
  <c r="Y75" i="57"/>
  <c r="X75" i="57"/>
  <c r="W75" i="57"/>
  <c r="V75" i="57"/>
  <c r="U75" i="57"/>
  <c r="T75" i="57"/>
  <c r="S75" i="57"/>
  <c r="R75" i="57"/>
  <c r="Q75" i="57"/>
  <c r="P75" i="57"/>
  <c r="O75" i="57"/>
  <c r="N75" i="57"/>
  <c r="M75" i="57"/>
  <c r="L75" i="57"/>
  <c r="K75" i="57"/>
  <c r="J75" i="57"/>
  <c r="I75" i="57"/>
  <c r="H75" i="57"/>
  <c r="G75" i="57"/>
  <c r="F75" i="57"/>
  <c r="E75" i="57"/>
  <c r="D75" i="57"/>
  <c r="BB67" i="57"/>
  <c r="BA67" i="57"/>
  <c r="AZ67" i="57"/>
  <c r="AY67" i="57"/>
  <c r="AX67" i="57"/>
  <c r="AW67" i="57"/>
  <c r="AV67" i="57"/>
  <c r="AU67" i="57"/>
  <c r="AT67" i="57"/>
  <c r="AS67" i="57"/>
  <c r="AR67" i="57"/>
  <c r="AQ67" i="57"/>
  <c r="AP67" i="57"/>
  <c r="AO67" i="57"/>
  <c r="AN67" i="57"/>
  <c r="AM67" i="57"/>
  <c r="AL67" i="57"/>
  <c r="AK67" i="57"/>
  <c r="AJ67" i="57"/>
  <c r="AI67" i="57"/>
  <c r="AH67" i="57"/>
  <c r="AG67" i="57"/>
  <c r="AF67" i="57"/>
  <c r="AE67" i="57"/>
  <c r="AD67" i="57"/>
  <c r="AC67" i="57"/>
  <c r="AB67" i="57"/>
  <c r="AA67" i="57"/>
  <c r="Z67" i="57"/>
  <c r="Y67" i="57"/>
  <c r="X67" i="57"/>
  <c r="W67" i="57"/>
  <c r="V67" i="57"/>
  <c r="U67" i="57"/>
  <c r="T67" i="57"/>
  <c r="S67" i="57"/>
  <c r="R67" i="57"/>
  <c r="Q67" i="57"/>
  <c r="P67" i="57"/>
  <c r="O67" i="57"/>
  <c r="N67" i="57"/>
  <c r="M67" i="57"/>
  <c r="L67" i="57"/>
  <c r="K67" i="57"/>
  <c r="J67" i="57"/>
  <c r="I67" i="57"/>
  <c r="H67" i="57"/>
  <c r="G67" i="57"/>
  <c r="F67" i="57"/>
  <c r="E67" i="57"/>
  <c r="D67" i="57"/>
  <c r="BB51" i="57"/>
  <c r="BA51" i="57"/>
  <c r="AZ51" i="57"/>
  <c r="AY51" i="57"/>
  <c r="AX51" i="57"/>
  <c r="AW51" i="57"/>
  <c r="AV51" i="57"/>
  <c r="AU51" i="57"/>
  <c r="AT51" i="57"/>
  <c r="AS51" i="57"/>
  <c r="AR51" i="57"/>
  <c r="AQ51" i="57"/>
  <c r="AP51" i="57"/>
  <c r="AO51" i="57"/>
  <c r="AN51" i="57"/>
  <c r="AM51" i="57"/>
  <c r="AL51" i="57"/>
  <c r="AK51" i="57"/>
  <c r="AJ51" i="57"/>
  <c r="AI51" i="57"/>
  <c r="AH51" i="57"/>
  <c r="AG51" i="57"/>
  <c r="AF51" i="57"/>
  <c r="AE51" i="57"/>
  <c r="AD51" i="57"/>
  <c r="AC51" i="57"/>
  <c r="AB51" i="57"/>
  <c r="AA51" i="57"/>
  <c r="Z51" i="57"/>
  <c r="Y51" i="57"/>
  <c r="X51" i="57"/>
  <c r="W51" i="57"/>
  <c r="V51" i="57"/>
  <c r="U51" i="57"/>
  <c r="T51" i="57"/>
  <c r="S51" i="57"/>
  <c r="R51" i="57"/>
  <c r="Q51" i="57"/>
  <c r="P51" i="57"/>
  <c r="O51" i="57"/>
  <c r="N51" i="57"/>
  <c r="M51" i="57"/>
  <c r="L51" i="57"/>
  <c r="K51" i="57"/>
  <c r="J51" i="57"/>
  <c r="I51" i="57"/>
  <c r="H51" i="57"/>
  <c r="G51" i="57"/>
  <c r="F51" i="57"/>
  <c r="E51" i="57"/>
  <c r="D51" i="57"/>
  <c r="BB43" i="57"/>
  <c r="BA43" i="57"/>
  <c r="AZ43" i="57"/>
  <c r="AY43" i="57"/>
  <c r="AX43" i="57"/>
  <c r="AW43" i="57"/>
  <c r="AV43" i="57"/>
  <c r="AU43" i="57"/>
  <c r="AT43" i="57"/>
  <c r="AS43" i="57"/>
  <c r="AR43" i="57"/>
  <c r="AQ43" i="57"/>
  <c r="AP43" i="57"/>
  <c r="AO43" i="57"/>
  <c r="AN43" i="57"/>
  <c r="AM43" i="57"/>
  <c r="AL43" i="57"/>
  <c r="AK43" i="57"/>
  <c r="AJ43" i="57"/>
  <c r="AI43" i="57"/>
  <c r="AH43" i="57"/>
  <c r="AG43" i="57"/>
  <c r="AF43" i="57"/>
  <c r="AE43" i="57"/>
  <c r="AD43" i="57"/>
  <c r="AC43" i="57"/>
  <c r="AB43" i="57"/>
  <c r="AA43" i="57"/>
  <c r="Z43" i="57"/>
  <c r="Y43" i="57"/>
  <c r="X43" i="57"/>
  <c r="W43" i="57"/>
  <c r="V43" i="57"/>
  <c r="U43" i="57"/>
  <c r="T43" i="57"/>
  <c r="S43" i="57"/>
  <c r="R43" i="57"/>
  <c r="Q43" i="57"/>
  <c r="P43" i="57"/>
  <c r="O43" i="57"/>
  <c r="N43" i="57"/>
  <c r="M43" i="57"/>
  <c r="L43" i="57"/>
  <c r="K43" i="57"/>
  <c r="J43" i="57"/>
  <c r="I43" i="57"/>
  <c r="H43" i="57"/>
  <c r="G43" i="57"/>
  <c r="F43" i="57"/>
  <c r="E43" i="57"/>
  <c r="D43" i="57"/>
  <c r="D39" i="57"/>
  <c r="D42" i="57" s="1"/>
  <c r="BB35" i="57"/>
  <c r="BA35" i="57"/>
  <c r="AZ35" i="57"/>
  <c r="AY35" i="57"/>
  <c r="AX35" i="57"/>
  <c r="AW35" i="57"/>
  <c r="AV35" i="57"/>
  <c r="AU35" i="57"/>
  <c r="AT35" i="57"/>
  <c r="AS35" i="57"/>
  <c r="AR35" i="57"/>
  <c r="AQ35" i="57"/>
  <c r="AP35" i="57"/>
  <c r="AO35" i="57"/>
  <c r="AN35" i="57"/>
  <c r="AM35" i="57"/>
  <c r="AL35" i="57"/>
  <c r="AK35" i="57"/>
  <c r="AJ35" i="57"/>
  <c r="AI35" i="57"/>
  <c r="AH35" i="57"/>
  <c r="AG35" i="57"/>
  <c r="AF35" i="57"/>
  <c r="AE35" i="57"/>
  <c r="AD35" i="57"/>
  <c r="AC35" i="57"/>
  <c r="AB35" i="57"/>
  <c r="AA35" i="57"/>
  <c r="Z35" i="57"/>
  <c r="Y35" i="57"/>
  <c r="X35" i="57"/>
  <c r="W35" i="57"/>
  <c r="V35" i="57"/>
  <c r="U35" i="57"/>
  <c r="T35" i="57"/>
  <c r="S35" i="57"/>
  <c r="R35" i="57"/>
  <c r="Q35" i="57"/>
  <c r="P35" i="57"/>
  <c r="O35" i="57"/>
  <c r="N35" i="57"/>
  <c r="M35" i="57"/>
  <c r="L35" i="57"/>
  <c r="K35" i="57"/>
  <c r="J35" i="57"/>
  <c r="I35" i="57"/>
  <c r="H35" i="57"/>
  <c r="G35" i="57"/>
  <c r="F35" i="57"/>
  <c r="E35" i="57"/>
  <c r="D35" i="57"/>
  <c r="BB33" i="57"/>
  <c r="BA33" i="57"/>
  <c r="AZ33" i="57"/>
  <c r="AY33" i="57"/>
  <c r="AX33" i="57"/>
  <c r="AW33" i="57"/>
  <c r="AV33" i="57"/>
  <c r="AU33" i="57"/>
  <c r="AT33" i="57"/>
  <c r="AS33" i="57"/>
  <c r="AR33" i="57"/>
  <c r="AQ33" i="57"/>
  <c r="AP33" i="57"/>
  <c r="AO33" i="57"/>
  <c r="AN33" i="57"/>
  <c r="AM33" i="57"/>
  <c r="AL33" i="57"/>
  <c r="AK33" i="57"/>
  <c r="AJ33" i="57"/>
  <c r="AI33" i="57"/>
  <c r="AH33" i="57"/>
  <c r="AG33" i="57"/>
  <c r="AF33" i="57"/>
  <c r="AE33" i="57"/>
  <c r="AD33" i="57"/>
  <c r="AC33" i="57"/>
  <c r="AB33" i="57"/>
  <c r="AA33" i="57"/>
  <c r="Z33" i="57"/>
  <c r="Y33" i="57"/>
  <c r="X33" i="57"/>
  <c r="W33" i="57"/>
  <c r="V33" i="57"/>
  <c r="U33" i="57"/>
  <c r="T33" i="57"/>
  <c r="S33" i="57"/>
  <c r="R33" i="57"/>
  <c r="Q33" i="57"/>
  <c r="P33" i="57"/>
  <c r="O33" i="57"/>
  <c r="N33" i="57"/>
  <c r="M33" i="57"/>
  <c r="L33" i="57"/>
  <c r="K33" i="57"/>
  <c r="J33" i="57"/>
  <c r="I33" i="57"/>
  <c r="H33" i="57"/>
  <c r="G33" i="57"/>
  <c r="F33" i="57"/>
  <c r="E33" i="57"/>
  <c r="AJ31" i="57"/>
  <c r="T31" i="57"/>
  <c r="D31" i="57"/>
  <c r="D34" i="57" s="1"/>
  <c r="BB27" i="57"/>
  <c r="BA27" i="57"/>
  <c r="AZ27" i="57"/>
  <c r="AY27" i="57"/>
  <c r="AX27" i="57"/>
  <c r="AW27" i="57"/>
  <c r="AV27" i="57"/>
  <c r="AU27" i="57"/>
  <c r="AT27" i="57"/>
  <c r="AS27" i="57"/>
  <c r="AR27" i="57"/>
  <c r="AQ27" i="57"/>
  <c r="AP27" i="57"/>
  <c r="AO27" i="57"/>
  <c r="AN27" i="57"/>
  <c r="AM27" i="57"/>
  <c r="AL27" i="57"/>
  <c r="AK27" i="57"/>
  <c r="AJ27" i="57"/>
  <c r="AI27" i="57"/>
  <c r="AH27" i="57"/>
  <c r="AG27" i="57"/>
  <c r="AF27" i="57"/>
  <c r="AE27" i="57"/>
  <c r="AD27" i="57"/>
  <c r="AC27" i="57"/>
  <c r="AB27" i="57"/>
  <c r="AA27" i="57"/>
  <c r="Z27" i="57"/>
  <c r="Y27" i="57"/>
  <c r="X27" i="57"/>
  <c r="W27" i="57"/>
  <c r="V27" i="57"/>
  <c r="U27" i="57"/>
  <c r="T27" i="57"/>
  <c r="S27" i="57"/>
  <c r="R27" i="57"/>
  <c r="Q27" i="57"/>
  <c r="P27" i="57"/>
  <c r="O27" i="57"/>
  <c r="N27" i="57"/>
  <c r="M27" i="57"/>
  <c r="L27" i="57"/>
  <c r="K27" i="57"/>
  <c r="J27" i="57"/>
  <c r="I27" i="57"/>
  <c r="H27" i="57"/>
  <c r="G27" i="57"/>
  <c r="F27" i="57"/>
  <c r="E27" i="57"/>
  <c r="D27" i="57"/>
  <c r="BB25" i="57"/>
  <c r="BA25" i="57"/>
  <c r="AZ25" i="57"/>
  <c r="AY25" i="57"/>
  <c r="AX25" i="57"/>
  <c r="AW25" i="57"/>
  <c r="AV25" i="57"/>
  <c r="AU25" i="57"/>
  <c r="AT25" i="57"/>
  <c r="AS25" i="57"/>
  <c r="AR25" i="57"/>
  <c r="AQ25" i="57"/>
  <c r="AP25" i="57"/>
  <c r="AO25" i="57"/>
  <c r="AN25" i="57"/>
  <c r="AM25" i="57"/>
  <c r="AL25" i="57"/>
  <c r="AK25" i="57"/>
  <c r="AJ25" i="57"/>
  <c r="AI25" i="57"/>
  <c r="AH25" i="57"/>
  <c r="AG25" i="57"/>
  <c r="AF25" i="57"/>
  <c r="AE25" i="57"/>
  <c r="AD25" i="57"/>
  <c r="AC25" i="57"/>
  <c r="AB25" i="57"/>
  <c r="AA25" i="57"/>
  <c r="Z25" i="57"/>
  <c r="Y25" i="57"/>
  <c r="X25" i="57"/>
  <c r="W25" i="57"/>
  <c r="V25" i="57"/>
  <c r="U25" i="57"/>
  <c r="T25" i="57"/>
  <c r="S25" i="57"/>
  <c r="R25" i="57"/>
  <c r="Q25" i="57"/>
  <c r="P25" i="57"/>
  <c r="O25" i="57"/>
  <c r="N25" i="57"/>
  <c r="M25" i="57"/>
  <c r="L25" i="57"/>
  <c r="K25" i="57"/>
  <c r="J25" i="57"/>
  <c r="I25" i="57"/>
  <c r="H25" i="57"/>
  <c r="G25" i="57"/>
  <c r="F25" i="57"/>
  <c r="E25" i="57"/>
  <c r="AR23" i="57"/>
  <c r="AJ23" i="57"/>
  <c r="AH23" i="57"/>
  <c r="X23" i="57"/>
  <c r="T23" i="57"/>
  <c r="N23" i="57"/>
  <c r="D23" i="57"/>
  <c r="D26" i="57" s="1"/>
  <c r="BB19" i="57"/>
  <c r="BA19" i="57"/>
  <c r="AZ19" i="57"/>
  <c r="AY19" i="57"/>
  <c r="AX19" i="57"/>
  <c r="AW19" i="57"/>
  <c r="AV19" i="57"/>
  <c r="AU19" i="57"/>
  <c r="AT19" i="57"/>
  <c r="AS19" i="57"/>
  <c r="AR19" i="57"/>
  <c r="AQ19" i="57"/>
  <c r="AP19" i="57"/>
  <c r="AO19" i="57"/>
  <c r="AN19" i="57"/>
  <c r="AM19" i="57"/>
  <c r="AL19" i="57"/>
  <c r="AK19" i="57"/>
  <c r="AJ19" i="57"/>
  <c r="AI19" i="57"/>
  <c r="AH19" i="57"/>
  <c r="AG19" i="57"/>
  <c r="AF19" i="57"/>
  <c r="AE19" i="57"/>
  <c r="AD19" i="57"/>
  <c r="AC19" i="57"/>
  <c r="AB19" i="57"/>
  <c r="AA19" i="57"/>
  <c r="Z19" i="57"/>
  <c r="Y19" i="57"/>
  <c r="X19" i="57"/>
  <c r="W19" i="57"/>
  <c r="V19" i="57"/>
  <c r="U19" i="57"/>
  <c r="T19" i="57"/>
  <c r="S19" i="57"/>
  <c r="R19" i="57"/>
  <c r="Q19" i="57"/>
  <c r="P19" i="57"/>
  <c r="O19" i="57"/>
  <c r="N19" i="57"/>
  <c r="M19" i="57"/>
  <c r="L19" i="57"/>
  <c r="K19" i="57"/>
  <c r="J19" i="57"/>
  <c r="I19" i="57"/>
  <c r="H19" i="57"/>
  <c r="G19" i="57"/>
  <c r="F19" i="57"/>
  <c r="E19" i="57"/>
  <c r="D19" i="57"/>
  <c r="BB17" i="57"/>
  <c r="BA17" i="57"/>
  <c r="AZ17" i="57"/>
  <c r="AY17" i="57"/>
  <c r="AX17" i="57"/>
  <c r="AW17" i="57"/>
  <c r="AV17" i="57"/>
  <c r="AU17" i="57"/>
  <c r="AT17" i="57"/>
  <c r="AS17" i="57"/>
  <c r="AR17" i="57"/>
  <c r="AQ17" i="57"/>
  <c r="AP17" i="57"/>
  <c r="AO17" i="57"/>
  <c r="AN17" i="57"/>
  <c r="AM17" i="57"/>
  <c r="AL17" i="57"/>
  <c r="AK17" i="57"/>
  <c r="AJ17" i="57"/>
  <c r="AI17" i="57"/>
  <c r="AH17" i="57"/>
  <c r="AG17" i="57"/>
  <c r="AF17" i="57"/>
  <c r="AE17" i="57"/>
  <c r="AD17" i="57"/>
  <c r="AC17" i="57"/>
  <c r="AB17" i="57"/>
  <c r="AA17" i="57"/>
  <c r="Z17" i="57"/>
  <c r="Y17" i="57"/>
  <c r="X17" i="57"/>
  <c r="W17" i="57"/>
  <c r="V17" i="57"/>
  <c r="U17" i="57"/>
  <c r="T17" i="57"/>
  <c r="S17" i="57"/>
  <c r="R17" i="57"/>
  <c r="Q17" i="57"/>
  <c r="P17" i="57"/>
  <c r="O17" i="57"/>
  <c r="N17" i="57"/>
  <c r="M17" i="57"/>
  <c r="L17" i="57"/>
  <c r="K17" i="57"/>
  <c r="J17" i="57"/>
  <c r="I17" i="57"/>
  <c r="H17" i="57"/>
  <c r="G17" i="57"/>
  <c r="F17" i="57"/>
  <c r="E17" i="57"/>
  <c r="BB15" i="57"/>
  <c r="BB166" i="57" s="1"/>
  <c r="AW15" i="57"/>
  <c r="AW166" i="57" s="1"/>
  <c r="AR15" i="57"/>
  <c r="AM15" i="57"/>
  <c r="AM166" i="57" s="1"/>
  <c r="AH15" i="57"/>
  <c r="AC15" i="57"/>
  <c r="X15" i="57"/>
  <c r="S15" i="57"/>
  <c r="S166" i="57" s="1"/>
  <c r="N15" i="57"/>
  <c r="I15" i="57"/>
  <c r="I166" i="57" s="1"/>
  <c r="D15" i="57"/>
  <c r="D18" i="57" s="1"/>
  <c r="BB11" i="57"/>
  <c r="BA11" i="57"/>
  <c r="AZ11" i="57"/>
  <c r="AY11" i="57"/>
  <c r="AX11" i="57"/>
  <c r="AW11" i="57"/>
  <c r="AV11" i="57"/>
  <c r="AU11" i="57"/>
  <c r="AT11" i="57"/>
  <c r="AS11" i="57"/>
  <c r="AR11" i="57"/>
  <c r="AQ11" i="57"/>
  <c r="AP11" i="57"/>
  <c r="AO11" i="57"/>
  <c r="AN11" i="57"/>
  <c r="AM11" i="57"/>
  <c r="AL11" i="57"/>
  <c r="AK11" i="57"/>
  <c r="AJ11" i="57"/>
  <c r="AI11" i="57"/>
  <c r="AH11" i="57"/>
  <c r="AG11" i="57"/>
  <c r="AF11" i="57"/>
  <c r="AE11" i="57"/>
  <c r="AD11" i="57"/>
  <c r="AC11" i="57"/>
  <c r="AB11" i="57"/>
  <c r="AA11" i="57"/>
  <c r="Z11" i="57"/>
  <c r="Y11" i="57"/>
  <c r="X11" i="57"/>
  <c r="W11" i="57"/>
  <c r="V11" i="57"/>
  <c r="U11" i="57"/>
  <c r="T11" i="57"/>
  <c r="S11" i="57"/>
  <c r="R11" i="57"/>
  <c r="Q11" i="57"/>
  <c r="P11" i="57"/>
  <c r="O11" i="57"/>
  <c r="N11" i="57"/>
  <c r="M11" i="57"/>
  <c r="L11" i="57"/>
  <c r="K11" i="57"/>
  <c r="J11" i="57"/>
  <c r="I11" i="57"/>
  <c r="H11" i="57"/>
  <c r="G11" i="57"/>
  <c r="F11" i="57"/>
  <c r="E11" i="57"/>
  <c r="D11" i="57"/>
  <c r="BB151" i="56"/>
  <c r="BA151" i="56"/>
  <c r="AZ151" i="56"/>
  <c r="AY151" i="56"/>
  <c r="AX151" i="56"/>
  <c r="AW151" i="56"/>
  <c r="AV151" i="56"/>
  <c r="AU151" i="56"/>
  <c r="AT151" i="56"/>
  <c r="AS151" i="56"/>
  <c r="AR151" i="56"/>
  <c r="AQ151" i="56"/>
  <c r="AP151" i="56"/>
  <c r="AO151" i="56"/>
  <c r="AN151" i="56"/>
  <c r="AM151" i="56"/>
  <c r="AL151" i="56"/>
  <c r="AK151" i="56"/>
  <c r="AJ151" i="56"/>
  <c r="AI151" i="56"/>
  <c r="AH151" i="56"/>
  <c r="AG151" i="56"/>
  <c r="AF151" i="56"/>
  <c r="AE151" i="56"/>
  <c r="AD151" i="56"/>
  <c r="AC151" i="56"/>
  <c r="AB151" i="56"/>
  <c r="AA151" i="56"/>
  <c r="Z151" i="56"/>
  <c r="Y151" i="56"/>
  <c r="X151" i="56"/>
  <c r="W151" i="56"/>
  <c r="V151" i="56"/>
  <c r="U151" i="56"/>
  <c r="T151" i="56"/>
  <c r="S151" i="56"/>
  <c r="R151" i="56"/>
  <c r="Q151" i="56"/>
  <c r="P151" i="56"/>
  <c r="O151" i="56"/>
  <c r="N151" i="56"/>
  <c r="M151" i="56"/>
  <c r="L151" i="56"/>
  <c r="K151" i="56"/>
  <c r="J151" i="56"/>
  <c r="I151" i="56"/>
  <c r="H151" i="56"/>
  <c r="G151" i="56"/>
  <c r="F151" i="56"/>
  <c r="E151" i="56"/>
  <c r="D151" i="56"/>
  <c r="BA147" i="56"/>
  <c r="AZ147" i="56"/>
  <c r="AY147" i="56"/>
  <c r="AX147" i="56"/>
  <c r="AV147" i="56"/>
  <c r="AU147" i="56"/>
  <c r="AT147" i="56"/>
  <c r="AS147" i="56"/>
  <c r="AQ147" i="56"/>
  <c r="AP147" i="56"/>
  <c r="AO147" i="56"/>
  <c r="AN147" i="56"/>
  <c r="AL147" i="56"/>
  <c r="AK147" i="56"/>
  <c r="AI147" i="56"/>
  <c r="AG147" i="56"/>
  <c r="AF147" i="56"/>
  <c r="AE147" i="56"/>
  <c r="AD147" i="56"/>
  <c r="AB147" i="56"/>
  <c r="AA147" i="56"/>
  <c r="Z147" i="56"/>
  <c r="Y147" i="56"/>
  <c r="W147" i="56"/>
  <c r="V147" i="56"/>
  <c r="U147" i="56"/>
  <c r="R147" i="56"/>
  <c r="Q147" i="56"/>
  <c r="P147" i="56"/>
  <c r="O147" i="56"/>
  <c r="M147" i="56"/>
  <c r="L147" i="56"/>
  <c r="K147" i="56"/>
  <c r="J147" i="56"/>
  <c r="H147" i="56"/>
  <c r="G147" i="56"/>
  <c r="F147" i="56"/>
  <c r="E147" i="56"/>
  <c r="BB141" i="56"/>
  <c r="BA141" i="56"/>
  <c r="AZ141" i="56"/>
  <c r="AY141" i="56"/>
  <c r="AX141" i="56"/>
  <c r="AW141" i="56"/>
  <c r="AV141" i="56"/>
  <c r="AU141" i="56"/>
  <c r="AT141" i="56"/>
  <c r="AS141" i="56"/>
  <c r="AR141" i="56"/>
  <c r="AQ141" i="56"/>
  <c r="AP141" i="56"/>
  <c r="AO141" i="56"/>
  <c r="AN141" i="56"/>
  <c r="AM141" i="56"/>
  <c r="AL141" i="56"/>
  <c r="AK141" i="56"/>
  <c r="AJ141" i="56"/>
  <c r="AI141" i="56"/>
  <c r="AH141" i="56"/>
  <c r="AG141" i="56"/>
  <c r="AF141" i="56"/>
  <c r="AE141" i="56"/>
  <c r="AD141" i="56"/>
  <c r="AC141" i="56"/>
  <c r="AB141" i="56"/>
  <c r="AA141" i="56"/>
  <c r="Z141" i="56"/>
  <c r="Y141" i="56"/>
  <c r="X141" i="56"/>
  <c r="W141" i="56"/>
  <c r="V141" i="56"/>
  <c r="U141" i="56"/>
  <c r="T141" i="56"/>
  <c r="S141" i="56"/>
  <c r="R141" i="56"/>
  <c r="Q141" i="56"/>
  <c r="P141" i="56"/>
  <c r="O141" i="56"/>
  <c r="N141" i="56"/>
  <c r="M141" i="56"/>
  <c r="L141" i="56"/>
  <c r="K141" i="56"/>
  <c r="J141" i="56"/>
  <c r="I141" i="56"/>
  <c r="H141" i="56"/>
  <c r="G141" i="56"/>
  <c r="F141" i="56"/>
  <c r="E141" i="56"/>
  <c r="D141" i="56"/>
  <c r="BA137" i="56"/>
  <c r="AZ137" i="56"/>
  <c r="AY137" i="56"/>
  <c r="AX137" i="56"/>
  <c r="AV137" i="56"/>
  <c r="AU137" i="56"/>
  <c r="AT137" i="56"/>
  <c r="AS137" i="56"/>
  <c r="AQ137" i="56"/>
  <c r="AP137" i="56"/>
  <c r="AO137" i="56"/>
  <c r="AN137" i="56"/>
  <c r="AL137" i="56"/>
  <c r="AK137" i="56"/>
  <c r="AI137" i="56"/>
  <c r="AG137" i="56"/>
  <c r="AF137" i="56"/>
  <c r="AE137" i="56"/>
  <c r="AD137" i="56"/>
  <c r="AB137" i="56"/>
  <c r="AA137" i="56"/>
  <c r="Z137" i="56"/>
  <c r="Y137" i="56"/>
  <c r="W137" i="56"/>
  <c r="V137" i="56"/>
  <c r="U137" i="56"/>
  <c r="R137" i="56"/>
  <c r="Q137" i="56"/>
  <c r="P137" i="56"/>
  <c r="O137" i="56"/>
  <c r="M137" i="56"/>
  <c r="L137" i="56"/>
  <c r="K137" i="56"/>
  <c r="J137" i="56"/>
  <c r="H137" i="56"/>
  <c r="G137" i="56"/>
  <c r="F137" i="56"/>
  <c r="E137" i="56"/>
  <c r="BB131" i="56"/>
  <c r="BA131" i="56"/>
  <c r="AZ131" i="56"/>
  <c r="AY131" i="56"/>
  <c r="AX131" i="56"/>
  <c r="AW131" i="56"/>
  <c r="AV131" i="56"/>
  <c r="AU131" i="56"/>
  <c r="AT131" i="56"/>
  <c r="AS131" i="56"/>
  <c r="AR131" i="56"/>
  <c r="AQ131" i="56"/>
  <c r="AP131" i="56"/>
  <c r="AO131" i="56"/>
  <c r="AN131" i="56"/>
  <c r="AM131" i="56"/>
  <c r="AL131" i="56"/>
  <c r="AK131" i="56"/>
  <c r="AJ131" i="56"/>
  <c r="AI131" i="56"/>
  <c r="AH131" i="56"/>
  <c r="AG131" i="56"/>
  <c r="AF131" i="56"/>
  <c r="AE131" i="56"/>
  <c r="AD131" i="56"/>
  <c r="AC131" i="56"/>
  <c r="AB131" i="56"/>
  <c r="AA131" i="56"/>
  <c r="Z131" i="56"/>
  <c r="Y131" i="56"/>
  <c r="X131" i="56"/>
  <c r="W131" i="56"/>
  <c r="V131" i="56"/>
  <c r="U131" i="56"/>
  <c r="T131" i="56"/>
  <c r="S131" i="56"/>
  <c r="R131" i="56"/>
  <c r="Q131" i="56"/>
  <c r="P131" i="56"/>
  <c r="O131" i="56"/>
  <c r="N131" i="56"/>
  <c r="M131" i="56"/>
  <c r="L131" i="56"/>
  <c r="K131" i="56"/>
  <c r="J131" i="56"/>
  <c r="I131" i="56"/>
  <c r="H131" i="56"/>
  <c r="G131" i="56"/>
  <c r="F131" i="56"/>
  <c r="E131" i="56"/>
  <c r="D131" i="56"/>
  <c r="BA127" i="56"/>
  <c r="AZ127" i="56"/>
  <c r="AY127" i="56"/>
  <c r="AX127" i="56"/>
  <c r="AV127" i="56"/>
  <c r="AU127" i="56"/>
  <c r="AT127" i="56"/>
  <c r="AS127" i="56"/>
  <c r="AQ127" i="56"/>
  <c r="AP127" i="56"/>
  <c r="AO127" i="56"/>
  <c r="AN127" i="56"/>
  <c r="AL127" i="56"/>
  <c r="AK127" i="56"/>
  <c r="AI127" i="56"/>
  <c r="AG127" i="56"/>
  <c r="AF127" i="56"/>
  <c r="AE127" i="56"/>
  <c r="AD127" i="56"/>
  <c r="AB127" i="56"/>
  <c r="AA127" i="56"/>
  <c r="Z127" i="56"/>
  <c r="Y127" i="56"/>
  <c r="W127" i="56"/>
  <c r="V127" i="56"/>
  <c r="U127" i="56"/>
  <c r="R127" i="56"/>
  <c r="Q127" i="56"/>
  <c r="P127" i="56"/>
  <c r="O127" i="56"/>
  <c r="M127" i="56"/>
  <c r="L127" i="56"/>
  <c r="K127" i="56"/>
  <c r="J127" i="56"/>
  <c r="H127" i="56"/>
  <c r="G127" i="56"/>
  <c r="F127" i="56"/>
  <c r="E127" i="56"/>
  <c r="BB123" i="56"/>
  <c r="BA123" i="56"/>
  <c r="AZ123" i="56"/>
  <c r="AY123" i="56"/>
  <c r="AX123" i="56"/>
  <c r="AW123" i="56"/>
  <c r="AV123" i="56"/>
  <c r="AU123" i="56"/>
  <c r="AT123" i="56"/>
  <c r="AS123" i="56"/>
  <c r="AR123" i="56"/>
  <c r="AQ123" i="56"/>
  <c r="AP123" i="56"/>
  <c r="AO123" i="56"/>
  <c r="AN123" i="56"/>
  <c r="AM123" i="56"/>
  <c r="AL123" i="56"/>
  <c r="AK123" i="56"/>
  <c r="AJ123" i="56"/>
  <c r="AI123" i="56"/>
  <c r="AH123" i="56"/>
  <c r="AG123" i="56"/>
  <c r="AF123" i="56"/>
  <c r="AE123" i="56"/>
  <c r="AD123" i="56"/>
  <c r="AC123" i="56"/>
  <c r="AB123" i="56"/>
  <c r="AA123" i="56"/>
  <c r="Z123" i="56"/>
  <c r="Y123" i="56"/>
  <c r="X123" i="56"/>
  <c r="W123" i="56"/>
  <c r="V123" i="56"/>
  <c r="U123" i="56"/>
  <c r="T123" i="56"/>
  <c r="S123" i="56"/>
  <c r="R123" i="56"/>
  <c r="Q123" i="56"/>
  <c r="P123" i="56"/>
  <c r="O123" i="56"/>
  <c r="N123" i="56"/>
  <c r="M123" i="56"/>
  <c r="L123" i="56"/>
  <c r="K123" i="56"/>
  <c r="J123" i="56"/>
  <c r="I123" i="56"/>
  <c r="H123" i="56"/>
  <c r="G123" i="56"/>
  <c r="F123" i="56"/>
  <c r="E123" i="56"/>
  <c r="D123" i="56"/>
  <c r="BB122" i="56"/>
  <c r="BA122" i="56"/>
  <c r="AZ122" i="56"/>
  <c r="AY122" i="56"/>
  <c r="AX122" i="56"/>
  <c r="AW122" i="56"/>
  <c r="AV122" i="56"/>
  <c r="AU122" i="56"/>
  <c r="AT122" i="56"/>
  <c r="AS122" i="56"/>
  <c r="AQ122" i="56"/>
  <c r="AP122" i="56"/>
  <c r="AO122" i="56"/>
  <c r="AN122" i="56"/>
  <c r="AM122" i="56"/>
  <c r="AL122" i="56"/>
  <c r="AK122" i="56"/>
  <c r="AJ122" i="56"/>
  <c r="AI122" i="56"/>
  <c r="AG122" i="56"/>
  <c r="AF122" i="56"/>
  <c r="AE122" i="56"/>
  <c r="AD122" i="56"/>
  <c r="AC122" i="56"/>
  <c r="AB122" i="56"/>
  <c r="AA122" i="56"/>
  <c r="Z122" i="56"/>
  <c r="Y122" i="56"/>
  <c r="W122" i="56"/>
  <c r="V122" i="56"/>
  <c r="U122" i="56"/>
  <c r="T122" i="56"/>
  <c r="S122" i="56"/>
  <c r="R122" i="56"/>
  <c r="Q122" i="56"/>
  <c r="Q124" i="56" s="1"/>
  <c r="P122" i="56"/>
  <c r="O122" i="56"/>
  <c r="M122" i="56"/>
  <c r="L122" i="56"/>
  <c r="K122" i="56"/>
  <c r="J122" i="56"/>
  <c r="I122" i="56"/>
  <c r="H122" i="56"/>
  <c r="G122" i="56"/>
  <c r="F122" i="56"/>
  <c r="E122" i="56"/>
  <c r="BB115" i="56"/>
  <c r="BA115" i="56"/>
  <c r="AZ115" i="56"/>
  <c r="AY115" i="56"/>
  <c r="AX115" i="56"/>
  <c r="AW115" i="56"/>
  <c r="AV115" i="56"/>
  <c r="AU115" i="56"/>
  <c r="AT115" i="56"/>
  <c r="AS115" i="56"/>
  <c r="AR115" i="56"/>
  <c r="AQ115" i="56"/>
  <c r="AP115" i="56"/>
  <c r="AO115" i="56"/>
  <c r="AN115" i="56"/>
  <c r="AM115" i="56"/>
  <c r="AL115" i="56"/>
  <c r="AK115" i="56"/>
  <c r="AJ115" i="56"/>
  <c r="AI115" i="56"/>
  <c r="AH115" i="56"/>
  <c r="AG115" i="56"/>
  <c r="AF115" i="56"/>
  <c r="AE115" i="56"/>
  <c r="AD115" i="56"/>
  <c r="AC115" i="56"/>
  <c r="AB115" i="56"/>
  <c r="AA115" i="56"/>
  <c r="Z115" i="56"/>
  <c r="Y115" i="56"/>
  <c r="X115" i="56"/>
  <c r="W115" i="56"/>
  <c r="V115" i="56"/>
  <c r="U115" i="56"/>
  <c r="T115" i="56"/>
  <c r="S115" i="56"/>
  <c r="R115" i="56"/>
  <c r="Q115" i="56"/>
  <c r="P115" i="56"/>
  <c r="O115" i="56"/>
  <c r="N115" i="56"/>
  <c r="M115" i="56"/>
  <c r="L115" i="56"/>
  <c r="K115" i="56"/>
  <c r="J115" i="56"/>
  <c r="I115" i="56"/>
  <c r="H115" i="56"/>
  <c r="G115" i="56"/>
  <c r="F115" i="56"/>
  <c r="E115" i="56"/>
  <c r="D115" i="56"/>
  <c r="BB114" i="56"/>
  <c r="BA114" i="56"/>
  <c r="AZ114" i="56"/>
  <c r="AY114" i="56"/>
  <c r="AX114" i="56"/>
  <c r="AW114" i="56"/>
  <c r="AV114" i="56"/>
  <c r="AU114" i="56"/>
  <c r="AT114" i="56"/>
  <c r="AS114" i="56"/>
  <c r="AQ114" i="56"/>
  <c r="AP114" i="56"/>
  <c r="AO114" i="56"/>
  <c r="AN114" i="56"/>
  <c r="AM114" i="56"/>
  <c r="AL114" i="56"/>
  <c r="AK114" i="56"/>
  <c r="AJ114" i="56"/>
  <c r="AI114" i="56"/>
  <c r="AG114" i="56"/>
  <c r="AF114" i="56"/>
  <c r="AE114" i="56"/>
  <c r="AD114" i="56"/>
  <c r="AB114" i="56"/>
  <c r="AA114" i="56"/>
  <c r="Z114" i="56"/>
  <c r="Y114" i="56"/>
  <c r="W114" i="56"/>
  <c r="V114" i="56"/>
  <c r="U114" i="56"/>
  <c r="T114" i="56"/>
  <c r="S114" i="56"/>
  <c r="R114" i="56"/>
  <c r="Q114" i="56"/>
  <c r="P114" i="56"/>
  <c r="O114" i="56"/>
  <c r="M114" i="56"/>
  <c r="L114" i="56"/>
  <c r="K114" i="56"/>
  <c r="J114" i="56"/>
  <c r="I114" i="56"/>
  <c r="H114" i="56"/>
  <c r="G114" i="56"/>
  <c r="F114" i="56"/>
  <c r="E114" i="56"/>
  <c r="AC111" i="56"/>
  <c r="AC114" i="56" s="1"/>
  <c r="BB107" i="56"/>
  <c r="BA107" i="56"/>
  <c r="AZ107" i="56"/>
  <c r="AY107" i="56"/>
  <c r="AX107" i="56"/>
  <c r="AW107" i="56"/>
  <c r="AV107" i="56"/>
  <c r="AU107" i="56"/>
  <c r="AT107" i="56"/>
  <c r="AS107" i="56"/>
  <c r="AR107" i="56"/>
  <c r="AQ107" i="56"/>
  <c r="AP107" i="56"/>
  <c r="AO107" i="56"/>
  <c r="AN107" i="56"/>
  <c r="AM107" i="56"/>
  <c r="AL107" i="56"/>
  <c r="AK107" i="56"/>
  <c r="AJ107" i="56"/>
  <c r="AI107" i="56"/>
  <c r="AH107" i="56"/>
  <c r="AG107" i="56"/>
  <c r="AF107" i="56"/>
  <c r="AE107" i="56"/>
  <c r="AD107" i="56"/>
  <c r="AC107" i="56"/>
  <c r="AB107" i="56"/>
  <c r="AA107" i="56"/>
  <c r="Z107" i="56"/>
  <c r="Y107" i="56"/>
  <c r="X107" i="56"/>
  <c r="W107" i="56"/>
  <c r="V107" i="56"/>
  <c r="U107" i="56"/>
  <c r="T107" i="56"/>
  <c r="S107" i="56"/>
  <c r="R107" i="56"/>
  <c r="Q107" i="56"/>
  <c r="P107" i="56"/>
  <c r="O107" i="56"/>
  <c r="N107" i="56"/>
  <c r="M107" i="56"/>
  <c r="L107" i="56"/>
  <c r="K107" i="56"/>
  <c r="J107" i="56"/>
  <c r="I107" i="56"/>
  <c r="H107" i="56"/>
  <c r="G107" i="56"/>
  <c r="F107" i="56"/>
  <c r="E107" i="56"/>
  <c r="D107" i="56"/>
  <c r="AR103" i="56"/>
  <c r="AH103" i="56"/>
  <c r="BB99" i="56"/>
  <c r="BA99" i="56"/>
  <c r="AZ99" i="56"/>
  <c r="AY99" i="56"/>
  <c r="AX99" i="56"/>
  <c r="AW99" i="56"/>
  <c r="AV99" i="56"/>
  <c r="AU99" i="56"/>
  <c r="AT99" i="56"/>
  <c r="AS99" i="56"/>
  <c r="AR99" i="56"/>
  <c r="AQ99" i="56"/>
  <c r="AP99" i="56"/>
  <c r="AO99" i="56"/>
  <c r="AN99" i="56"/>
  <c r="AM99" i="56"/>
  <c r="AL99" i="56"/>
  <c r="AK99" i="56"/>
  <c r="AJ99" i="56"/>
  <c r="AI99" i="56"/>
  <c r="AH99" i="56"/>
  <c r="AG99" i="56"/>
  <c r="AF99" i="56"/>
  <c r="AE99" i="56"/>
  <c r="AD99" i="56"/>
  <c r="AC99" i="56"/>
  <c r="AB99" i="56"/>
  <c r="AA99" i="56"/>
  <c r="Z99" i="56"/>
  <c r="Y99" i="56"/>
  <c r="X99" i="56"/>
  <c r="W99" i="56"/>
  <c r="V99" i="56"/>
  <c r="U99" i="56"/>
  <c r="T99" i="56"/>
  <c r="S99" i="56"/>
  <c r="R99" i="56"/>
  <c r="Q99" i="56"/>
  <c r="P99" i="56"/>
  <c r="O99" i="56"/>
  <c r="N99" i="56"/>
  <c r="M99" i="56"/>
  <c r="L99" i="56"/>
  <c r="K99" i="56"/>
  <c r="J99" i="56"/>
  <c r="I99" i="56"/>
  <c r="H99" i="56"/>
  <c r="G99" i="56"/>
  <c r="F99" i="56"/>
  <c r="E99" i="56"/>
  <c r="D99" i="56"/>
  <c r="BB83" i="56"/>
  <c r="BA83" i="56"/>
  <c r="AZ83" i="56"/>
  <c r="AY83" i="56"/>
  <c r="AX83" i="56"/>
  <c r="AW83" i="56"/>
  <c r="AV83" i="56"/>
  <c r="AU83" i="56"/>
  <c r="AT83" i="56"/>
  <c r="AS83" i="56"/>
  <c r="AR83" i="56"/>
  <c r="AQ83" i="56"/>
  <c r="AP83" i="56"/>
  <c r="AO83" i="56"/>
  <c r="AN83" i="56"/>
  <c r="AM83" i="56"/>
  <c r="AL83" i="56"/>
  <c r="AK83" i="56"/>
  <c r="AJ83" i="56"/>
  <c r="AI83" i="56"/>
  <c r="AH83" i="56"/>
  <c r="AG83" i="56"/>
  <c r="AF83" i="56"/>
  <c r="AE83" i="56"/>
  <c r="AD83" i="56"/>
  <c r="AC83" i="56"/>
  <c r="AB83" i="56"/>
  <c r="AA83" i="56"/>
  <c r="Z83" i="56"/>
  <c r="Y83" i="56"/>
  <c r="X83" i="56"/>
  <c r="W83" i="56"/>
  <c r="V83" i="56"/>
  <c r="U83" i="56"/>
  <c r="T83" i="56"/>
  <c r="S83" i="56"/>
  <c r="R83" i="56"/>
  <c r="Q83" i="56"/>
  <c r="P83" i="56"/>
  <c r="O83" i="56"/>
  <c r="N83" i="56"/>
  <c r="M83" i="56"/>
  <c r="L83" i="56"/>
  <c r="K83" i="56"/>
  <c r="J83" i="56"/>
  <c r="I83" i="56"/>
  <c r="H83" i="56"/>
  <c r="G83" i="56"/>
  <c r="F83" i="56"/>
  <c r="E83" i="56"/>
  <c r="D83" i="56"/>
  <c r="BB75" i="56"/>
  <c r="BA75" i="56"/>
  <c r="AZ75" i="56"/>
  <c r="AY75" i="56"/>
  <c r="AX75" i="56"/>
  <c r="AW75" i="56"/>
  <c r="AV75" i="56"/>
  <c r="AU75" i="56"/>
  <c r="AT75" i="56"/>
  <c r="AS75" i="56"/>
  <c r="AR75" i="56"/>
  <c r="AQ75" i="56"/>
  <c r="AP75" i="56"/>
  <c r="AO75" i="56"/>
  <c r="AN75" i="56"/>
  <c r="AM75" i="56"/>
  <c r="AL75" i="56"/>
  <c r="AK75" i="56"/>
  <c r="AJ75" i="56"/>
  <c r="AI75" i="56"/>
  <c r="AH75" i="56"/>
  <c r="AG75" i="56"/>
  <c r="AF75" i="56"/>
  <c r="AE75" i="56"/>
  <c r="AD75" i="56"/>
  <c r="AC75" i="56"/>
  <c r="AB75" i="56"/>
  <c r="AA75" i="56"/>
  <c r="Z75" i="56"/>
  <c r="Y75" i="56"/>
  <c r="X75" i="56"/>
  <c r="W75" i="56"/>
  <c r="V75" i="56"/>
  <c r="U75" i="56"/>
  <c r="T75" i="56"/>
  <c r="S75" i="56"/>
  <c r="R75" i="56"/>
  <c r="Q75" i="56"/>
  <c r="P75" i="56"/>
  <c r="O75" i="56"/>
  <c r="N75" i="56"/>
  <c r="M75" i="56"/>
  <c r="L75" i="56"/>
  <c r="K75" i="56"/>
  <c r="J75" i="56"/>
  <c r="I75" i="56"/>
  <c r="H75" i="56"/>
  <c r="G75" i="56"/>
  <c r="F75" i="56"/>
  <c r="E75" i="56"/>
  <c r="D75" i="56"/>
  <c r="BB67" i="56"/>
  <c r="BA67" i="56"/>
  <c r="AZ67" i="56"/>
  <c r="AY67" i="56"/>
  <c r="AX67" i="56"/>
  <c r="AW67" i="56"/>
  <c r="AV67" i="56"/>
  <c r="AU67" i="56"/>
  <c r="AT67" i="56"/>
  <c r="AS67" i="56"/>
  <c r="AR67" i="56"/>
  <c r="AQ67" i="56"/>
  <c r="AP67" i="56"/>
  <c r="AO67" i="56"/>
  <c r="AN67" i="56"/>
  <c r="AM67" i="56"/>
  <c r="AL67" i="56"/>
  <c r="AK67" i="56"/>
  <c r="AJ67" i="56"/>
  <c r="AI67" i="56"/>
  <c r="AH67" i="56"/>
  <c r="AG67" i="56"/>
  <c r="AF67" i="56"/>
  <c r="AE67" i="56"/>
  <c r="AD67" i="56"/>
  <c r="AC67" i="56"/>
  <c r="AB67" i="56"/>
  <c r="AA67" i="56"/>
  <c r="Z67" i="56"/>
  <c r="Y67" i="56"/>
  <c r="X67" i="56"/>
  <c r="W67" i="56"/>
  <c r="V67" i="56"/>
  <c r="U67" i="56"/>
  <c r="T67" i="56"/>
  <c r="S67" i="56"/>
  <c r="R67" i="56"/>
  <c r="Q67" i="56"/>
  <c r="P67" i="56"/>
  <c r="O67" i="56"/>
  <c r="N67" i="56"/>
  <c r="M67" i="56"/>
  <c r="L67" i="56"/>
  <c r="K67" i="56"/>
  <c r="J67" i="56"/>
  <c r="I67" i="56"/>
  <c r="H67" i="56"/>
  <c r="G67" i="56"/>
  <c r="F67" i="56"/>
  <c r="E67" i="56"/>
  <c r="D67" i="56"/>
  <c r="BB51" i="56"/>
  <c r="BA51" i="56"/>
  <c r="AZ51" i="56"/>
  <c r="AY51" i="56"/>
  <c r="AX51" i="56"/>
  <c r="AW51" i="56"/>
  <c r="AV51" i="56"/>
  <c r="AU51" i="56"/>
  <c r="AT51" i="56"/>
  <c r="AS51" i="56"/>
  <c r="AR51" i="56"/>
  <c r="AQ51" i="56"/>
  <c r="AP51" i="56"/>
  <c r="AO51" i="56"/>
  <c r="AN51" i="56"/>
  <c r="AM51" i="56"/>
  <c r="AL51" i="56"/>
  <c r="AK51" i="56"/>
  <c r="AJ51" i="56"/>
  <c r="AI51" i="56"/>
  <c r="AH51" i="56"/>
  <c r="AG51" i="56"/>
  <c r="AF51" i="56"/>
  <c r="AE51" i="56"/>
  <c r="AD51" i="56"/>
  <c r="AC51" i="56"/>
  <c r="AB51" i="56"/>
  <c r="AA51" i="56"/>
  <c r="Z51" i="56"/>
  <c r="Y51" i="56"/>
  <c r="X51" i="56"/>
  <c r="W51" i="56"/>
  <c r="V51" i="56"/>
  <c r="U51" i="56"/>
  <c r="T51" i="56"/>
  <c r="S51" i="56"/>
  <c r="R51" i="56"/>
  <c r="Q51" i="56"/>
  <c r="P51" i="56"/>
  <c r="O51" i="56"/>
  <c r="N51" i="56"/>
  <c r="M51" i="56"/>
  <c r="L51" i="56"/>
  <c r="K51" i="56"/>
  <c r="J51" i="56"/>
  <c r="I51" i="56"/>
  <c r="H51" i="56"/>
  <c r="G51" i="56"/>
  <c r="F51" i="56"/>
  <c r="E51" i="56"/>
  <c r="D51" i="56"/>
  <c r="BB43" i="56"/>
  <c r="BA43" i="56"/>
  <c r="AZ43" i="56"/>
  <c r="AY43" i="56"/>
  <c r="AX43" i="56"/>
  <c r="AW43" i="56"/>
  <c r="AV43" i="56"/>
  <c r="AU43" i="56"/>
  <c r="AT43" i="56"/>
  <c r="AS43" i="56"/>
  <c r="AR43" i="56"/>
  <c r="AQ43" i="56"/>
  <c r="AP43" i="56"/>
  <c r="AO43" i="56"/>
  <c r="AN43" i="56"/>
  <c r="AM43" i="56"/>
  <c r="AL43" i="56"/>
  <c r="AK43" i="56"/>
  <c r="AJ43" i="56"/>
  <c r="AI43" i="56"/>
  <c r="AH43" i="56"/>
  <c r="AG43" i="56"/>
  <c r="AF43" i="56"/>
  <c r="AE43" i="56"/>
  <c r="AD43" i="56"/>
  <c r="AC43" i="56"/>
  <c r="AB43" i="56"/>
  <c r="AA43" i="56"/>
  <c r="Z43" i="56"/>
  <c r="Y43" i="56"/>
  <c r="X43" i="56"/>
  <c r="W43" i="56"/>
  <c r="V43" i="56"/>
  <c r="U43" i="56"/>
  <c r="T43" i="56"/>
  <c r="S43" i="56"/>
  <c r="R43" i="56"/>
  <c r="Q43" i="56"/>
  <c r="P43" i="56"/>
  <c r="O43" i="56"/>
  <c r="N43" i="56"/>
  <c r="M43" i="56"/>
  <c r="L43" i="56"/>
  <c r="K43" i="56"/>
  <c r="J43" i="56"/>
  <c r="I43" i="56"/>
  <c r="H43" i="56"/>
  <c r="G43" i="56"/>
  <c r="F43" i="56"/>
  <c r="E43" i="56"/>
  <c r="D43" i="56"/>
  <c r="D39" i="56"/>
  <c r="D42" i="56" s="1"/>
  <c r="BB35" i="56"/>
  <c r="BA35" i="56"/>
  <c r="AZ35" i="56"/>
  <c r="AY35" i="56"/>
  <c r="AX35" i="56"/>
  <c r="AW35" i="56"/>
  <c r="AV35" i="56"/>
  <c r="AU35" i="56"/>
  <c r="AT35" i="56"/>
  <c r="AS35" i="56"/>
  <c r="AR35" i="56"/>
  <c r="AQ35" i="56"/>
  <c r="AP35" i="56"/>
  <c r="AO35" i="56"/>
  <c r="AN35" i="56"/>
  <c r="AM35" i="56"/>
  <c r="AL35" i="56"/>
  <c r="AK35" i="56"/>
  <c r="AJ35" i="56"/>
  <c r="AI35" i="56"/>
  <c r="AH35" i="56"/>
  <c r="AG35" i="56"/>
  <c r="AF35" i="56"/>
  <c r="AE35" i="56"/>
  <c r="AD35" i="56"/>
  <c r="AC35" i="56"/>
  <c r="AB35" i="56"/>
  <c r="AA35" i="56"/>
  <c r="Z35" i="56"/>
  <c r="Y35" i="56"/>
  <c r="X35" i="56"/>
  <c r="W35" i="56"/>
  <c r="V35" i="56"/>
  <c r="U35" i="56"/>
  <c r="T35" i="56"/>
  <c r="S35" i="56"/>
  <c r="R35" i="56"/>
  <c r="Q35" i="56"/>
  <c r="P35" i="56"/>
  <c r="O35" i="56"/>
  <c r="N35" i="56"/>
  <c r="M35" i="56"/>
  <c r="L35" i="56"/>
  <c r="K35" i="56"/>
  <c r="J35" i="56"/>
  <c r="I35" i="56"/>
  <c r="H35" i="56"/>
  <c r="G35" i="56"/>
  <c r="F35" i="56"/>
  <c r="E35" i="56"/>
  <c r="D35" i="56"/>
  <c r="BB33" i="56"/>
  <c r="BA33" i="56"/>
  <c r="AZ33" i="56"/>
  <c r="AY33" i="56"/>
  <c r="AX33" i="56"/>
  <c r="AW33" i="56"/>
  <c r="AV33" i="56"/>
  <c r="AU33" i="56"/>
  <c r="AT33" i="56"/>
  <c r="AS33" i="56"/>
  <c r="AR33" i="56"/>
  <c r="AQ33" i="56"/>
  <c r="AP33" i="56"/>
  <c r="AO33" i="56"/>
  <c r="AN33" i="56"/>
  <c r="AM33" i="56"/>
  <c r="AL33" i="56"/>
  <c r="AK33" i="56"/>
  <c r="AJ33" i="56"/>
  <c r="AI33" i="56"/>
  <c r="AH33" i="56"/>
  <c r="AG33" i="56"/>
  <c r="AF33" i="56"/>
  <c r="AE33" i="56"/>
  <c r="AD33" i="56"/>
  <c r="AC33" i="56"/>
  <c r="AB33" i="56"/>
  <c r="AA33" i="56"/>
  <c r="Z33" i="56"/>
  <c r="Y33" i="56"/>
  <c r="X33" i="56"/>
  <c r="W33" i="56"/>
  <c r="V33" i="56"/>
  <c r="U33" i="56"/>
  <c r="T33" i="56"/>
  <c r="S33" i="56"/>
  <c r="R33" i="56"/>
  <c r="Q33" i="56"/>
  <c r="P33" i="56"/>
  <c r="O33" i="56"/>
  <c r="N33" i="56"/>
  <c r="M33" i="56"/>
  <c r="L33" i="56"/>
  <c r="K33" i="56"/>
  <c r="J33" i="56"/>
  <c r="I33" i="56"/>
  <c r="H33" i="56"/>
  <c r="G33" i="56"/>
  <c r="F33" i="56"/>
  <c r="E33" i="56"/>
  <c r="AJ31" i="56"/>
  <c r="T31" i="56"/>
  <c r="D31" i="56"/>
  <c r="D34" i="56" s="1"/>
  <c r="BB27" i="56"/>
  <c r="BA27" i="56"/>
  <c r="AZ27" i="56"/>
  <c r="AY27" i="56"/>
  <c r="AX27" i="56"/>
  <c r="AW27" i="56"/>
  <c r="AV27" i="56"/>
  <c r="AU27" i="56"/>
  <c r="AT27" i="56"/>
  <c r="AS27" i="56"/>
  <c r="AR27" i="56"/>
  <c r="AQ27" i="56"/>
  <c r="AP27" i="56"/>
  <c r="AO27" i="56"/>
  <c r="AN27" i="56"/>
  <c r="AM27" i="56"/>
  <c r="AL27" i="56"/>
  <c r="AK27" i="56"/>
  <c r="AJ27" i="56"/>
  <c r="AI27" i="56"/>
  <c r="AH27" i="56"/>
  <c r="AG27" i="56"/>
  <c r="AF27" i="56"/>
  <c r="AE27" i="56"/>
  <c r="AD27" i="56"/>
  <c r="AC27" i="56"/>
  <c r="AB27" i="56"/>
  <c r="AA27" i="56"/>
  <c r="Z27" i="56"/>
  <c r="Y27" i="56"/>
  <c r="X27" i="56"/>
  <c r="W27" i="56"/>
  <c r="V27" i="56"/>
  <c r="U27" i="56"/>
  <c r="T27" i="56"/>
  <c r="S27" i="56"/>
  <c r="R27" i="56"/>
  <c r="Q27" i="56"/>
  <c r="P27" i="56"/>
  <c r="O27" i="56"/>
  <c r="N27" i="56"/>
  <c r="M27" i="56"/>
  <c r="L27" i="56"/>
  <c r="K27" i="56"/>
  <c r="J27" i="56"/>
  <c r="I27" i="56"/>
  <c r="H27" i="56"/>
  <c r="G27" i="56"/>
  <c r="F27" i="56"/>
  <c r="E27" i="56"/>
  <c r="D27" i="56"/>
  <c r="BB25" i="56"/>
  <c r="BA25" i="56"/>
  <c r="AZ25" i="56"/>
  <c r="AY25" i="56"/>
  <c r="AX25" i="56"/>
  <c r="AW25" i="56"/>
  <c r="AV25" i="56"/>
  <c r="AU25" i="56"/>
  <c r="AT25" i="56"/>
  <c r="AS25" i="56"/>
  <c r="AR25" i="56"/>
  <c r="AQ25" i="56"/>
  <c r="AP25" i="56"/>
  <c r="AO25" i="56"/>
  <c r="AN25" i="56"/>
  <c r="AM25" i="56"/>
  <c r="AL25" i="56"/>
  <c r="AK25" i="56"/>
  <c r="AJ25" i="56"/>
  <c r="AI25" i="56"/>
  <c r="AH25" i="56"/>
  <c r="AG25" i="56"/>
  <c r="AF25" i="56"/>
  <c r="AE25" i="56"/>
  <c r="AD25" i="56"/>
  <c r="AC25" i="56"/>
  <c r="AB25" i="56"/>
  <c r="AA25" i="56"/>
  <c r="Z25" i="56"/>
  <c r="Y25" i="56"/>
  <c r="X25" i="56"/>
  <c r="W25" i="56"/>
  <c r="V25" i="56"/>
  <c r="U25" i="56"/>
  <c r="T25" i="56"/>
  <c r="S25" i="56"/>
  <c r="R25" i="56"/>
  <c r="Q25" i="56"/>
  <c r="P25" i="56"/>
  <c r="O25" i="56"/>
  <c r="N25" i="56"/>
  <c r="M25" i="56"/>
  <c r="L25" i="56"/>
  <c r="K25" i="56"/>
  <c r="J25" i="56"/>
  <c r="I25" i="56"/>
  <c r="H25" i="56"/>
  <c r="G25" i="56"/>
  <c r="F25" i="56"/>
  <c r="E25" i="56"/>
  <c r="AR23" i="56"/>
  <c r="AJ23" i="56"/>
  <c r="AH23" i="56"/>
  <c r="X23" i="56"/>
  <c r="T23" i="56"/>
  <c r="N23" i="56"/>
  <c r="D23" i="56"/>
  <c r="D26" i="56" s="1"/>
  <c r="BB19" i="56"/>
  <c r="BA19" i="56"/>
  <c r="AZ19" i="56"/>
  <c r="AY19" i="56"/>
  <c r="AX19" i="56"/>
  <c r="AW19" i="56"/>
  <c r="AV19" i="56"/>
  <c r="AU19" i="56"/>
  <c r="AT19" i="56"/>
  <c r="AS19" i="56"/>
  <c r="AR19" i="56"/>
  <c r="AQ19" i="56"/>
  <c r="AP19" i="56"/>
  <c r="AO19" i="56"/>
  <c r="AN19" i="56"/>
  <c r="AM19" i="56"/>
  <c r="AL19" i="56"/>
  <c r="AK19" i="56"/>
  <c r="AJ19" i="56"/>
  <c r="AI19" i="56"/>
  <c r="AH19" i="56"/>
  <c r="AG19" i="56"/>
  <c r="AF19" i="56"/>
  <c r="AE19" i="56"/>
  <c r="AD19" i="56"/>
  <c r="AC19" i="56"/>
  <c r="AB19" i="56"/>
  <c r="AA19" i="56"/>
  <c r="Z19" i="56"/>
  <c r="Y19" i="56"/>
  <c r="X19" i="56"/>
  <c r="W19" i="56"/>
  <c r="V19" i="56"/>
  <c r="U19" i="56"/>
  <c r="T19" i="56"/>
  <c r="S19" i="56"/>
  <c r="R19" i="56"/>
  <c r="Q19" i="56"/>
  <c r="P19" i="56"/>
  <c r="O19" i="56"/>
  <c r="N19" i="56"/>
  <c r="M19" i="56"/>
  <c r="L19" i="56"/>
  <c r="K19" i="56"/>
  <c r="J19" i="56"/>
  <c r="I19" i="56"/>
  <c r="H19" i="56"/>
  <c r="G19" i="56"/>
  <c r="F19" i="56"/>
  <c r="E19" i="56"/>
  <c r="D19" i="56"/>
  <c r="BB17" i="56"/>
  <c r="BA17" i="56"/>
  <c r="AZ17" i="56"/>
  <c r="AY17" i="56"/>
  <c r="AX17" i="56"/>
  <c r="AW17" i="56"/>
  <c r="AV17" i="56"/>
  <c r="AU17" i="56"/>
  <c r="AT17" i="56"/>
  <c r="AS17" i="56"/>
  <c r="AR17" i="56"/>
  <c r="AQ17" i="56"/>
  <c r="AP17" i="56"/>
  <c r="AO17" i="56"/>
  <c r="AN17" i="56"/>
  <c r="AM17" i="56"/>
  <c r="AL17" i="56"/>
  <c r="AK17" i="56"/>
  <c r="AJ17" i="56"/>
  <c r="AI17" i="56"/>
  <c r="AH17" i="56"/>
  <c r="AG17" i="56"/>
  <c r="AF17" i="56"/>
  <c r="AE17" i="56"/>
  <c r="AD17" i="56"/>
  <c r="AC17" i="56"/>
  <c r="AB17" i="56"/>
  <c r="AA17" i="56"/>
  <c r="Z17" i="56"/>
  <c r="Y17" i="56"/>
  <c r="X17" i="56"/>
  <c r="W17" i="56"/>
  <c r="V17" i="56"/>
  <c r="U17" i="56"/>
  <c r="T17" i="56"/>
  <c r="S17" i="56"/>
  <c r="R17" i="56"/>
  <c r="Q17" i="56"/>
  <c r="P17" i="56"/>
  <c r="O17" i="56"/>
  <c r="N17" i="56"/>
  <c r="M17" i="56"/>
  <c r="L17" i="56"/>
  <c r="K17" i="56"/>
  <c r="J17" i="56"/>
  <c r="I17" i="56"/>
  <c r="H17" i="56"/>
  <c r="G17" i="56"/>
  <c r="F17" i="56"/>
  <c r="E17" i="56"/>
  <c r="BB15" i="56"/>
  <c r="BB158" i="56" s="1"/>
  <c r="AW15" i="56"/>
  <c r="AW158" i="56" s="1"/>
  <c r="AR15" i="56"/>
  <c r="AM15" i="56"/>
  <c r="AM158" i="56" s="1"/>
  <c r="AH15" i="56"/>
  <c r="AC15" i="56"/>
  <c r="X15" i="56"/>
  <c r="S15" i="56"/>
  <c r="S158" i="56" s="1"/>
  <c r="N15" i="56"/>
  <c r="I15" i="56"/>
  <c r="I158" i="56" s="1"/>
  <c r="D15" i="56"/>
  <c r="D18" i="56" s="1"/>
  <c r="BB11" i="56"/>
  <c r="BA11" i="56"/>
  <c r="AZ11" i="56"/>
  <c r="AY11" i="56"/>
  <c r="AX11" i="56"/>
  <c r="AW11" i="56"/>
  <c r="AV11" i="56"/>
  <c r="AU11" i="56"/>
  <c r="AT11" i="56"/>
  <c r="AS11" i="56"/>
  <c r="AR11" i="56"/>
  <c r="AQ11" i="56"/>
  <c r="AP11" i="56"/>
  <c r="AO11" i="56"/>
  <c r="AN11" i="56"/>
  <c r="AM11" i="56"/>
  <c r="AL11" i="56"/>
  <c r="AK11" i="56"/>
  <c r="AJ11" i="56"/>
  <c r="AI11" i="56"/>
  <c r="AH11" i="56"/>
  <c r="AG11" i="56"/>
  <c r="AF11" i="56"/>
  <c r="AE11" i="56"/>
  <c r="AD11" i="56"/>
  <c r="AC11" i="56"/>
  <c r="AB11" i="56"/>
  <c r="AA11" i="56"/>
  <c r="Z11" i="56"/>
  <c r="Y11" i="56"/>
  <c r="X11" i="56"/>
  <c r="W11" i="56"/>
  <c r="V11" i="56"/>
  <c r="U11" i="56"/>
  <c r="T11" i="56"/>
  <c r="S11" i="56"/>
  <c r="R11" i="56"/>
  <c r="Q11" i="56"/>
  <c r="P11" i="56"/>
  <c r="O11" i="56"/>
  <c r="N11" i="56"/>
  <c r="M11" i="56"/>
  <c r="L11" i="56"/>
  <c r="K11" i="56"/>
  <c r="J11" i="56"/>
  <c r="I11" i="56"/>
  <c r="H11" i="56"/>
  <c r="G11" i="56"/>
  <c r="F11" i="56"/>
  <c r="E11" i="56"/>
  <c r="D11" i="56"/>
  <c r="E159" i="29"/>
  <c r="F159" i="29"/>
  <c r="G159" i="29"/>
  <c r="H159" i="29"/>
  <c r="J159" i="29"/>
  <c r="K159" i="29"/>
  <c r="L159" i="29"/>
  <c r="M159" i="29"/>
  <c r="O159" i="29"/>
  <c r="P159" i="29"/>
  <c r="Q159" i="29"/>
  <c r="R159" i="29"/>
  <c r="U159" i="29"/>
  <c r="V159" i="29"/>
  <c r="W159" i="29"/>
  <c r="Y159" i="29"/>
  <c r="Z159" i="29"/>
  <c r="AA159" i="29"/>
  <c r="AB159" i="29"/>
  <c r="AD159" i="29"/>
  <c r="AE159" i="29"/>
  <c r="AF159" i="29"/>
  <c r="AG159" i="29"/>
  <c r="AI159" i="29"/>
  <c r="AK159" i="29"/>
  <c r="AL159" i="29"/>
  <c r="AN159" i="29"/>
  <c r="AO159" i="29"/>
  <c r="AP159" i="29"/>
  <c r="AQ159" i="29"/>
  <c r="AS159" i="29"/>
  <c r="AT159" i="29"/>
  <c r="AU159" i="29"/>
  <c r="AV159" i="29"/>
  <c r="AX159" i="29"/>
  <c r="AY159" i="29"/>
  <c r="AZ159" i="29"/>
  <c r="BA159" i="29"/>
  <c r="E20" i="28"/>
  <c r="E19" i="28"/>
  <c r="D20" i="28"/>
  <c r="D19" i="28"/>
  <c r="E149" i="29"/>
  <c r="F149" i="29"/>
  <c r="G149" i="29"/>
  <c r="H149" i="29"/>
  <c r="J149" i="29"/>
  <c r="K149" i="29"/>
  <c r="L149" i="29"/>
  <c r="M149" i="29"/>
  <c r="O149" i="29"/>
  <c r="P149" i="29"/>
  <c r="Q149" i="29"/>
  <c r="R149" i="29"/>
  <c r="U149" i="29"/>
  <c r="V149" i="29"/>
  <c r="W149" i="29"/>
  <c r="Y149" i="29"/>
  <c r="Z149" i="29"/>
  <c r="AA149" i="29"/>
  <c r="AB149" i="29"/>
  <c r="AD149" i="29"/>
  <c r="AE149" i="29"/>
  <c r="AF149" i="29"/>
  <c r="AG149" i="29"/>
  <c r="AI149" i="29"/>
  <c r="AK149" i="29"/>
  <c r="AL149" i="29"/>
  <c r="AN149" i="29"/>
  <c r="AO149" i="29"/>
  <c r="AP149" i="29"/>
  <c r="AQ149" i="29"/>
  <c r="AS149" i="29"/>
  <c r="AT149" i="29"/>
  <c r="AU149" i="29"/>
  <c r="AV149" i="29"/>
  <c r="AX149" i="29"/>
  <c r="AY149" i="29"/>
  <c r="AZ149" i="29"/>
  <c r="BA149"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BB153" i="29"/>
  <c r="BA153" i="29"/>
  <c r="AZ153" i="29"/>
  <c r="AY153" i="29"/>
  <c r="AX153" i="29"/>
  <c r="AW153" i="29"/>
  <c r="AV153" i="29"/>
  <c r="AU153" i="29"/>
  <c r="AT153" i="29"/>
  <c r="AS153" i="29"/>
  <c r="AR153" i="29"/>
  <c r="AQ153" i="29"/>
  <c r="AP153" i="29"/>
  <c r="AO153" i="29"/>
  <c r="AN153" i="29"/>
  <c r="AM153" i="29"/>
  <c r="AL153" i="29"/>
  <c r="AK153" i="29"/>
  <c r="AJ153" i="29"/>
  <c r="AI153" i="29"/>
  <c r="AH153" i="29"/>
  <c r="AG153" i="29"/>
  <c r="AF153" i="29"/>
  <c r="AE153" i="29"/>
  <c r="AD153" i="29"/>
  <c r="AC153" i="29"/>
  <c r="AB153" i="29"/>
  <c r="AA153" i="29"/>
  <c r="Z153" i="29"/>
  <c r="Y153" i="29"/>
  <c r="X153" i="29"/>
  <c r="W153" i="29"/>
  <c r="V153" i="29"/>
  <c r="U153" i="29"/>
  <c r="T153" i="29"/>
  <c r="S153" i="29"/>
  <c r="R153" i="29"/>
  <c r="Q153" i="29"/>
  <c r="P153" i="29"/>
  <c r="O153" i="29"/>
  <c r="N153" i="29"/>
  <c r="M153" i="29"/>
  <c r="L153" i="29"/>
  <c r="K153" i="29"/>
  <c r="J153" i="29"/>
  <c r="I153" i="29"/>
  <c r="H153" i="29"/>
  <c r="G153" i="29"/>
  <c r="F153" i="29"/>
  <c r="E153" i="29"/>
  <c r="D153" i="29"/>
  <c r="F13" i="28"/>
  <c r="F12" i="28"/>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B7" i="53"/>
  <c r="B7" i="52"/>
  <c r="B7" i="44"/>
  <c r="B52" i="22"/>
  <c r="B53" i="22" s="1"/>
  <c r="B8" i="44"/>
  <c r="E16" i="28"/>
  <c r="D16" i="28"/>
  <c r="C16" i="28"/>
  <c r="B16" i="28"/>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BB99" i="29"/>
  <c r="BA99" i="29"/>
  <c r="AZ99" i="29"/>
  <c r="AY99" i="29"/>
  <c r="AX99" i="29"/>
  <c r="AW99" i="29"/>
  <c r="AV99" i="29"/>
  <c r="AU99" i="29"/>
  <c r="AT99" i="29"/>
  <c r="AS99" i="29"/>
  <c r="AR99" i="29"/>
  <c r="AQ99" i="29"/>
  <c r="AP99" i="29"/>
  <c r="AO99" i="29"/>
  <c r="AN99" i="29"/>
  <c r="AM99" i="29"/>
  <c r="AL99" i="29"/>
  <c r="AK99" i="29"/>
  <c r="AJ99" i="29"/>
  <c r="AI99" i="29"/>
  <c r="AH99" i="29"/>
  <c r="AG99" i="29"/>
  <c r="AF99" i="29"/>
  <c r="AE99" i="29"/>
  <c r="AD99" i="29"/>
  <c r="AC99" i="29"/>
  <c r="AB99" i="29"/>
  <c r="AA99" i="29"/>
  <c r="Z99" i="29"/>
  <c r="Y99" i="29"/>
  <c r="X99" i="29"/>
  <c r="W99" i="29"/>
  <c r="V99" i="29"/>
  <c r="U99" i="29"/>
  <c r="T99" i="29"/>
  <c r="S99" i="29"/>
  <c r="R99" i="29"/>
  <c r="Q99" i="29"/>
  <c r="P99" i="29"/>
  <c r="O99" i="29"/>
  <c r="N99" i="29"/>
  <c r="M99" i="29"/>
  <c r="L99" i="29"/>
  <c r="K99" i="29"/>
  <c r="J99" i="29"/>
  <c r="I99" i="29"/>
  <c r="H99" i="29"/>
  <c r="G99" i="29"/>
  <c r="F99" i="29"/>
  <c r="E99" i="29"/>
  <c r="D99" i="29"/>
  <c r="B70" i="22"/>
  <c r="B63" i="22"/>
  <c r="B56" i="22"/>
  <c r="C15" i="28"/>
  <c r="D15" i="28"/>
  <c r="E15" i="28"/>
  <c r="B15" i="28"/>
  <c r="B29" i="53"/>
  <c r="B18" i="53"/>
  <c r="B9" i="53"/>
  <c r="B8" i="53"/>
  <c r="B17" i="53" s="1"/>
  <c r="B8" i="52"/>
  <c r="B17" i="52" s="1"/>
  <c r="B29" i="52"/>
  <c r="B18" i="52"/>
  <c r="B9" i="52"/>
  <c r="AJ158" i="56" l="1"/>
  <c r="AJ166" i="57"/>
  <c r="T166" i="57"/>
  <c r="F19" i="28"/>
  <c r="U124" i="56"/>
  <c r="AH55" i="56"/>
  <c r="X55" i="56"/>
  <c r="N55" i="29"/>
  <c r="X55" i="29"/>
  <c r="AR55" i="57"/>
  <c r="AH55" i="29"/>
  <c r="AR55" i="29"/>
  <c r="N55" i="56"/>
  <c r="AR55" i="56"/>
  <c r="N55" i="57"/>
  <c r="X55" i="57"/>
  <c r="AH55" i="57"/>
  <c r="T158" i="56"/>
  <c r="AA116" i="56"/>
  <c r="F116" i="56"/>
  <c r="AE124" i="56"/>
  <c r="E116" i="56"/>
  <c r="AT132" i="57"/>
  <c r="E132" i="57"/>
  <c r="S124" i="57"/>
  <c r="AI124" i="57"/>
  <c r="AY124" i="57"/>
  <c r="J116" i="56"/>
  <c r="AL116" i="56"/>
  <c r="M116" i="56"/>
  <c r="BB132" i="57"/>
  <c r="F15" i="28"/>
  <c r="AG116" i="56"/>
  <c r="K124" i="57"/>
  <c r="AQ124" i="57"/>
  <c r="M132" i="57"/>
  <c r="K116" i="56"/>
  <c r="U116" i="56"/>
  <c r="AK116" i="56"/>
  <c r="AS116" i="56"/>
  <c r="BA116" i="56"/>
  <c r="G124" i="56"/>
  <c r="O124" i="56"/>
  <c r="W124" i="56"/>
  <c r="AM124" i="56"/>
  <c r="AU124" i="56"/>
  <c r="V116" i="56"/>
  <c r="AD116" i="56"/>
  <c r="AT116" i="56"/>
  <c r="BB116" i="56"/>
  <c r="H124" i="56"/>
  <c r="P124" i="56"/>
  <c r="AF124" i="56"/>
  <c r="AN124" i="56"/>
  <c r="AV124" i="56"/>
  <c r="AI116" i="56"/>
  <c r="AQ116" i="56"/>
  <c r="I116" i="56"/>
  <c r="Q116" i="56"/>
  <c r="Y116" i="56"/>
  <c r="AO116" i="56"/>
  <c r="AW116" i="56"/>
  <c r="K124" i="56"/>
  <c r="S124" i="56"/>
  <c r="AA124" i="56"/>
  <c r="AI124" i="56"/>
  <c r="AQ124" i="56"/>
  <c r="AY124" i="56"/>
  <c r="R116" i="56"/>
  <c r="Z116" i="56"/>
  <c r="AP116" i="56"/>
  <c r="AX116" i="56"/>
  <c r="L124" i="56"/>
  <c r="T124" i="56"/>
  <c r="AB124" i="56"/>
  <c r="AJ124" i="56"/>
  <c r="AZ124" i="56"/>
  <c r="AA124" i="57"/>
  <c r="U132" i="57"/>
  <c r="F132" i="57"/>
  <c r="V132" i="57"/>
  <c r="AL132" i="57"/>
  <c r="F124" i="57"/>
  <c r="V124" i="57"/>
  <c r="AD124" i="57"/>
  <c r="AL124" i="57"/>
  <c r="AT124" i="57"/>
  <c r="BB124" i="57"/>
  <c r="G124" i="57"/>
  <c r="O124" i="57"/>
  <c r="W124" i="57"/>
  <c r="AE124" i="57"/>
  <c r="AM124" i="57"/>
  <c r="AU124" i="57"/>
  <c r="I132" i="57"/>
  <c r="Q132" i="57"/>
  <c r="Y132" i="57"/>
  <c r="J132" i="57"/>
  <c r="R132" i="57"/>
  <c r="R124" i="57"/>
  <c r="AX124" i="57"/>
  <c r="AG132" i="57"/>
  <c r="AO132" i="57"/>
  <c r="AW132" i="57"/>
  <c r="Z132" i="57"/>
  <c r="AP132" i="57"/>
  <c r="AX132" i="57"/>
  <c r="AC132" i="57"/>
  <c r="AK132" i="57"/>
  <c r="AS132" i="57"/>
  <c r="BA132" i="57"/>
  <c r="G116" i="56"/>
  <c r="D36" i="56"/>
  <c r="D37" i="56" s="1"/>
  <c r="AM116" i="56"/>
  <c r="AE116" i="56"/>
  <c r="T124" i="57"/>
  <c r="D36" i="57"/>
  <c r="D37" i="57" s="1"/>
  <c r="P124" i="57"/>
  <c r="AZ124" i="57"/>
  <c r="U124" i="57"/>
  <c r="E124" i="57"/>
  <c r="M124" i="57"/>
  <c r="AG124" i="57"/>
  <c r="H124" i="57"/>
  <c r="Q124" i="57"/>
  <c r="AJ124" i="57"/>
  <c r="AS124" i="57"/>
  <c r="BA124" i="57"/>
  <c r="AC124" i="57"/>
  <c r="I124" i="57"/>
  <c r="AK124" i="57"/>
  <c r="D20" i="57"/>
  <c r="D21" i="57" s="1"/>
  <c r="AI132" i="57"/>
  <c r="AQ132" i="57"/>
  <c r="AA132" i="57"/>
  <c r="J124" i="57"/>
  <c r="K132" i="57"/>
  <c r="AU132" i="57"/>
  <c r="L124" i="57"/>
  <c r="G132" i="57"/>
  <c r="D44" i="57"/>
  <c r="D45" i="57" s="1"/>
  <c r="D28" i="57"/>
  <c r="D29" i="57" s="1"/>
  <c r="AB124" i="57"/>
  <c r="AD132" i="57"/>
  <c r="AM132" i="57"/>
  <c r="O132" i="57"/>
  <c r="W132" i="57"/>
  <c r="AE132" i="57"/>
  <c r="AN124" i="57"/>
  <c r="AV124" i="57"/>
  <c r="AF124" i="57"/>
  <c r="AO124" i="57"/>
  <c r="AW124" i="57"/>
  <c r="AY132" i="57"/>
  <c r="AP124" i="57"/>
  <c r="Z124" i="57"/>
  <c r="BB155" i="57"/>
  <c r="BB135" i="57"/>
  <c r="BB145" i="57"/>
  <c r="S145" i="57"/>
  <c r="S155" i="57"/>
  <c r="S135" i="57"/>
  <c r="T145" i="57"/>
  <c r="T155" i="57"/>
  <c r="T135" i="57"/>
  <c r="AM155" i="57"/>
  <c r="AM145" i="57"/>
  <c r="AM135" i="57"/>
  <c r="I135" i="57"/>
  <c r="I145" i="57"/>
  <c r="I155" i="57"/>
  <c r="AW135" i="57"/>
  <c r="AW145" i="57"/>
  <c r="AW155" i="57"/>
  <c r="AJ145" i="57"/>
  <c r="AJ155" i="57"/>
  <c r="AJ135" i="57"/>
  <c r="L132" i="57"/>
  <c r="T132" i="57"/>
  <c r="AB132" i="57"/>
  <c r="AJ132" i="57"/>
  <c r="AZ132" i="57"/>
  <c r="H132" i="57"/>
  <c r="P132" i="57"/>
  <c r="AF132" i="57"/>
  <c r="AN132" i="57"/>
  <c r="AV132" i="57"/>
  <c r="O116" i="56"/>
  <c r="W116" i="56"/>
  <c r="AY116" i="56"/>
  <c r="I124" i="56"/>
  <c r="AC116" i="56"/>
  <c r="D20" i="56"/>
  <c r="D21" i="56" s="1"/>
  <c r="S116" i="56"/>
  <c r="AU116" i="56"/>
  <c r="E124" i="56"/>
  <c r="M124" i="56"/>
  <c r="D44" i="56"/>
  <c r="D45" i="56" s="1"/>
  <c r="AC124" i="56"/>
  <c r="H116" i="56"/>
  <c r="AW124" i="56"/>
  <c r="AO124" i="56"/>
  <c r="Y124" i="56"/>
  <c r="AG124" i="56"/>
  <c r="L116" i="56"/>
  <c r="AN116" i="56"/>
  <c r="AV116" i="56"/>
  <c r="AS124" i="56"/>
  <c r="BA124" i="56"/>
  <c r="AK124" i="56"/>
  <c r="AF116" i="56"/>
  <c r="P116" i="56"/>
  <c r="D28" i="56"/>
  <c r="D29" i="56" s="1"/>
  <c r="AJ116" i="56"/>
  <c r="AZ116" i="56"/>
  <c r="T116" i="56"/>
  <c r="AB116" i="56"/>
  <c r="AM147" i="56"/>
  <c r="AM137" i="56"/>
  <c r="AM127" i="56"/>
  <c r="I137" i="56"/>
  <c r="I147" i="56"/>
  <c r="I127" i="56"/>
  <c r="AW147" i="56"/>
  <c r="AW137" i="56"/>
  <c r="AW127" i="56"/>
  <c r="S147" i="56"/>
  <c r="S137" i="56"/>
  <c r="S127" i="56"/>
  <c r="T147" i="56"/>
  <c r="T137" i="56"/>
  <c r="T127" i="56"/>
  <c r="AJ147" i="56"/>
  <c r="AJ137" i="56"/>
  <c r="AJ127" i="56"/>
  <c r="BB147" i="56"/>
  <c r="BB127" i="56"/>
  <c r="BB137" i="56"/>
  <c r="AD124" i="56"/>
  <c r="AL124" i="56"/>
  <c r="F124" i="56"/>
  <c r="V124" i="56"/>
  <c r="AX124" i="56"/>
  <c r="Z124" i="56"/>
  <c r="AP124" i="56"/>
  <c r="J124" i="56"/>
  <c r="R124" i="56"/>
  <c r="AT124" i="56"/>
  <c r="BB124" i="56"/>
  <c r="F20" i="28"/>
  <c r="F16" i="28"/>
  <c r="B14" i="53"/>
  <c r="B19" i="53"/>
  <c r="B14" i="52"/>
  <c r="B19" i="52"/>
  <c r="B9" i="47"/>
  <c r="D9" i="47" s="1"/>
  <c r="B8" i="47"/>
  <c r="D3" i="47"/>
  <c r="D4" i="47"/>
  <c r="D5" i="47"/>
  <c r="D7" i="47"/>
  <c r="D10" i="47"/>
  <c r="D2" i="47"/>
  <c r="C2" i="47"/>
  <c r="C5" i="47"/>
  <c r="B6" i="47"/>
  <c r="E3" i="47"/>
  <c r="H3" i="16"/>
  <c r="J3" i="16" s="1"/>
  <c r="D8" i="47" l="1"/>
  <c r="C6" i="47"/>
  <c r="E6" i="47" s="1"/>
  <c r="B11" i="47"/>
  <c r="E5" i="47"/>
  <c r="E2" i="47"/>
  <c r="AC95" i="29"/>
  <c r="AC95" i="57"/>
  <c r="AC103" i="57"/>
  <c r="AC95" i="56"/>
  <c r="AC103" i="29"/>
  <c r="B64" i="22"/>
  <c r="B27" i="52"/>
  <c r="B71" i="22"/>
  <c r="B27" i="53"/>
  <c r="D6" i="47"/>
  <c r="D11" i="47" s="1"/>
  <c r="D39" i="29"/>
  <c r="B72" i="22" l="1"/>
  <c r="E72" i="22" s="1"/>
  <c r="I3" i="7"/>
  <c r="I5" i="7"/>
  <c r="I6" i="7"/>
  <c r="I2" i="7"/>
  <c r="G3" i="7"/>
  <c r="G5" i="7"/>
  <c r="G6" i="7"/>
  <c r="G2" i="7"/>
  <c r="F4" i="7"/>
  <c r="H4" i="7" s="1"/>
  <c r="B7" i="71" s="1"/>
  <c r="K47" i="40"/>
  <c r="K48" i="40"/>
  <c r="J27" i="40"/>
  <c r="J26" i="40"/>
  <c r="J3" i="12"/>
  <c r="F26" i="40"/>
  <c r="M3" i="22"/>
  <c r="M4" i="22"/>
  <c r="M5" i="22"/>
  <c r="M6" i="22"/>
  <c r="I4" i="22"/>
  <c r="J4" i="22" s="1"/>
  <c r="F5" i="22"/>
  <c r="H7" i="22"/>
  <c r="I7" i="22" s="1"/>
  <c r="J7" i="22" s="1"/>
  <c r="H8" i="22"/>
  <c r="I8" i="22" s="1"/>
  <c r="J8" i="22" s="1"/>
  <c r="G4" i="7" l="1"/>
  <c r="L55" i="40"/>
  <c r="C4" i="47"/>
  <c r="F7" i="7"/>
  <c r="I4" i="7"/>
  <c r="M4" i="45"/>
  <c r="M5" i="45"/>
  <c r="M7" i="45"/>
  <c r="M8" i="45"/>
  <c r="M9" i="45"/>
  <c r="M10" i="45"/>
  <c r="L6" i="45"/>
  <c r="M6" i="45" s="1"/>
  <c r="I5" i="45"/>
  <c r="J5" i="45" s="1"/>
  <c r="I6" i="45"/>
  <c r="J6" i="45" s="1"/>
  <c r="I7" i="45"/>
  <c r="J7" i="45" s="1"/>
  <c r="I8" i="45"/>
  <c r="J8" i="45" s="1"/>
  <c r="I9" i="45"/>
  <c r="J9" i="45" s="1"/>
  <c r="I10" i="45"/>
  <c r="J10" i="45" s="1"/>
  <c r="H4" i="45"/>
  <c r="I4" i="45" s="1"/>
  <c r="J4" i="45" s="1"/>
  <c r="E4" i="45"/>
  <c r="E5" i="45"/>
  <c r="L11" i="43"/>
  <c r="H5" i="43"/>
  <c r="E5" i="43"/>
  <c r="F5" i="43" s="1"/>
  <c r="G5" i="43" s="1"/>
  <c r="G8" i="43"/>
  <c r="G9" i="43"/>
  <c r="G10" i="43"/>
  <c r="H8" i="43"/>
  <c r="I8" i="43" s="1"/>
  <c r="J8" i="43" s="1"/>
  <c r="H9" i="43"/>
  <c r="I9" i="43" s="1"/>
  <c r="J9" i="43" s="1"/>
  <c r="H10" i="43"/>
  <c r="I10" i="43" s="1"/>
  <c r="J10" i="43" s="1"/>
  <c r="B7" i="43"/>
  <c r="C7" i="43" s="1"/>
  <c r="E7" i="43" s="1"/>
  <c r="G7" i="43" s="1"/>
  <c r="C4" i="43"/>
  <c r="E4" i="43" s="1"/>
  <c r="B6" i="43"/>
  <c r="C6" i="43" s="1"/>
  <c r="H6" i="43" s="1"/>
  <c r="I6" i="43" s="1"/>
  <c r="H4" i="42"/>
  <c r="H5" i="42"/>
  <c r="H6" i="42"/>
  <c r="H7" i="42"/>
  <c r="H8" i="42"/>
  <c r="H9" i="42"/>
  <c r="H10" i="42"/>
  <c r="M11" i="42"/>
  <c r="I4" i="42"/>
  <c r="I5" i="42"/>
  <c r="I6" i="42"/>
  <c r="I7" i="42"/>
  <c r="I8" i="42"/>
  <c r="I9" i="42"/>
  <c r="I10" i="42"/>
  <c r="F4" i="42"/>
  <c r="E4" i="42"/>
  <c r="M11" i="41"/>
  <c r="J6" i="41"/>
  <c r="J7" i="41"/>
  <c r="J8" i="41"/>
  <c r="J9" i="41"/>
  <c r="J10" i="41"/>
  <c r="K4" i="41"/>
  <c r="E4" i="41"/>
  <c r="C4" i="41"/>
  <c r="H4" i="41" s="1"/>
  <c r="J4" i="41" s="1"/>
  <c r="B5" i="41"/>
  <c r="E5" i="41" s="1"/>
  <c r="E3" i="16"/>
  <c r="E8" i="16"/>
  <c r="J54" i="40" l="1"/>
  <c r="H7" i="7"/>
  <c r="E4" i="47"/>
  <c r="G7" i="7"/>
  <c r="I7" i="7"/>
  <c r="J8" i="42"/>
  <c r="J4" i="42"/>
  <c r="J5" i="42"/>
  <c r="J6" i="42"/>
  <c r="J10" i="42"/>
  <c r="C5" i="41"/>
  <c r="H5" i="41" s="1"/>
  <c r="J5" i="41" s="1"/>
  <c r="J11" i="41" s="1"/>
  <c r="J12" i="41" s="1"/>
  <c r="H7" i="43"/>
  <c r="J7" i="43" s="1"/>
  <c r="J9" i="42"/>
  <c r="J11" i="45"/>
  <c r="E6" i="43"/>
  <c r="F6" i="43" s="1"/>
  <c r="G6" i="43" s="1"/>
  <c r="H4" i="43"/>
  <c r="J4" i="43" s="1"/>
  <c r="I5" i="43"/>
  <c r="J5" i="43" s="1"/>
  <c r="M11" i="45"/>
  <c r="J6" i="43"/>
  <c r="J7" i="42"/>
  <c r="E135" i="29"/>
  <c r="F135" i="29"/>
  <c r="G135" i="29"/>
  <c r="H135" i="29"/>
  <c r="J135" i="29"/>
  <c r="K135" i="29"/>
  <c r="L135" i="29"/>
  <c r="M135" i="29"/>
  <c r="O135" i="29"/>
  <c r="P135" i="29"/>
  <c r="Q135" i="29"/>
  <c r="Q144" i="29" s="1"/>
  <c r="R135" i="29"/>
  <c r="U135" i="29"/>
  <c r="V135" i="29"/>
  <c r="W135" i="29"/>
  <c r="Y135" i="29"/>
  <c r="Z135" i="29"/>
  <c r="AA135" i="29"/>
  <c r="AB135" i="29"/>
  <c r="AD135" i="29"/>
  <c r="AE135" i="29"/>
  <c r="AF135" i="29"/>
  <c r="AG135" i="29"/>
  <c r="AI135" i="29"/>
  <c r="AK135" i="29"/>
  <c r="AK144" i="29" s="1"/>
  <c r="AL135" i="29"/>
  <c r="AN135" i="29"/>
  <c r="AN144" i="29" s="1"/>
  <c r="AO135" i="29"/>
  <c r="AP135" i="29"/>
  <c r="AQ135" i="29"/>
  <c r="AS135" i="29"/>
  <c r="AT135" i="29"/>
  <c r="AU135" i="29"/>
  <c r="AV135" i="29"/>
  <c r="AX135" i="29"/>
  <c r="AY135" i="29"/>
  <c r="AZ135" i="29"/>
  <c r="BA135" i="29"/>
  <c r="BA144" i="29" s="1"/>
  <c r="BB15" i="29"/>
  <c r="BB180" i="29" s="1"/>
  <c r="BB189" i="29" s="1"/>
  <c r="AW15" i="29"/>
  <c r="AW180" i="29" s="1"/>
  <c r="AW189" i="29" s="1"/>
  <c r="AR15" i="29"/>
  <c r="AM15" i="29"/>
  <c r="AM180" i="29" s="1"/>
  <c r="AM189" i="29" s="1"/>
  <c r="AH15" i="29"/>
  <c r="AC15" i="29"/>
  <c r="X15" i="29"/>
  <c r="S15" i="29"/>
  <c r="S180" i="29" s="1"/>
  <c r="S189" i="29" s="1"/>
  <c r="N15" i="29"/>
  <c r="I15" i="29"/>
  <c r="I180" i="29" s="1"/>
  <c r="I189" i="29" s="1"/>
  <c r="D15"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D18" i="28"/>
  <c r="AY144" i="29" l="1"/>
  <c r="H144" i="29"/>
  <c r="AL144" i="29"/>
  <c r="W144" i="29"/>
  <c r="AO144" i="29"/>
  <c r="R144" i="29"/>
  <c r="P144" i="29"/>
  <c r="AI144" i="29"/>
  <c r="M144" i="29"/>
  <c r="AG144" i="29"/>
  <c r="L144" i="29"/>
  <c r="AF144" i="29"/>
  <c r="K144" i="29"/>
  <c r="AZ144" i="29"/>
  <c r="AE144" i="29"/>
  <c r="J144" i="29"/>
  <c r="D191" i="29"/>
  <c r="D190" i="29"/>
  <c r="D145" i="29"/>
  <c r="D146" i="29"/>
  <c r="AX144" i="29"/>
  <c r="AB144" i="29"/>
  <c r="G144" i="29"/>
  <c r="AV144" i="29"/>
  <c r="AA144" i="29"/>
  <c r="F144" i="29"/>
  <c r="O144" i="29"/>
  <c r="AD144" i="29"/>
  <c r="AU144" i="29"/>
  <c r="Z144" i="29"/>
  <c r="E144" i="29"/>
  <c r="AT144" i="29"/>
  <c r="Y144" i="29"/>
  <c r="AQ144" i="29"/>
  <c r="V144" i="29"/>
  <c r="AS144" i="29"/>
  <c r="AP144" i="29"/>
  <c r="U144" i="29"/>
  <c r="D21" i="28"/>
  <c r="D22" i="28"/>
  <c r="I135" i="29"/>
  <c r="I144" i="29" s="1"/>
  <c r="I159" i="29"/>
  <c r="I149" i="29"/>
  <c r="AW135" i="29"/>
  <c r="AW144" i="29" s="1"/>
  <c r="AW159" i="29"/>
  <c r="AW149" i="29"/>
  <c r="AM135" i="29"/>
  <c r="AM144" i="29" s="1"/>
  <c r="AM159" i="29"/>
  <c r="AM149" i="29"/>
  <c r="BB135" i="29"/>
  <c r="BB144" i="29" s="1"/>
  <c r="BB159" i="29"/>
  <c r="BB149" i="29"/>
  <c r="S135" i="29"/>
  <c r="S144" i="29" s="1"/>
  <c r="S159" i="29"/>
  <c r="S149" i="29"/>
  <c r="J11" i="42"/>
  <c r="J12" i="42" s="1"/>
  <c r="J11" i="43"/>
  <c r="J12" i="45"/>
  <c r="E33" i="28"/>
  <c r="F33" i="28" s="1"/>
  <c r="G33" i="28" s="1"/>
  <c r="H33" i="28" s="1"/>
  <c r="I33" i="28" s="1"/>
  <c r="E18" i="28"/>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AY130" i="29"/>
  <c r="AU130" i="29"/>
  <c r="AQ130" i="29"/>
  <c r="AM130" i="29"/>
  <c r="AI130" i="29"/>
  <c r="AE130" i="29"/>
  <c r="AA130" i="29"/>
  <c r="W130" i="29"/>
  <c r="S130" i="29"/>
  <c r="O130" i="29"/>
  <c r="K130" i="29"/>
  <c r="G130" i="29"/>
  <c r="BB130" i="29"/>
  <c r="BA130" i="29"/>
  <c r="AZ130" i="29"/>
  <c r="AX130" i="29"/>
  <c r="AW130" i="29"/>
  <c r="AV130" i="29"/>
  <c r="AT130" i="29"/>
  <c r="AS130" i="29"/>
  <c r="AP130" i="29"/>
  <c r="AO130" i="29"/>
  <c r="AN130" i="29"/>
  <c r="AL130" i="29"/>
  <c r="AK130" i="29"/>
  <c r="AJ130" i="29"/>
  <c r="AG130" i="29"/>
  <c r="AF130" i="29"/>
  <c r="AD130" i="29"/>
  <c r="AC130" i="29"/>
  <c r="AB130" i="29"/>
  <c r="Z130" i="29"/>
  <c r="Y130" i="29"/>
  <c r="V130" i="29"/>
  <c r="U130" i="29"/>
  <c r="T130" i="29"/>
  <c r="R130" i="29"/>
  <c r="Q130" i="29"/>
  <c r="P130" i="29"/>
  <c r="M130" i="29"/>
  <c r="L130" i="29"/>
  <c r="J130" i="29"/>
  <c r="J132" i="29" s="1"/>
  <c r="I130" i="29"/>
  <c r="I132" i="29" s="1"/>
  <c r="H130" i="29"/>
  <c r="F130" i="29"/>
  <c r="E130" i="29"/>
  <c r="AC119" i="29"/>
  <c r="AC122" i="29" s="1"/>
  <c r="G122" i="29"/>
  <c r="H122" i="29"/>
  <c r="I122" i="29"/>
  <c r="K122" i="29"/>
  <c r="O122" i="29"/>
  <c r="P122" i="29"/>
  <c r="Q122" i="29"/>
  <c r="S122" i="29"/>
  <c r="W122" i="29"/>
  <c r="Y122" i="29"/>
  <c r="AA122" i="29"/>
  <c r="AE122" i="29"/>
  <c r="AF122" i="29"/>
  <c r="AG122" i="29"/>
  <c r="AI122" i="29"/>
  <c r="AM122" i="29"/>
  <c r="AN122" i="29"/>
  <c r="AO122" i="29"/>
  <c r="AQ122" i="29"/>
  <c r="AU122" i="29"/>
  <c r="AV122" i="29"/>
  <c r="AW122" i="29"/>
  <c r="AY122" i="29"/>
  <c r="E122" i="29"/>
  <c r="F122" i="29"/>
  <c r="J122" i="29"/>
  <c r="L122" i="29"/>
  <c r="M122" i="29"/>
  <c r="R122" i="29"/>
  <c r="T122" i="29"/>
  <c r="U122" i="29"/>
  <c r="V122" i="29"/>
  <c r="Z122" i="29"/>
  <c r="AB122" i="29"/>
  <c r="AD122" i="29"/>
  <c r="AJ122" i="29"/>
  <c r="AK122" i="29"/>
  <c r="AL122" i="29"/>
  <c r="AP122" i="29"/>
  <c r="AS122" i="29"/>
  <c r="AT122" i="29"/>
  <c r="AX122" i="29"/>
  <c r="AZ122" i="29"/>
  <c r="BA122" i="29"/>
  <c r="BB122" i="29"/>
  <c r="D123" i="29"/>
  <c r="E123" i="29"/>
  <c r="F123" i="29"/>
  <c r="G123" i="29"/>
  <c r="H123" i="29"/>
  <c r="I123" i="29"/>
  <c r="J123" i="29"/>
  <c r="K123" i="29"/>
  <c r="L123" i="29"/>
  <c r="M123" i="29"/>
  <c r="N123" i="29"/>
  <c r="O123" i="29"/>
  <c r="P123" i="29"/>
  <c r="Q123" i="29"/>
  <c r="R123" i="29"/>
  <c r="S123" i="29"/>
  <c r="T123" i="29"/>
  <c r="U123" i="29"/>
  <c r="V123" i="29"/>
  <c r="W123" i="29"/>
  <c r="X123" i="29"/>
  <c r="Y123" i="29"/>
  <c r="Z123" i="29"/>
  <c r="AA123" i="29"/>
  <c r="AB123" i="29"/>
  <c r="AC123" i="29"/>
  <c r="AD123" i="29"/>
  <c r="AE123" i="29"/>
  <c r="AF123" i="29"/>
  <c r="AG123" i="29"/>
  <c r="AH123" i="29"/>
  <c r="AI123" i="29"/>
  <c r="AJ123" i="29"/>
  <c r="AK123" i="29"/>
  <c r="AL123" i="29"/>
  <c r="AM123" i="29"/>
  <c r="AN123" i="29"/>
  <c r="AO123" i="29"/>
  <c r="AP123" i="29"/>
  <c r="AQ123" i="29"/>
  <c r="AR123" i="29"/>
  <c r="AS123" i="29"/>
  <c r="AT123" i="29"/>
  <c r="AU123" i="29"/>
  <c r="AV123" i="29"/>
  <c r="AW123" i="29"/>
  <c r="AX123" i="29"/>
  <c r="AY123" i="29"/>
  <c r="AZ123" i="29"/>
  <c r="BA123" i="29"/>
  <c r="BB123" i="29"/>
  <c r="E17" i="28"/>
  <c r="F18" i="28" l="1"/>
  <c r="E21" i="28"/>
  <c r="E22" i="28"/>
  <c r="AY132" i="29"/>
  <c r="H132" i="29"/>
  <c r="U132" i="29"/>
  <c r="S132" i="29"/>
  <c r="AG132" i="29"/>
  <c r="V132" i="29"/>
  <c r="AF132" i="29"/>
  <c r="T132" i="29"/>
  <c r="AB124" i="29"/>
  <c r="AI132" i="29"/>
  <c r="AD124" i="29"/>
  <c r="F124" i="29"/>
  <c r="AQ132" i="29"/>
  <c r="Z132" i="29"/>
  <c r="AL132" i="29"/>
  <c r="AX132" i="29"/>
  <c r="BB124" i="29"/>
  <c r="AT124" i="29"/>
  <c r="M132" i="29"/>
  <c r="AS132" i="29"/>
  <c r="G132" i="29"/>
  <c r="W132" i="29"/>
  <c r="AM132" i="29"/>
  <c r="V124" i="29"/>
  <c r="K132" i="29"/>
  <c r="AA132" i="29"/>
  <c r="O132" i="29"/>
  <c r="AE132" i="29"/>
  <c r="AU132" i="29"/>
  <c r="AK132" i="29"/>
  <c r="E132" i="29"/>
  <c r="AC132" i="29"/>
  <c r="AJ132" i="29"/>
  <c r="BA132" i="29"/>
  <c r="AK124" i="29"/>
  <c r="Z124" i="29"/>
  <c r="AB132" i="29"/>
  <c r="AT132" i="29"/>
  <c r="AZ132" i="29"/>
  <c r="AY124" i="29"/>
  <c r="AI124" i="29"/>
  <c r="Q124" i="29"/>
  <c r="AZ124" i="29"/>
  <c r="L124" i="29"/>
  <c r="AL124" i="29"/>
  <c r="AW124" i="29"/>
  <c r="AG124" i="29"/>
  <c r="P124" i="29"/>
  <c r="F132" i="29"/>
  <c r="L132" i="29"/>
  <c r="R132" i="29"/>
  <c r="AD132" i="29"/>
  <c r="AP132" i="29"/>
  <c r="BB132" i="29"/>
  <c r="AP124" i="29"/>
  <c r="R124" i="29"/>
  <c r="BA124" i="29"/>
  <c r="AJ124" i="29"/>
  <c r="M124" i="29"/>
  <c r="AV124" i="29"/>
  <c r="AF124" i="29"/>
  <c r="O124" i="29"/>
  <c r="AV132" i="29"/>
  <c r="AU124" i="29"/>
  <c r="AE124" i="29"/>
  <c r="K124" i="29"/>
  <c r="Y132" i="29"/>
  <c r="AW132" i="29"/>
  <c r="AQ124" i="29"/>
  <c r="AA124" i="29"/>
  <c r="I124" i="29"/>
  <c r="AO124" i="29"/>
  <c r="Y124" i="29"/>
  <c r="H124" i="29"/>
  <c r="P132" i="29"/>
  <c r="AN132" i="29"/>
  <c r="T124" i="29"/>
  <c r="AS124" i="29"/>
  <c r="E124" i="29"/>
  <c r="AN124" i="29"/>
  <c r="W124" i="29"/>
  <c r="G124" i="29"/>
  <c r="Q132" i="29"/>
  <c r="AO132" i="29"/>
  <c r="U124" i="29"/>
  <c r="AM124" i="29"/>
  <c r="S124" i="29"/>
  <c r="AC124" i="29"/>
  <c r="AX124" i="29"/>
  <c r="J124" i="29"/>
  <c r="C17" i="28"/>
  <c r="D17" i="28"/>
  <c r="B17" i="28"/>
  <c r="E32" i="28"/>
  <c r="F32" i="28" s="1"/>
  <c r="G32" i="28" s="1"/>
  <c r="H32" i="28" s="1"/>
  <c r="I32" i="28" s="1"/>
  <c r="AH111" i="29"/>
  <c r="B25" i="45"/>
  <c r="B29" i="45"/>
  <c r="F5" i="45"/>
  <c r="G5" i="45" s="1"/>
  <c r="F4" i="45"/>
  <c r="G4" i="45" s="1"/>
  <c r="B80" i="22"/>
  <c r="B35" i="44"/>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AR11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BB43" i="29"/>
  <c r="BA43" i="29"/>
  <c r="AZ43" i="29"/>
  <c r="AY43" i="29"/>
  <c r="AX43" i="29"/>
  <c r="AW43" i="29"/>
  <c r="AV43" i="29"/>
  <c r="AU43" i="29"/>
  <c r="AT43" i="29"/>
  <c r="AS43" i="29"/>
  <c r="AR43"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D43" i="29"/>
  <c r="D42"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AJ31" i="29"/>
  <c r="T31" i="29"/>
  <c r="D31" i="29"/>
  <c r="D34" i="29" s="1"/>
  <c r="BB27" i="29"/>
  <c r="BA27" i="29"/>
  <c r="AZ27" i="29"/>
  <c r="AY27" i="29"/>
  <c r="AX27" i="29"/>
  <c r="AW27" i="29"/>
  <c r="AV27" i="29"/>
  <c r="AU27" i="29"/>
  <c r="AT27" i="29"/>
  <c r="AS27" i="29"/>
  <c r="AR27" i="29"/>
  <c r="AQ27" i="29"/>
  <c r="AP27" i="29"/>
  <c r="AO27" i="29"/>
  <c r="AN27"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AR23" i="29"/>
  <c r="AJ23" i="29"/>
  <c r="AJ180" i="29" s="1"/>
  <c r="AJ189" i="29" s="1"/>
  <c r="AH23" i="29"/>
  <c r="X23" i="29"/>
  <c r="T23" i="29"/>
  <c r="N23" i="29"/>
  <c r="D23" i="29"/>
  <c r="D26" i="29" s="1"/>
  <c r="BB19" i="29"/>
  <c r="BA19" i="29"/>
  <c r="AZ19" i="29"/>
  <c r="AY19" i="29"/>
  <c r="AX19" i="29"/>
  <c r="AW19" i="29"/>
  <c r="AV19"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E19" i="29"/>
  <c r="D19" i="29"/>
  <c r="D18" i="29"/>
  <c r="BB11" i="29"/>
  <c r="BA11" i="29"/>
  <c r="AZ11" i="29"/>
  <c r="AY11" i="29"/>
  <c r="AX11" i="29"/>
  <c r="AW11" i="29"/>
  <c r="AV11" i="29"/>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R11" i="29"/>
  <c r="Q11" i="29"/>
  <c r="P11" i="29"/>
  <c r="O11" i="29"/>
  <c r="N11" i="29"/>
  <c r="M11" i="29"/>
  <c r="L11" i="29"/>
  <c r="K11" i="29"/>
  <c r="J11" i="29"/>
  <c r="I11" i="29"/>
  <c r="H11" i="29"/>
  <c r="G11" i="29"/>
  <c r="F11" i="29"/>
  <c r="E11" i="29"/>
  <c r="D11" i="29"/>
  <c r="T180" i="29" l="1"/>
  <c r="T189" i="29" s="1"/>
  <c r="AC55" i="56"/>
  <c r="AC55" i="29"/>
  <c r="AC55" i="57"/>
  <c r="F21" i="28"/>
  <c r="F22" i="28"/>
  <c r="AC71" i="57"/>
  <c r="AC63" i="57"/>
  <c r="AC47" i="57"/>
  <c r="AC47" i="56"/>
  <c r="AC71" i="56"/>
  <c r="AC63" i="29"/>
  <c r="AC47" i="29"/>
  <c r="AC63" i="56"/>
  <c r="AC71" i="29"/>
  <c r="T159" i="29"/>
  <c r="T149" i="29"/>
  <c r="AJ159" i="29"/>
  <c r="AJ149" i="29"/>
  <c r="D111" i="29"/>
  <c r="D111" i="57"/>
  <c r="D114" i="57" s="1"/>
  <c r="D116" i="57" s="1"/>
  <c r="D103" i="56"/>
  <c r="D106" i="56" s="1"/>
  <c r="D108" i="56" s="1"/>
  <c r="AJ135" i="29"/>
  <c r="AJ144" i="29" s="1"/>
  <c r="D20" i="29"/>
  <c r="D21" i="29" s="1"/>
  <c r="T135" i="29"/>
  <c r="T144" i="29" s="1"/>
  <c r="F17" i="28"/>
  <c r="H17" i="28" s="1"/>
  <c r="I17" i="28" s="1"/>
  <c r="J17" i="28" s="1"/>
  <c r="D28" i="29"/>
  <c r="D29" i="29" s="1"/>
  <c r="D36" i="29"/>
  <c r="D37" i="29" s="1"/>
  <c r="D44" i="29"/>
  <c r="D45" i="29" s="1"/>
  <c r="L11" i="45"/>
  <c r="G11" i="45"/>
  <c r="K42" i="40"/>
  <c r="L38" i="40"/>
  <c r="M38" i="40" s="1"/>
  <c r="L39" i="40"/>
  <c r="L40" i="40"/>
  <c r="M40" i="40" s="1"/>
  <c r="L41" i="40"/>
  <c r="M41" i="40" s="1"/>
  <c r="L43" i="40"/>
  <c r="M43" i="40" s="1"/>
  <c r="G4" i="41"/>
  <c r="F5" i="41"/>
  <c r="G5" i="41" s="1"/>
  <c r="E6" i="22"/>
  <c r="M39" i="40" l="1"/>
  <c r="D109" i="56"/>
  <c r="D117" i="57"/>
  <c r="B91" i="22"/>
  <c r="B90" i="22"/>
  <c r="L42" i="40"/>
  <c r="M42" i="40" s="1"/>
  <c r="M17" i="28"/>
  <c r="N17" i="28" s="1"/>
  <c r="K17" i="28"/>
  <c r="G12" i="45"/>
  <c r="C14" i="28"/>
  <c r="D14" i="28"/>
  <c r="E14" i="28"/>
  <c r="B14" i="28"/>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B18" i="44"/>
  <c r="B17" i="44"/>
  <c r="B9" i="44"/>
  <c r="C9" i="47" l="1"/>
  <c r="E9" i="47" s="1"/>
  <c r="C21" i="47"/>
  <c r="E21" i="47" s="1"/>
  <c r="F14" i="28"/>
  <c r="B85" i="22"/>
  <c r="B19" i="44"/>
  <c r="H85" i="28"/>
  <c r="B16" i="43"/>
  <c r="B29" i="43" s="1"/>
  <c r="B22" i="43"/>
  <c r="B18" i="43"/>
  <c r="B17" i="43" s="1"/>
  <c r="G4" i="43"/>
  <c r="N87" i="29" l="1"/>
  <c r="N87" i="56"/>
  <c r="AH87" i="56"/>
  <c r="X87" i="56"/>
  <c r="AR87" i="57"/>
  <c r="AR87" i="56"/>
  <c r="N87" i="57"/>
  <c r="X87" i="29"/>
  <c r="AH87" i="29"/>
  <c r="AR87" i="29"/>
  <c r="X87" i="57"/>
  <c r="AH87" i="57"/>
  <c r="AC87" i="56"/>
  <c r="AC87" i="57"/>
  <c r="AC87" i="29"/>
  <c r="B32" i="44"/>
  <c r="AC79" i="57"/>
  <c r="AC79" i="56"/>
  <c r="AC79" i="29"/>
  <c r="J32" i="28"/>
  <c r="K32" i="28" s="1"/>
  <c r="J33" i="28"/>
  <c r="K33" i="28" s="1"/>
  <c r="B25" i="43"/>
  <c r="B88" i="22"/>
  <c r="B57" i="22"/>
  <c r="B89" i="22" s="1"/>
  <c r="B21" i="43"/>
  <c r="B14" i="44"/>
  <c r="B27" i="43"/>
  <c r="G11" i="43"/>
  <c r="B28" i="42"/>
  <c r="B21" i="42"/>
  <c r="B17" i="42"/>
  <c r="B16" i="42" s="1"/>
  <c r="B15" i="42"/>
  <c r="G5" i="42"/>
  <c r="G4" i="42"/>
  <c r="C20" i="41"/>
  <c r="B23" i="22"/>
  <c r="B22" i="22"/>
  <c r="B78" i="22" l="1"/>
  <c r="B36" i="22"/>
  <c r="B35" i="22"/>
  <c r="B34" i="22"/>
  <c r="B56" i="43"/>
  <c r="B55" i="43"/>
  <c r="B54" i="43"/>
  <c r="B47" i="43"/>
  <c r="B53" i="43"/>
  <c r="B46" i="43"/>
  <c r="B45" i="43"/>
  <c r="B44" i="43"/>
  <c r="AH127" i="57"/>
  <c r="AH130" i="57" s="1"/>
  <c r="AH132" i="57" s="1"/>
  <c r="X127" i="57"/>
  <c r="X130" i="57" s="1"/>
  <c r="X132" i="57" s="1"/>
  <c r="N127" i="57"/>
  <c r="N130" i="57" s="1"/>
  <c r="N132" i="57" s="1"/>
  <c r="AR127" i="57"/>
  <c r="AR130" i="57" s="1"/>
  <c r="AR132" i="57" s="1"/>
  <c r="AH119" i="56"/>
  <c r="AH122" i="56" s="1"/>
  <c r="AH124" i="56" s="1"/>
  <c r="X119" i="56"/>
  <c r="X122" i="56" s="1"/>
  <c r="X124" i="56" s="1"/>
  <c r="N119" i="56"/>
  <c r="N122" i="56" s="1"/>
  <c r="N124" i="56" s="1"/>
  <c r="AR119" i="56"/>
  <c r="AR122" i="56" s="1"/>
  <c r="AR124" i="56" s="1"/>
  <c r="B92" i="22"/>
  <c r="B95" i="22" s="1"/>
  <c r="B28" i="53"/>
  <c r="B28" i="52"/>
  <c r="B94" i="22"/>
  <c r="B97" i="22" s="1"/>
  <c r="B93" i="22"/>
  <c r="B96" i="22" s="1"/>
  <c r="B33" i="44"/>
  <c r="H6" i="22"/>
  <c r="I6" i="22" s="1"/>
  <c r="J6" i="22" s="1"/>
  <c r="B27" i="42"/>
  <c r="AR127" i="29"/>
  <c r="AR130" i="29" s="1"/>
  <c r="AR132" i="29" s="1"/>
  <c r="N127" i="29"/>
  <c r="N130" i="29" s="1"/>
  <c r="N132" i="29" s="1"/>
  <c r="AH127" i="29"/>
  <c r="AH130" i="29" s="1"/>
  <c r="AH132" i="29" s="1"/>
  <c r="X127" i="29"/>
  <c r="X130" i="29" s="1"/>
  <c r="X132" i="29" s="1"/>
  <c r="B30" i="43"/>
  <c r="B58" i="22"/>
  <c r="E58" i="22" s="1"/>
  <c r="B3" i="22" s="1"/>
  <c r="B33" i="22"/>
  <c r="B41" i="22" s="1"/>
  <c r="B38" i="43"/>
  <c r="B37" i="43"/>
  <c r="B36" i="43"/>
  <c r="B35" i="43"/>
  <c r="G12" i="43"/>
  <c r="B26" i="42"/>
  <c r="B20" i="42"/>
  <c r="B24" i="42"/>
  <c r="G11" i="42"/>
  <c r="L11" i="42"/>
  <c r="G11" i="41"/>
  <c r="L11" i="41"/>
  <c r="B44" i="22" l="1"/>
  <c r="B45" i="22"/>
  <c r="E60" i="22" s="1"/>
  <c r="B42" i="22"/>
  <c r="B65" i="40"/>
  <c r="B20" i="40"/>
  <c r="C3" i="22"/>
  <c r="H5" i="22"/>
  <c r="I5" i="22" s="1"/>
  <c r="J5" i="22" s="1"/>
  <c r="B43" i="22"/>
  <c r="D127" i="29"/>
  <c r="D130" i="29" s="1"/>
  <c r="D132" i="29" s="1"/>
  <c r="D133" i="29" s="1"/>
  <c r="E133" i="29" s="1"/>
  <c r="F133" i="29" s="1"/>
  <c r="G133" i="29" s="1"/>
  <c r="H133" i="29" s="1"/>
  <c r="I133" i="29" s="1"/>
  <c r="J133" i="29" s="1"/>
  <c r="K133" i="29" s="1"/>
  <c r="L133" i="29" s="1"/>
  <c r="M133" i="29" s="1"/>
  <c r="N133" i="29" s="1"/>
  <c r="O133" i="29" s="1"/>
  <c r="P133" i="29" s="1"/>
  <c r="Q133" i="29" s="1"/>
  <c r="R133" i="29" s="1"/>
  <c r="S133" i="29" s="1"/>
  <c r="T133" i="29" s="1"/>
  <c r="U133" i="29" s="1"/>
  <c r="V133" i="29" s="1"/>
  <c r="W133" i="29" s="1"/>
  <c r="X133" i="29" s="1"/>
  <c r="Y133" i="29" s="1"/>
  <c r="Z133" i="29" s="1"/>
  <c r="AA133" i="29" s="1"/>
  <c r="AB133" i="29" s="1"/>
  <c r="AC133" i="29" s="1"/>
  <c r="AD133" i="29" s="1"/>
  <c r="AE133" i="29" s="1"/>
  <c r="AF133" i="29" s="1"/>
  <c r="AG133" i="29" s="1"/>
  <c r="AH133" i="29" s="1"/>
  <c r="AI133" i="29" s="1"/>
  <c r="AJ133" i="29" s="1"/>
  <c r="AK133" i="29" s="1"/>
  <c r="AL133" i="29" s="1"/>
  <c r="AM133" i="29" s="1"/>
  <c r="AN133" i="29" s="1"/>
  <c r="AO133" i="29" s="1"/>
  <c r="AP133" i="29" s="1"/>
  <c r="AQ133" i="29" s="1"/>
  <c r="AR133" i="29" s="1"/>
  <c r="AS133" i="29" s="1"/>
  <c r="AT133" i="29" s="1"/>
  <c r="AU133" i="29" s="1"/>
  <c r="AV133" i="29" s="1"/>
  <c r="AW133" i="29" s="1"/>
  <c r="AX133" i="29" s="1"/>
  <c r="AY133" i="29" s="1"/>
  <c r="AZ133" i="29" s="1"/>
  <c r="BA133" i="29" s="1"/>
  <c r="BB133" i="29" s="1"/>
  <c r="D127" i="57"/>
  <c r="D130" i="57" s="1"/>
  <c r="D132" i="57" s="1"/>
  <c r="D119" i="56"/>
  <c r="D122" i="56" s="1"/>
  <c r="D124" i="56" s="1"/>
  <c r="AR95" i="57"/>
  <c r="AH95" i="57"/>
  <c r="X95" i="57"/>
  <c r="N95" i="57"/>
  <c r="AR95" i="29"/>
  <c r="AH95" i="29"/>
  <c r="X95" i="29"/>
  <c r="N95" i="29"/>
  <c r="AR103" i="57"/>
  <c r="AH103" i="57"/>
  <c r="X103" i="57"/>
  <c r="N103" i="57"/>
  <c r="AR95" i="56"/>
  <c r="AH95" i="56"/>
  <c r="X95" i="56"/>
  <c r="N95" i="56"/>
  <c r="N103" i="29"/>
  <c r="AR103" i="29"/>
  <c r="AH103" i="29"/>
  <c r="X103" i="29"/>
  <c r="B48" i="43"/>
  <c r="B50" i="43" s="1"/>
  <c r="B54" i="42"/>
  <c r="B47" i="42"/>
  <c r="B53" i="42"/>
  <c r="B46" i="42"/>
  <c r="B45" i="42"/>
  <c r="B44" i="42"/>
  <c r="B56" i="42"/>
  <c r="B55" i="42"/>
  <c r="X119" i="57"/>
  <c r="N119" i="57"/>
  <c r="AR119" i="57"/>
  <c r="AH119" i="57"/>
  <c r="X111" i="56"/>
  <c r="N111" i="56"/>
  <c r="AR111" i="56"/>
  <c r="AH111" i="56"/>
  <c r="AR79" i="57"/>
  <c r="AH79" i="57"/>
  <c r="X79" i="57"/>
  <c r="N79" i="57"/>
  <c r="AR79" i="56"/>
  <c r="AH79" i="56"/>
  <c r="X79" i="56"/>
  <c r="AH79" i="29"/>
  <c r="AR79" i="29"/>
  <c r="X79" i="29"/>
  <c r="N79" i="56"/>
  <c r="N79" i="29"/>
  <c r="B57" i="43"/>
  <c r="B59" i="43" s="1"/>
  <c r="N63" i="57"/>
  <c r="X47" i="57"/>
  <c r="N47" i="57"/>
  <c r="AR71" i="57"/>
  <c r="AH71" i="57"/>
  <c r="AR63" i="57"/>
  <c r="AH63" i="57"/>
  <c r="AR47" i="57"/>
  <c r="X71" i="57"/>
  <c r="AH47" i="57"/>
  <c r="X63" i="57"/>
  <c r="N71" i="57"/>
  <c r="N71" i="56"/>
  <c r="X63" i="56"/>
  <c r="N63" i="56"/>
  <c r="X47" i="56"/>
  <c r="N47" i="56"/>
  <c r="AR71" i="56"/>
  <c r="AH71" i="56"/>
  <c r="AR63" i="56"/>
  <c r="AH63" i="56"/>
  <c r="AR47" i="56"/>
  <c r="AR63" i="29"/>
  <c r="X47" i="29"/>
  <c r="AH63" i="29"/>
  <c r="N47" i="29"/>
  <c r="AH47" i="56"/>
  <c r="AR71" i="29"/>
  <c r="X71" i="56"/>
  <c r="AH71" i="29"/>
  <c r="X63" i="29"/>
  <c r="N63" i="29"/>
  <c r="X71" i="29"/>
  <c r="AR47" i="29"/>
  <c r="N71" i="29"/>
  <c r="AH47" i="29"/>
  <c r="B74" i="22"/>
  <c r="B20" i="53" s="1"/>
  <c r="H42" i="22"/>
  <c r="B38" i="42"/>
  <c r="AR119" i="29"/>
  <c r="AH119" i="29"/>
  <c r="X119" i="29"/>
  <c r="N119" i="29"/>
  <c r="B65" i="22"/>
  <c r="E65" i="22" s="1"/>
  <c r="B30" i="42"/>
  <c r="B37" i="42"/>
  <c r="B39" i="43"/>
  <c r="B41" i="43" s="1"/>
  <c r="B36" i="42"/>
  <c r="B35" i="42"/>
  <c r="G12" i="41"/>
  <c r="G12" i="42"/>
  <c r="F52" i="22" l="1"/>
  <c r="F53" i="22" s="1"/>
  <c r="AR114" i="56"/>
  <c r="AR116" i="56" s="1"/>
  <c r="AR158" i="56"/>
  <c r="X114" i="56"/>
  <c r="X116" i="56" s="1"/>
  <c r="X158" i="56"/>
  <c r="AH122" i="57"/>
  <c r="AH124" i="57" s="1"/>
  <c r="AH166" i="57"/>
  <c r="N114" i="56"/>
  <c r="N116" i="56" s="1"/>
  <c r="N158" i="56"/>
  <c r="AR122" i="57"/>
  <c r="AR124" i="57" s="1"/>
  <c r="AR166" i="57"/>
  <c r="AH114" i="56"/>
  <c r="AH116" i="56" s="1"/>
  <c r="AH158" i="56"/>
  <c r="N122" i="57"/>
  <c r="N124" i="57" s="1"/>
  <c r="N166" i="57"/>
  <c r="X122" i="57"/>
  <c r="X124" i="57" s="1"/>
  <c r="X166" i="57"/>
  <c r="N122" i="29"/>
  <c r="N124" i="29" s="1"/>
  <c r="N180" i="29"/>
  <c r="N189" i="29" s="1"/>
  <c r="X122" i="29"/>
  <c r="X124" i="29" s="1"/>
  <c r="X180" i="29"/>
  <c r="X189" i="29" s="1"/>
  <c r="AH122" i="29"/>
  <c r="AH124" i="29" s="1"/>
  <c r="AH180" i="29"/>
  <c r="AH189" i="29" s="1"/>
  <c r="AR122" i="29"/>
  <c r="AR124" i="29" s="1"/>
  <c r="AR180" i="29"/>
  <c r="AR189" i="29" s="1"/>
  <c r="D55" i="57"/>
  <c r="D58" i="57" s="1"/>
  <c r="D60" i="57" s="1"/>
  <c r="D61" i="57" s="1"/>
  <c r="D55" i="56"/>
  <c r="D58" i="56" s="1"/>
  <c r="D60" i="56" s="1"/>
  <c r="D55" i="29"/>
  <c r="D58" i="29" s="1"/>
  <c r="D60" i="29" s="1"/>
  <c r="D61" i="29" s="1"/>
  <c r="B25" i="44"/>
  <c r="B26" i="44" s="1"/>
  <c r="B28" i="44" s="1"/>
  <c r="B60" i="22"/>
  <c r="G60" i="22" s="1"/>
  <c r="C20" i="40"/>
  <c r="B63" i="40"/>
  <c r="H3" i="22"/>
  <c r="E3" i="22"/>
  <c r="B6" i="60"/>
  <c r="D6" i="60" s="1"/>
  <c r="D134" i="29"/>
  <c r="X149" i="29"/>
  <c r="B67" i="22"/>
  <c r="B20" i="52" s="1"/>
  <c r="B21" i="52" s="1"/>
  <c r="B23" i="52" s="1"/>
  <c r="N137" i="56"/>
  <c r="AH137" i="56"/>
  <c r="X147" i="56"/>
  <c r="X137" i="56"/>
  <c r="AR127" i="56"/>
  <c r="AR145" i="57"/>
  <c r="AR147" i="56"/>
  <c r="X155" i="57"/>
  <c r="AH145" i="57"/>
  <c r="AH147" i="56"/>
  <c r="N145" i="57"/>
  <c r="N127" i="56"/>
  <c r="X127" i="56"/>
  <c r="N147" i="56"/>
  <c r="AH127" i="56"/>
  <c r="X135" i="57"/>
  <c r="N155" i="57"/>
  <c r="X145" i="57"/>
  <c r="AR149" i="29"/>
  <c r="AH159" i="29"/>
  <c r="B57" i="42"/>
  <c r="B59" i="42" s="1"/>
  <c r="AH155" i="57"/>
  <c r="AR159" i="29"/>
  <c r="AR137" i="56"/>
  <c r="AR155" i="57"/>
  <c r="N159" i="29"/>
  <c r="N135" i="57"/>
  <c r="AH135" i="57"/>
  <c r="D125" i="56"/>
  <c r="E125" i="56" s="1"/>
  <c r="F125" i="56" s="1"/>
  <c r="G125" i="56" s="1"/>
  <c r="H125" i="56" s="1"/>
  <c r="I125" i="56" s="1"/>
  <c r="J125" i="56" s="1"/>
  <c r="K125" i="56" s="1"/>
  <c r="L125" i="56" s="1"/>
  <c r="M125" i="56" s="1"/>
  <c r="N125" i="56" s="1"/>
  <c r="O125" i="56" s="1"/>
  <c r="P125" i="56" s="1"/>
  <c r="Q125" i="56" s="1"/>
  <c r="R125" i="56" s="1"/>
  <c r="S125" i="56" s="1"/>
  <c r="T125" i="56" s="1"/>
  <c r="U125" i="56" s="1"/>
  <c r="V125" i="56" s="1"/>
  <c r="W125" i="56" s="1"/>
  <c r="X125" i="56" s="1"/>
  <c r="Y125" i="56" s="1"/>
  <c r="Z125" i="56" s="1"/>
  <c r="AA125" i="56" s="1"/>
  <c r="AB125" i="56" s="1"/>
  <c r="AC125" i="56" s="1"/>
  <c r="AD125" i="56" s="1"/>
  <c r="AE125" i="56" s="1"/>
  <c r="AF125" i="56" s="1"/>
  <c r="AG125" i="56" s="1"/>
  <c r="AH125" i="56" s="1"/>
  <c r="AI125" i="56" s="1"/>
  <c r="AJ125" i="56" s="1"/>
  <c r="AK125" i="56" s="1"/>
  <c r="AL125" i="56" s="1"/>
  <c r="AM125" i="56" s="1"/>
  <c r="AN125" i="56" s="1"/>
  <c r="AO125" i="56" s="1"/>
  <c r="AP125" i="56" s="1"/>
  <c r="AQ125" i="56" s="1"/>
  <c r="AR125" i="56" s="1"/>
  <c r="AS125" i="56" s="1"/>
  <c r="AT125" i="56" s="1"/>
  <c r="AU125" i="56" s="1"/>
  <c r="AV125" i="56" s="1"/>
  <c r="AW125" i="56" s="1"/>
  <c r="AX125" i="56" s="1"/>
  <c r="AY125" i="56" s="1"/>
  <c r="AZ125" i="56" s="1"/>
  <c r="BA125" i="56" s="1"/>
  <c r="BB125" i="56" s="1"/>
  <c r="D126" i="56"/>
  <c r="X159" i="29"/>
  <c r="AH149" i="29"/>
  <c r="B48" i="42"/>
  <c r="B50" i="42" s="1"/>
  <c r="D133" i="57"/>
  <c r="E133" i="57" s="1"/>
  <c r="F133" i="57" s="1"/>
  <c r="G133" i="57" s="1"/>
  <c r="H133" i="57" s="1"/>
  <c r="I133" i="57" s="1"/>
  <c r="J133" i="57" s="1"/>
  <c r="K133" i="57" s="1"/>
  <c r="L133" i="57" s="1"/>
  <c r="M133" i="57" s="1"/>
  <c r="N133" i="57" s="1"/>
  <c r="O133" i="57" s="1"/>
  <c r="P133" i="57" s="1"/>
  <c r="Q133" i="57" s="1"/>
  <c r="R133" i="57" s="1"/>
  <c r="S133" i="57" s="1"/>
  <c r="T133" i="57" s="1"/>
  <c r="U133" i="57" s="1"/>
  <c r="V133" i="57" s="1"/>
  <c r="W133" i="57" s="1"/>
  <c r="X133" i="57" s="1"/>
  <c r="Y133" i="57" s="1"/>
  <c r="Z133" i="57" s="1"/>
  <c r="AA133" i="57" s="1"/>
  <c r="AB133" i="57" s="1"/>
  <c r="AC133" i="57" s="1"/>
  <c r="AD133" i="57" s="1"/>
  <c r="AE133" i="57" s="1"/>
  <c r="AF133" i="57" s="1"/>
  <c r="AG133" i="57" s="1"/>
  <c r="AH133" i="57" s="1"/>
  <c r="AI133" i="57" s="1"/>
  <c r="AJ133" i="57" s="1"/>
  <c r="AK133" i="57" s="1"/>
  <c r="AL133" i="57" s="1"/>
  <c r="AM133" i="57" s="1"/>
  <c r="AN133" i="57" s="1"/>
  <c r="AO133" i="57" s="1"/>
  <c r="AP133" i="57" s="1"/>
  <c r="AQ133" i="57" s="1"/>
  <c r="AR133" i="57" s="1"/>
  <c r="AS133" i="57" s="1"/>
  <c r="AT133" i="57" s="1"/>
  <c r="AU133" i="57" s="1"/>
  <c r="AV133" i="57" s="1"/>
  <c r="AW133" i="57" s="1"/>
  <c r="AX133" i="57" s="1"/>
  <c r="AY133" i="57" s="1"/>
  <c r="AZ133" i="57" s="1"/>
  <c r="BA133" i="57" s="1"/>
  <c r="BB133" i="57" s="1"/>
  <c r="D134" i="57"/>
  <c r="D119" i="57"/>
  <c r="D122" i="57" s="1"/>
  <c r="D124" i="57" s="1"/>
  <c r="D111" i="56"/>
  <c r="D114" i="56" s="1"/>
  <c r="D116" i="56" s="1"/>
  <c r="N149" i="29"/>
  <c r="AR135" i="57"/>
  <c r="B21" i="53"/>
  <c r="B23" i="53" s="1"/>
  <c r="D119" i="29"/>
  <c r="D122" i="29" s="1"/>
  <c r="D124" i="29" s="1"/>
  <c r="D125" i="29" s="1"/>
  <c r="E125" i="29" s="1"/>
  <c r="F125" i="29" s="1"/>
  <c r="G125" i="29" s="1"/>
  <c r="H125" i="29" s="1"/>
  <c r="I125" i="29" s="1"/>
  <c r="J125" i="29" s="1"/>
  <c r="K125" i="29" s="1"/>
  <c r="L125" i="29" s="1"/>
  <c r="M125" i="29" s="1"/>
  <c r="N125" i="29" s="1"/>
  <c r="O125" i="29" s="1"/>
  <c r="P125" i="29" s="1"/>
  <c r="Q125" i="29" s="1"/>
  <c r="R125" i="29" s="1"/>
  <c r="S125" i="29" s="1"/>
  <c r="T125" i="29" s="1"/>
  <c r="U125" i="29" s="1"/>
  <c r="V125" i="29" s="1"/>
  <c r="W125" i="29" s="1"/>
  <c r="X125" i="29" s="1"/>
  <c r="Y125" i="29" s="1"/>
  <c r="Z125" i="29" s="1"/>
  <c r="AA125" i="29" s="1"/>
  <c r="AB125" i="29" s="1"/>
  <c r="AC125" i="29" s="1"/>
  <c r="AD125" i="29" s="1"/>
  <c r="AE125" i="29" s="1"/>
  <c r="AF125" i="29" s="1"/>
  <c r="AG125" i="29" s="1"/>
  <c r="AH125" i="29" s="1"/>
  <c r="AI125" i="29" s="1"/>
  <c r="AJ125" i="29" s="1"/>
  <c r="AK125" i="29" s="1"/>
  <c r="AL125" i="29" s="1"/>
  <c r="AM125" i="29" s="1"/>
  <c r="AN125" i="29" s="1"/>
  <c r="AO125" i="29" s="1"/>
  <c r="AP125" i="29" s="1"/>
  <c r="AQ125" i="29" s="1"/>
  <c r="AR125" i="29" s="1"/>
  <c r="AS125" i="29" s="1"/>
  <c r="AT125" i="29" s="1"/>
  <c r="AU125" i="29" s="1"/>
  <c r="AV125" i="29" s="1"/>
  <c r="AW125" i="29" s="1"/>
  <c r="AX125" i="29" s="1"/>
  <c r="AY125" i="29" s="1"/>
  <c r="AZ125" i="29" s="1"/>
  <c r="BA125" i="29" s="1"/>
  <c r="BB125" i="29" s="1"/>
  <c r="G15" i="22"/>
  <c r="G17" i="22" s="1"/>
  <c r="AH135" i="29"/>
  <c r="AH144" i="29" s="1"/>
  <c r="AR135" i="29"/>
  <c r="AR144" i="29" s="1"/>
  <c r="N135" i="29"/>
  <c r="N144" i="29" s="1"/>
  <c r="X135" i="29"/>
  <c r="X144" i="29" s="1"/>
  <c r="B39" i="42"/>
  <c r="B32" i="12"/>
  <c r="B36" i="12" s="1"/>
  <c r="B21" i="12"/>
  <c r="B25" i="12" s="1"/>
  <c r="E78" i="28"/>
  <c r="F78" i="28"/>
  <c r="G78" i="28"/>
  <c r="C78" i="28"/>
  <c r="D78" i="28"/>
  <c r="B78" i="28"/>
  <c r="D63" i="56" l="1"/>
  <c r="D66" i="56" s="1"/>
  <c r="D68" i="56" s="1"/>
  <c r="D69" i="56" s="1"/>
  <c r="D87" i="29"/>
  <c r="D87" i="57"/>
  <c r="D90" i="57" s="1"/>
  <c r="D92" i="57" s="1"/>
  <c r="D87" i="56"/>
  <c r="D90" i="56" s="1"/>
  <c r="D92" i="56" s="1"/>
  <c r="D61" i="56"/>
  <c r="D71" i="57"/>
  <c r="D74" i="57" s="1"/>
  <c r="D76" i="57" s="1"/>
  <c r="D77" i="57" s="1"/>
  <c r="D47" i="29"/>
  <c r="D50" i="29" s="1"/>
  <c r="D52" i="29" s="1"/>
  <c r="D71" i="29"/>
  <c r="D74" i="29" s="1"/>
  <c r="D76" i="29" s="1"/>
  <c r="D77" i="29" s="1"/>
  <c r="D71" i="56"/>
  <c r="D74" i="56" s="1"/>
  <c r="D76" i="56" s="1"/>
  <c r="D77" i="56" s="1"/>
  <c r="D47" i="57"/>
  <c r="D50" i="57" s="1"/>
  <c r="D52" i="57" s="1"/>
  <c r="D53" i="57" s="1"/>
  <c r="D47" i="56"/>
  <c r="D50" i="56" s="1"/>
  <c r="D52" i="56" s="1"/>
  <c r="D53" i="56" s="1"/>
  <c r="B20" i="44"/>
  <c r="B21" i="44" s="1"/>
  <c r="B23" i="44" s="1"/>
  <c r="D90" i="29" s="1"/>
  <c r="D92" i="29" s="1"/>
  <c r="D63" i="57"/>
  <c r="D66" i="57" s="1"/>
  <c r="D68" i="57" s="1"/>
  <c r="D69" i="57" s="1"/>
  <c r="D63" i="29"/>
  <c r="D66" i="29" s="1"/>
  <c r="D68" i="29" s="1"/>
  <c r="D69" i="29" s="1"/>
  <c r="C6" i="60"/>
  <c r="E6" i="60"/>
  <c r="I3" i="22"/>
  <c r="J3" i="22" s="1"/>
  <c r="J9" i="22" s="1"/>
  <c r="G16" i="22" s="1"/>
  <c r="H20" i="40"/>
  <c r="H51" i="40" s="1"/>
  <c r="F2" i="60" s="1"/>
  <c r="H2" i="60" s="1"/>
  <c r="C5" i="71" s="1"/>
  <c r="D5" i="71" s="1"/>
  <c r="E20" i="40"/>
  <c r="I20" i="40"/>
  <c r="D7" i="57"/>
  <c r="D166" i="57" s="1"/>
  <c r="D7" i="56"/>
  <c r="D117" i="56"/>
  <c r="E117" i="56" s="1"/>
  <c r="F117" i="56" s="1"/>
  <c r="G117" i="56" s="1"/>
  <c r="H117" i="56" s="1"/>
  <c r="I117" i="56" s="1"/>
  <c r="J117" i="56" s="1"/>
  <c r="K117" i="56" s="1"/>
  <c r="L117" i="56" s="1"/>
  <c r="M117" i="56" s="1"/>
  <c r="N117" i="56" s="1"/>
  <c r="O117" i="56" s="1"/>
  <c r="P117" i="56" s="1"/>
  <c r="Q117" i="56" s="1"/>
  <c r="R117" i="56" s="1"/>
  <c r="S117" i="56" s="1"/>
  <c r="T117" i="56" s="1"/>
  <c r="U117" i="56" s="1"/>
  <c r="V117" i="56" s="1"/>
  <c r="W117" i="56" s="1"/>
  <c r="X117" i="56" s="1"/>
  <c r="Y117" i="56" s="1"/>
  <c r="Z117" i="56" s="1"/>
  <c r="AA117" i="56" s="1"/>
  <c r="AB117" i="56" s="1"/>
  <c r="AC117" i="56" s="1"/>
  <c r="AD117" i="56" s="1"/>
  <c r="AE117" i="56" s="1"/>
  <c r="AF117" i="56" s="1"/>
  <c r="AG117" i="56" s="1"/>
  <c r="AH117" i="56" s="1"/>
  <c r="AI117" i="56" s="1"/>
  <c r="AJ117" i="56" s="1"/>
  <c r="AK117" i="56" s="1"/>
  <c r="AL117" i="56" s="1"/>
  <c r="AM117" i="56" s="1"/>
  <c r="AN117" i="56" s="1"/>
  <c r="AO117" i="56" s="1"/>
  <c r="AP117" i="56" s="1"/>
  <c r="AQ117" i="56" s="1"/>
  <c r="AR117" i="56" s="1"/>
  <c r="AS117" i="56" s="1"/>
  <c r="AT117" i="56" s="1"/>
  <c r="AU117" i="56" s="1"/>
  <c r="AV117" i="56" s="1"/>
  <c r="AW117" i="56" s="1"/>
  <c r="AX117" i="56" s="1"/>
  <c r="AY117" i="56" s="1"/>
  <c r="AZ117" i="56" s="1"/>
  <c r="BA117" i="56" s="1"/>
  <c r="BB117" i="56" s="1"/>
  <c r="D118" i="56"/>
  <c r="AC7" i="57"/>
  <c r="AC166" i="57" s="1"/>
  <c r="AC7" i="56"/>
  <c r="AC158" i="56" s="1"/>
  <c r="D103" i="57"/>
  <c r="D106" i="57" s="1"/>
  <c r="D108" i="57" s="1"/>
  <c r="D109" i="57" s="1"/>
  <c r="D95" i="56"/>
  <c r="D98" i="56" s="1"/>
  <c r="D100" i="56" s="1"/>
  <c r="D101" i="56" s="1"/>
  <c r="D103" i="29"/>
  <c r="D106" i="29" s="1"/>
  <c r="D108" i="29" s="1"/>
  <c r="D109" i="29" s="1"/>
  <c r="D125" i="57"/>
  <c r="E125" i="57" s="1"/>
  <c r="F125" i="57" s="1"/>
  <c r="G125" i="57" s="1"/>
  <c r="H125" i="57" s="1"/>
  <c r="I125" i="57" s="1"/>
  <c r="J125" i="57" s="1"/>
  <c r="K125" i="57" s="1"/>
  <c r="L125" i="57" s="1"/>
  <c r="M125" i="57" s="1"/>
  <c r="N125" i="57" s="1"/>
  <c r="O125" i="57" s="1"/>
  <c r="P125" i="57" s="1"/>
  <c r="Q125" i="57" s="1"/>
  <c r="R125" i="57" s="1"/>
  <c r="S125" i="57" s="1"/>
  <c r="T125" i="57" s="1"/>
  <c r="U125" i="57" s="1"/>
  <c r="V125" i="57" s="1"/>
  <c r="W125" i="57" s="1"/>
  <c r="X125" i="57" s="1"/>
  <c r="Y125" i="57" s="1"/>
  <c r="Z125" i="57" s="1"/>
  <c r="AA125" i="57" s="1"/>
  <c r="AB125" i="57" s="1"/>
  <c r="AC125" i="57" s="1"/>
  <c r="AD125" i="57" s="1"/>
  <c r="AE125" i="57" s="1"/>
  <c r="AF125" i="57" s="1"/>
  <c r="AG125" i="57" s="1"/>
  <c r="AH125" i="57" s="1"/>
  <c r="AI125" i="57" s="1"/>
  <c r="AJ125" i="57" s="1"/>
  <c r="AK125" i="57" s="1"/>
  <c r="AL125" i="57" s="1"/>
  <c r="AM125" i="57" s="1"/>
  <c r="AN125" i="57" s="1"/>
  <c r="AO125" i="57" s="1"/>
  <c r="AP125" i="57" s="1"/>
  <c r="AQ125" i="57" s="1"/>
  <c r="AR125" i="57" s="1"/>
  <c r="AS125" i="57" s="1"/>
  <c r="AT125" i="57" s="1"/>
  <c r="AU125" i="57" s="1"/>
  <c r="AV125" i="57" s="1"/>
  <c r="AW125" i="57" s="1"/>
  <c r="AX125" i="57" s="1"/>
  <c r="AY125" i="57" s="1"/>
  <c r="AZ125" i="57" s="1"/>
  <c r="BA125" i="57" s="1"/>
  <c r="BB125" i="57" s="1"/>
  <c r="D126" i="57"/>
  <c r="D95" i="57"/>
  <c r="D98" i="57" s="1"/>
  <c r="D100" i="57" s="1"/>
  <c r="D101" i="57" s="1"/>
  <c r="D95" i="29"/>
  <c r="D98" i="29" s="1"/>
  <c r="D100" i="29" s="1"/>
  <c r="D101" i="29" s="1"/>
  <c r="B41" i="42"/>
  <c r="D126" i="29"/>
  <c r="AC7" i="29"/>
  <c r="AC180" i="29" s="1"/>
  <c r="AC189" i="29" s="1"/>
  <c r="D7" i="29"/>
  <c r="D180" i="29" s="1"/>
  <c r="D189" i="29" s="1"/>
  <c r="B79" i="28"/>
  <c r="B80" i="28" s="1"/>
  <c r="D95" i="28"/>
  <c r="D96" i="28"/>
  <c r="D97" i="28"/>
  <c r="D94" i="28"/>
  <c r="D158" i="56" l="1"/>
  <c r="D79" i="29"/>
  <c r="D82" i="29" s="1"/>
  <c r="D84" i="29" s="1"/>
  <c r="D85" i="29" s="1"/>
  <c r="D93" i="57"/>
  <c r="D93" i="56"/>
  <c r="D53" i="29"/>
  <c r="D79" i="56"/>
  <c r="D82" i="56" s="1"/>
  <c r="D84" i="56" s="1"/>
  <c r="D85" i="56" s="1"/>
  <c r="D79" i="57"/>
  <c r="D82" i="57" s="1"/>
  <c r="D84" i="57" s="1"/>
  <c r="D85" i="57" s="1"/>
  <c r="D93" i="29"/>
  <c r="D170" i="29"/>
  <c r="D135" i="29"/>
  <c r="D144" i="29" s="1"/>
  <c r="D147" i="29" s="1"/>
  <c r="D159" i="29"/>
  <c r="D162" i="29" s="1"/>
  <c r="I51" i="40"/>
  <c r="F3" i="60" s="1"/>
  <c r="J20" i="40"/>
  <c r="F20" i="40"/>
  <c r="G2" i="60"/>
  <c r="I2" i="60"/>
  <c r="AC155" i="57"/>
  <c r="AC135" i="57"/>
  <c r="AC145" i="57"/>
  <c r="AC135" i="29"/>
  <c r="AC144" i="29" s="1"/>
  <c r="AC159" i="29"/>
  <c r="AC149" i="29"/>
  <c r="D10" i="56"/>
  <c r="D12" i="56" s="1"/>
  <c r="D147" i="56"/>
  <c r="D150" i="56" s="1"/>
  <c r="D152" i="56" s="1"/>
  <c r="D153" i="56" s="1"/>
  <c r="D156" i="56" s="1"/>
  <c r="D137" i="56"/>
  <c r="D140" i="56" s="1"/>
  <c r="D142" i="56" s="1"/>
  <c r="D143" i="56" s="1"/>
  <c r="D146" i="56" s="1"/>
  <c r="D149" i="29"/>
  <c r="D152" i="29" s="1"/>
  <c r="D154" i="29" s="1"/>
  <c r="D155" i="29" s="1"/>
  <c r="D158" i="29" s="1"/>
  <c r="AC127" i="56"/>
  <c r="AC137" i="56"/>
  <c r="AC147" i="56"/>
  <c r="D10" i="57"/>
  <c r="D12" i="57" s="1"/>
  <c r="D145" i="57"/>
  <c r="D148" i="57" s="1"/>
  <c r="D150" i="57" s="1"/>
  <c r="D151" i="57" s="1"/>
  <c r="D154" i="57" s="1"/>
  <c r="D155" i="57"/>
  <c r="D158" i="57" s="1"/>
  <c r="D160" i="57" s="1"/>
  <c r="D161" i="57" s="1"/>
  <c r="D164" i="57" s="1"/>
  <c r="D10" i="29"/>
  <c r="D12" i="29" s="1"/>
  <c r="D13" i="29" s="1"/>
  <c r="L17" i="28"/>
  <c r="O17" i="28" s="1"/>
  <c r="P17" i="28" s="1"/>
  <c r="K28" i="40"/>
  <c r="K29" i="40"/>
  <c r="E30" i="40"/>
  <c r="E51" i="40" s="1"/>
  <c r="B2" i="60" s="1"/>
  <c r="D2" i="60" s="1"/>
  <c r="C2" i="71" s="1"/>
  <c r="D2" i="71" s="1"/>
  <c r="D127" i="56" l="1"/>
  <c r="D130" i="56" s="1"/>
  <c r="D132" i="56" s="1"/>
  <c r="D133" i="56" s="1"/>
  <c r="D136" i="56" s="1"/>
  <c r="D135" i="57"/>
  <c r="D138" i="57" s="1"/>
  <c r="D140" i="57" s="1"/>
  <c r="D141" i="57" s="1"/>
  <c r="D144" i="57" s="1"/>
  <c r="D161" i="56"/>
  <c r="D163" i="56" s="1"/>
  <c r="D164" i="56" s="1"/>
  <c r="D167" i="56" s="1"/>
  <c r="F4" i="60"/>
  <c r="H4" i="60" s="1"/>
  <c r="C7" i="71" s="1"/>
  <c r="D7" i="71" s="1"/>
  <c r="H3" i="60"/>
  <c r="C6" i="71" s="1"/>
  <c r="D6" i="71" s="1"/>
  <c r="D164" i="29"/>
  <c r="D165" i="29" s="1"/>
  <c r="D168" i="29" s="1"/>
  <c r="F8" i="58"/>
  <c r="F11" i="58"/>
  <c r="F2" i="58"/>
  <c r="C2" i="60"/>
  <c r="E2" i="60"/>
  <c r="G20" i="40"/>
  <c r="C19" i="47" s="1"/>
  <c r="C7" i="47"/>
  <c r="J51" i="40"/>
  <c r="J52" i="40"/>
  <c r="I3" i="60"/>
  <c r="I4" i="60" s="1"/>
  <c r="G3" i="60"/>
  <c r="G4" i="60" s="1"/>
  <c r="D13" i="56"/>
  <c r="D13" i="57"/>
  <c r="D138" i="29"/>
  <c r="D140" i="29" s="1"/>
  <c r="D141" i="29" s="1"/>
  <c r="D148" i="29" s="1"/>
  <c r="A40" i="40"/>
  <c r="L36" i="40"/>
  <c r="M36" i="40" s="1"/>
  <c r="L35" i="40"/>
  <c r="M35" i="40" s="1"/>
  <c r="L34" i="40"/>
  <c r="M34" i="40" s="1"/>
  <c r="L33" i="40"/>
  <c r="M33" i="40" s="1"/>
  <c r="L32" i="40"/>
  <c r="M32" i="40" s="1"/>
  <c r="L31" i="40"/>
  <c r="F31" i="40"/>
  <c r="G31" i="40" s="1"/>
  <c r="G30" i="40"/>
  <c r="C15" i="47" s="1"/>
  <c r="E15" i="47" s="1"/>
  <c r="F27" i="40"/>
  <c r="G27" i="40" s="1"/>
  <c r="G26" i="40"/>
  <c r="C16" i="47" s="1"/>
  <c r="E16" i="47" s="1"/>
  <c r="B7" i="40"/>
  <c r="B6" i="40"/>
  <c r="F10" i="58" l="1"/>
  <c r="F7" i="58"/>
  <c r="F9" i="58"/>
  <c r="F3" i="58"/>
  <c r="F4" i="58"/>
  <c r="F5" i="58"/>
  <c r="F6" i="58"/>
  <c r="E19" i="47"/>
  <c r="F51" i="40"/>
  <c r="B3" i="60" s="1"/>
  <c r="G51" i="40"/>
  <c r="F26" i="58"/>
  <c r="F14" i="58"/>
  <c r="F27" i="58"/>
  <c r="F28" i="58"/>
  <c r="F29" i="58"/>
  <c r="F30" i="58"/>
  <c r="F31" i="58"/>
  <c r="F32" i="58"/>
  <c r="F35" i="58"/>
  <c r="F22" i="58"/>
  <c r="F17" i="58"/>
  <c r="F20" i="58"/>
  <c r="F23" i="58"/>
  <c r="F19" i="58"/>
  <c r="F18" i="58"/>
  <c r="F15" i="58"/>
  <c r="F33" i="58"/>
  <c r="F34" i="58"/>
  <c r="F21" i="58"/>
  <c r="F13" i="58"/>
  <c r="F24" i="58"/>
  <c r="F12" i="58"/>
  <c r="F25" i="58"/>
  <c r="F16" i="58"/>
  <c r="L56" i="40"/>
  <c r="B79" i="40"/>
  <c r="B80" i="40" s="1"/>
  <c r="E7" i="47"/>
  <c r="M31" i="40"/>
  <c r="C3" i="60" l="1"/>
  <c r="C4" i="60" s="1"/>
  <c r="D3" i="60"/>
  <c r="C3" i="71" s="1"/>
  <c r="D3" i="71" s="1"/>
  <c r="B4" i="60"/>
  <c r="E3" i="60"/>
  <c r="E4" i="60" s="1"/>
  <c r="I37" i="27"/>
  <c r="I36" i="27"/>
  <c r="I35" i="27"/>
  <c r="I34" i="27"/>
  <c r="I33" i="27"/>
  <c r="I32" i="27"/>
  <c r="I36" i="17"/>
  <c r="I35" i="17"/>
  <c r="I34" i="17"/>
  <c r="I33" i="17"/>
  <c r="I32" i="17"/>
  <c r="I31" i="17"/>
  <c r="I30" i="17"/>
  <c r="I29" i="17"/>
  <c r="I28" i="17"/>
  <c r="I27" i="17"/>
  <c r="I26" i="17"/>
  <c r="I25" i="17"/>
  <c r="I24" i="17"/>
  <c r="L7" i="16"/>
  <c r="L5" i="16"/>
  <c r="L4" i="16"/>
  <c r="I4" i="15"/>
  <c r="I3" i="15"/>
  <c r="I7" i="14"/>
  <c r="I6" i="14"/>
  <c r="I5" i="14"/>
  <c r="I4" i="14"/>
  <c r="K5" i="13"/>
  <c r="L5" i="13" s="1"/>
  <c r="K3" i="13"/>
  <c r="L3" i="13" s="1"/>
  <c r="C4" i="58" l="1"/>
  <c r="D4" i="60"/>
  <c r="C4" i="71" s="1"/>
  <c r="C5" i="58"/>
  <c r="C3" i="58"/>
  <c r="C8" i="58"/>
  <c r="C2" i="58"/>
  <c r="C32" i="58" s="1"/>
  <c r="C10" i="58"/>
  <c r="C9" i="58"/>
  <c r="C11" i="58"/>
  <c r="C7" i="58"/>
  <c r="C6" i="58"/>
  <c r="C28" i="58" l="1"/>
  <c r="C12" i="58"/>
  <c r="C27" i="58"/>
  <c r="C15" i="58"/>
  <c r="C13" i="58"/>
  <c r="C25" i="58"/>
  <c r="C17" i="58"/>
  <c r="C18" i="58"/>
  <c r="C24" i="58"/>
  <c r="C23" i="58"/>
  <c r="C20" i="58"/>
  <c r="C30" i="58"/>
  <c r="C21" i="58"/>
  <c r="C14" i="58"/>
  <c r="C35" i="58"/>
  <c r="C22" i="58"/>
  <c r="C34" i="58"/>
  <c r="C31" i="58"/>
  <c r="C29" i="58"/>
  <c r="C16" i="58"/>
  <c r="C19" i="58"/>
  <c r="C33" i="58"/>
  <c r="C26" i="58"/>
  <c r="P23" i="27" l="1"/>
  <c r="C127" i="22" l="1"/>
  <c r="C126" i="22"/>
  <c r="C122" i="22"/>
  <c r="C121" i="22"/>
  <c r="E29" i="28" l="1"/>
  <c r="F29" i="28" s="1"/>
  <c r="G29" i="28" s="1"/>
  <c r="H29" i="28" s="1"/>
  <c r="I29" i="28" s="1"/>
  <c r="J29" i="28" s="1"/>
  <c r="K29" i="28" s="1"/>
  <c r="E30" i="28"/>
  <c r="F30" i="28" s="1"/>
  <c r="G30" i="28" s="1"/>
  <c r="H30" i="28" s="1"/>
  <c r="I30" i="28" s="1"/>
  <c r="J30" i="28" s="1"/>
  <c r="K30" i="28" s="1"/>
  <c r="E31" i="28"/>
  <c r="F31" i="28" s="1"/>
  <c r="G31" i="28" s="1"/>
  <c r="H31" i="28" s="1"/>
  <c r="I31" i="28" s="1"/>
  <c r="J31" i="28" s="1"/>
  <c r="K31" i="28" s="1"/>
  <c r="E28" i="28"/>
  <c r="F28" i="28" s="1"/>
  <c r="G28" i="28" s="1"/>
  <c r="H28" i="28" s="1"/>
  <c r="I28" i="28" s="1"/>
  <c r="J28" i="28" s="1"/>
  <c r="K28" i="28" s="1"/>
  <c r="L32" i="28" l="1"/>
  <c r="L33" i="28"/>
  <c r="L28" i="28"/>
  <c r="L30" i="28"/>
  <c r="L29" i="28"/>
  <c r="L31" i="28"/>
  <c r="F11" i="28"/>
  <c r="F10" i="28"/>
  <c r="H10" i="28" s="1"/>
  <c r="I10" i="28" s="1"/>
  <c r="J10" i="28" s="1"/>
  <c r="K10" i="28" s="1"/>
  <c r="F9" i="28"/>
  <c r="H9" i="28" s="1"/>
  <c r="I9" i="28" s="1"/>
  <c r="J9" i="28" s="1"/>
  <c r="F8" i="28"/>
  <c r="H8" i="28" s="1"/>
  <c r="I8" i="28" s="1"/>
  <c r="J8" i="28" s="1"/>
  <c r="F7" i="28"/>
  <c r="H7" i="28" s="1"/>
  <c r="I7" i="28" s="1"/>
  <c r="J7" i="28" s="1"/>
  <c r="F6" i="28"/>
  <c r="H6" i="28" s="1"/>
  <c r="I6" i="28" s="1"/>
  <c r="J6" i="28" s="1"/>
  <c r="K6" i="28" s="1"/>
  <c r="F5" i="28"/>
  <c r="H5" i="28" s="1"/>
  <c r="I5" i="28" s="1"/>
  <c r="J5" i="28" s="1"/>
  <c r="AU168" i="57" l="1"/>
  <c r="AE168" i="57"/>
  <c r="O168" i="57"/>
  <c r="AT160" i="56"/>
  <c r="AD160" i="56"/>
  <c r="N160" i="56"/>
  <c r="AX182" i="29"/>
  <c r="AX191" i="29" s="1"/>
  <c r="AH182" i="29"/>
  <c r="AH191" i="29" s="1"/>
  <c r="R182" i="29"/>
  <c r="R191" i="29" s="1"/>
  <c r="AT168" i="57"/>
  <c r="AD168" i="57"/>
  <c r="N168" i="57"/>
  <c r="AS160" i="56"/>
  <c r="AC160" i="56"/>
  <c r="M160" i="56"/>
  <c r="AW182" i="29"/>
  <c r="AW191" i="29" s="1"/>
  <c r="AG182" i="29"/>
  <c r="AG191" i="29" s="1"/>
  <c r="Q182" i="29"/>
  <c r="Q191" i="29" s="1"/>
  <c r="AS168" i="57"/>
  <c r="AC168" i="57"/>
  <c r="M168" i="57"/>
  <c r="AR160" i="56"/>
  <c r="AB160" i="56"/>
  <c r="L160" i="56"/>
  <c r="AV182" i="29"/>
  <c r="AV191" i="29" s="1"/>
  <c r="AF182" i="29"/>
  <c r="AF191" i="29" s="1"/>
  <c r="P182" i="29"/>
  <c r="P191" i="29" s="1"/>
  <c r="M182" i="29"/>
  <c r="M191" i="29" s="1"/>
  <c r="AR168" i="57"/>
  <c r="AB168" i="57"/>
  <c r="L168" i="57"/>
  <c r="AQ160" i="56"/>
  <c r="AA160" i="56"/>
  <c r="K160" i="56"/>
  <c r="AU182" i="29"/>
  <c r="AU191" i="29" s="1"/>
  <c r="AE182" i="29"/>
  <c r="AE191" i="29" s="1"/>
  <c r="O182" i="29"/>
  <c r="O191" i="29" s="1"/>
  <c r="AQ168" i="57"/>
  <c r="AA168" i="57"/>
  <c r="K168" i="57"/>
  <c r="AP160" i="56"/>
  <c r="Z160" i="56"/>
  <c r="J160" i="56"/>
  <c r="AT182" i="29"/>
  <c r="AT191" i="29" s="1"/>
  <c r="AD182" i="29"/>
  <c r="AD191" i="29" s="1"/>
  <c r="N182" i="29"/>
  <c r="N191" i="29" s="1"/>
  <c r="AP168" i="57"/>
  <c r="Z168" i="57"/>
  <c r="J168" i="57"/>
  <c r="AO160" i="56"/>
  <c r="Y160" i="56"/>
  <c r="I160" i="56"/>
  <c r="AS182" i="29"/>
  <c r="AS191" i="29" s="1"/>
  <c r="AC182" i="29"/>
  <c r="AC191" i="29" s="1"/>
  <c r="AO168" i="57"/>
  <c r="Y168" i="57"/>
  <c r="I168" i="57"/>
  <c r="AN160" i="56"/>
  <c r="X160" i="56"/>
  <c r="H160" i="56"/>
  <c r="AR182" i="29"/>
  <c r="AR191" i="29" s="1"/>
  <c r="AB182" i="29"/>
  <c r="AB191" i="29" s="1"/>
  <c r="L182" i="29"/>
  <c r="L191" i="29" s="1"/>
  <c r="Z182" i="29"/>
  <c r="Z191" i="29" s="1"/>
  <c r="AN168" i="57"/>
  <c r="X168" i="57"/>
  <c r="H168" i="57"/>
  <c r="AM160" i="56"/>
  <c r="W160" i="56"/>
  <c r="G160" i="56"/>
  <c r="AQ182" i="29"/>
  <c r="AQ191" i="29" s="1"/>
  <c r="AA182" i="29"/>
  <c r="AA191" i="29" s="1"/>
  <c r="K182" i="29"/>
  <c r="K191" i="29" s="1"/>
  <c r="AP182" i="29"/>
  <c r="AP191" i="29" s="1"/>
  <c r="AM168" i="57"/>
  <c r="W168" i="57"/>
  <c r="G168" i="57"/>
  <c r="BB160" i="56"/>
  <c r="AL160" i="56"/>
  <c r="V160" i="56"/>
  <c r="F160" i="56"/>
  <c r="J182" i="29"/>
  <c r="J191" i="29" s="1"/>
  <c r="BB168" i="57"/>
  <c r="AL168" i="57"/>
  <c r="V168" i="57"/>
  <c r="F168" i="57"/>
  <c r="BA160" i="56"/>
  <c r="AK160" i="56"/>
  <c r="U160" i="56"/>
  <c r="E160" i="56"/>
  <c r="AO182" i="29"/>
  <c r="AO191" i="29" s="1"/>
  <c r="Y182" i="29"/>
  <c r="Y191" i="29" s="1"/>
  <c r="I182" i="29"/>
  <c r="I191" i="29" s="1"/>
  <c r="BA182" i="29"/>
  <c r="BA191" i="29" s="1"/>
  <c r="BA168" i="57"/>
  <c r="AK168" i="57"/>
  <c r="U168" i="57"/>
  <c r="E168" i="57"/>
  <c r="AZ160" i="56"/>
  <c r="AJ160" i="56"/>
  <c r="T160" i="56"/>
  <c r="AN182" i="29"/>
  <c r="AN191" i="29" s="1"/>
  <c r="X182" i="29"/>
  <c r="X191" i="29" s="1"/>
  <c r="H182" i="29"/>
  <c r="H191" i="29" s="1"/>
  <c r="AZ168" i="57"/>
  <c r="AJ168" i="57"/>
  <c r="T168" i="57"/>
  <c r="AY160" i="56"/>
  <c r="AI160" i="56"/>
  <c r="S160" i="56"/>
  <c r="AM182" i="29"/>
  <c r="AM191" i="29" s="1"/>
  <c r="W182" i="29"/>
  <c r="W191" i="29" s="1"/>
  <c r="G182" i="29"/>
  <c r="G191" i="29" s="1"/>
  <c r="AY168" i="57"/>
  <c r="AI168" i="57"/>
  <c r="S168" i="57"/>
  <c r="AX160" i="56"/>
  <c r="AH160" i="56"/>
  <c r="R160" i="56"/>
  <c r="BB182" i="29"/>
  <c r="BB191" i="29" s="1"/>
  <c r="AL182" i="29"/>
  <c r="AL191" i="29" s="1"/>
  <c r="V182" i="29"/>
  <c r="V191" i="29" s="1"/>
  <c r="F182" i="29"/>
  <c r="F191" i="29" s="1"/>
  <c r="AX168" i="57"/>
  <c r="AH168" i="57"/>
  <c r="R168" i="57"/>
  <c r="AW160" i="56"/>
  <c r="AG160" i="56"/>
  <c r="Q160" i="56"/>
  <c r="AK182" i="29"/>
  <c r="AK191" i="29" s="1"/>
  <c r="U182" i="29"/>
  <c r="U191" i="29" s="1"/>
  <c r="E182" i="29"/>
  <c r="E191" i="29" s="1"/>
  <c r="AW168" i="57"/>
  <c r="AG168" i="57"/>
  <c r="Q168" i="57"/>
  <c r="AV160" i="56"/>
  <c r="AF160" i="56"/>
  <c r="P160" i="56"/>
  <c r="AZ182" i="29"/>
  <c r="AZ191" i="29" s="1"/>
  <c r="AJ182" i="29"/>
  <c r="AJ191" i="29" s="1"/>
  <c r="T182" i="29"/>
  <c r="T191" i="29" s="1"/>
  <c r="AV168" i="57"/>
  <c r="AF168" i="57"/>
  <c r="P168" i="57"/>
  <c r="AU160" i="56"/>
  <c r="AE160" i="56"/>
  <c r="O160" i="56"/>
  <c r="AY182" i="29"/>
  <c r="AY191" i="29" s="1"/>
  <c r="AI182" i="29"/>
  <c r="AI191" i="29" s="1"/>
  <c r="S182" i="29"/>
  <c r="S191" i="29" s="1"/>
  <c r="AZ172" i="29"/>
  <c r="AJ172" i="29"/>
  <c r="T172" i="29"/>
  <c r="AY172" i="29"/>
  <c r="AI172" i="29"/>
  <c r="S172" i="29"/>
  <c r="AX172" i="29"/>
  <c r="AH172" i="29"/>
  <c r="R172" i="29"/>
  <c r="AT172" i="29"/>
  <c r="AD172" i="29"/>
  <c r="AS172" i="29"/>
  <c r="M172" i="29"/>
  <c r="BA172" i="29"/>
  <c r="AW172" i="29"/>
  <c r="AG172" i="29"/>
  <c r="Q172" i="29"/>
  <c r="AV172" i="29"/>
  <c r="AF172" i="29"/>
  <c r="P172" i="29"/>
  <c r="AU172" i="29"/>
  <c r="AE172" i="29"/>
  <c r="O172" i="29"/>
  <c r="N172" i="29"/>
  <c r="AC172" i="29"/>
  <c r="W172" i="29"/>
  <c r="AL172" i="29"/>
  <c r="U172" i="29"/>
  <c r="AR172" i="29"/>
  <c r="AB172" i="29"/>
  <c r="L172" i="29"/>
  <c r="X172" i="29"/>
  <c r="AK172" i="29"/>
  <c r="AQ172" i="29"/>
  <c r="AA172" i="29"/>
  <c r="K172" i="29"/>
  <c r="AP172" i="29"/>
  <c r="Z172" i="29"/>
  <c r="J172" i="29"/>
  <c r="AO172" i="29"/>
  <c r="Y172" i="29"/>
  <c r="I172" i="29"/>
  <c r="AN172" i="29"/>
  <c r="H172" i="29"/>
  <c r="AM172" i="29"/>
  <c r="G172" i="29"/>
  <c r="BB172" i="29"/>
  <c r="V172" i="29"/>
  <c r="F172" i="29"/>
  <c r="E172" i="29"/>
  <c r="AU9" i="57"/>
  <c r="AM9" i="57"/>
  <c r="AE9" i="57"/>
  <c r="W9" i="57"/>
  <c r="O9" i="57"/>
  <c r="G9" i="57"/>
  <c r="BB9" i="57"/>
  <c r="AT9" i="57"/>
  <c r="AL9" i="57"/>
  <c r="AD9" i="57"/>
  <c r="V9" i="57"/>
  <c r="N9" i="57"/>
  <c r="F9" i="57"/>
  <c r="BA9" i="57"/>
  <c r="AS9" i="57"/>
  <c r="AK9" i="57"/>
  <c r="AC9" i="57"/>
  <c r="U9" i="57"/>
  <c r="M9" i="57"/>
  <c r="E9" i="57"/>
  <c r="AZ9" i="57"/>
  <c r="AR9" i="57"/>
  <c r="AJ9" i="57"/>
  <c r="AB9" i="57"/>
  <c r="T9" i="57"/>
  <c r="L9" i="57"/>
  <c r="AY9" i="57"/>
  <c r="AQ9" i="57"/>
  <c r="AI9" i="57"/>
  <c r="AA9" i="57"/>
  <c r="S9" i="57"/>
  <c r="K9" i="57"/>
  <c r="AX9" i="57"/>
  <c r="AP9" i="57"/>
  <c r="AH9" i="57"/>
  <c r="Z9" i="57"/>
  <c r="R9" i="57"/>
  <c r="J9" i="57"/>
  <c r="AW9" i="57"/>
  <c r="AO9" i="57"/>
  <c r="AG9" i="57"/>
  <c r="Y9" i="57"/>
  <c r="Q9" i="57"/>
  <c r="I9" i="57"/>
  <c r="AN9" i="57"/>
  <c r="AF9" i="57"/>
  <c r="X9" i="57"/>
  <c r="P9" i="57"/>
  <c r="H9" i="57"/>
  <c r="AV9" i="57"/>
  <c r="AX9" i="56"/>
  <c r="AP9" i="56"/>
  <c r="AH9" i="56"/>
  <c r="Z9" i="56"/>
  <c r="R9" i="56"/>
  <c r="J9" i="56"/>
  <c r="AW9" i="56"/>
  <c r="AO9" i="56"/>
  <c r="AG9" i="56"/>
  <c r="Y9" i="56"/>
  <c r="Q9" i="56"/>
  <c r="I9" i="56"/>
  <c r="AV9" i="56"/>
  <c r="AN9" i="56"/>
  <c r="AF9" i="56"/>
  <c r="X9" i="56"/>
  <c r="P9" i="56"/>
  <c r="H9" i="56"/>
  <c r="BA9" i="56"/>
  <c r="AS9" i="56"/>
  <c r="AK9" i="56"/>
  <c r="AC9" i="56"/>
  <c r="U9" i="56"/>
  <c r="M9" i="56"/>
  <c r="E9" i="56"/>
  <c r="AZ9" i="56"/>
  <c r="AR9" i="56"/>
  <c r="AJ9" i="56"/>
  <c r="AB9" i="56"/>
  <c r="T9" i="56"/>
  <c r="L9" i="56"/>
  <c r="AL9" i="56"/>
  <c r="O9" i="56"/>
  <c r="AM9" i="56"/>
  <c r="AI9" i="56"/>
  <c r="N9" i="56"/>
  <c r="BB9" i="56"/>
  <c r="AE9" i="56"/>
  <c r="K9" i="56"/>
  <c r="AY9" i="56"/>
  <c r="AD9" i="56"/>
  <c r="G9" i="56"/>
  <c r="AU9" i="56"/>
  <c r="AA9" i="56"/>
  <c r="F9" i="56"/>
  <c r="AT9" i="56"/>
  <c r="W9" i="56"/>
  <c r="S9" i="56"/>
  <c r="AQ9" i="56"/>
  <c r="V9" i="56"/>
  <c r="AZ113" i="57"/>
  <c r="AR113" i="57"/>
  <c r="AJ113" i="57"/>
  <c r="AB113" i="57"/>
  <c r="T113" i="57"/>
  <c r="L113" i="57"/>
  <c r="AY113" i="57"/>
  <c r="AQ113" i="57"/>
  <c r="AI113" i="57"/>
  <c r="AA113" i="57"/>
  <c r="S113" i="57"/>
  <c r="K113" i="57"/>
  <c r="AX113" i="57"/>
  <c r="AP113" i="57"/>
  <c r="AH113" i="57"/>
  <c r="Z113" i="57"/>
  <c r="R113" i="57"/>
  <c r="J113" i="57"/>
  <c r="AW113" i="57"/>
  <c r="AO113" i="57"/>
  <c r="AG113" i="57"/>
  <c r="Y113" i="57"/>
  <c r="Q113" i="57"/>
  <c r="I113" i="57"/>
  <c r="AV113" i="57"/>
  <c r="AN113" i="57"/>
  <c r="AF113" i="57"/>
  <c r="X113" i="57"/>
  <c r="P113" i="57"/>
  <c r="H113" i="57"/>
  <c r="AU113" i="57"/>
  <c r="AM113" i="57"/>
  <c r="AE113" i="57"/>
  <c r="W113" i="57"/>
  <c r="O113" i="57"/>
  <c r="G113" i="57"/>
  <c r="BB113" i="57"/>
  <c r="AT113" i="57"/>
  <c r="AL113" i="57"/>
  <c r="AD113" i="57"/>
  <c r="V113" i="57"/>
  <c r="N113" i="57"/>
  <c r="F113" i="57"/>
  <c r="BA113" i="57"/>
  <c r="AS113" i="57"/>
  <c r="AK113" i="57"/>
  <c r="AC113" i="57"/>
  <c r="U113" i="57"/>
  <c r="M113" i="57"/>
  <c r="E113" i="57"/>
  <c r="BA105" i="56"/>
  <c r="AS105" i="56"/>
  <c r="AK105" i="56"/>
  <c r="AC105" i="56"/>
  <c r="U105" i="56"/>
  <c r="M105" i="56"/>
  <c r="E105" i="56"/>
  <c r="AZ105" i="56"/>
  <c r="AR105" i="56"/>
  <c r="AJ105" i="56"/>
  <c r="AB105" i="56"/>
  <c r="T105" i="56"/>
  <c r="L105" i="56"/>
  <c r="AY105" i="56"/>
  <c r="AQ105" i="56"/>
  <c r="AI105" i="56"/>
  <c r="AA105" i="56"/>
  <c r="S105" i="56"/>
  <c r="K105" i="56"/>
  <c r="AX105" i="56"/>
  <c r="AP105" i="56"/>
  <c r="AH105" i="56"/>
  <c r="Z105" i="56"/>
  <c r="R105" i="56"/>
  <c r="J105" i="56"/>
  <c r="AW105" i="56"/>
  <c r="AO105" i="56"/>
  <c r="AG105" i="56"/>
  <c r="Y105" i="56"/>
  <c r="Q105" i="56"/>
  <c r="I105" i="56"/>
  <c r="AV105" i="56"/>
  <c r="AN105" i="56"/>
  <c r="AF105" i="56"/>
  <c r="X105" i="56"/>
  <c r="P105" i="56"/>
  <c r="H105" i="56"/>
  <c r="AU105" i="56"/>
  <c r="AM105" i="56"/>
  <c r="AE105" i="56"/>
  <c r="W105" i="56"/>
  <c r="O105" i="56"/>
  <c r="G105" i="56"/>
  <c r="F105" i="56"/>
  <c r="N105" i="56"/>
  <c r="BB105" i="56"/>
  <c r="AT105" i="56"/>
  <c r="AL105" i="56"/>
  <c r="AD105" i="56"/>
  <c r="V105" i="56"/>
  <c r="BA41" i="57"/>
  <c r="AS41" i="57"/>
  <c r="AK41" i="57"/>
  <c r="AC41" i="57"/>
  <c r="U41" i="57"/>
  <c r="M41" i="57"/>
  <c r="E41" i="57"/>
  <c r="AZ41" i="57"/>
  <c r="AR41" i="57"/>
  <c r="AJ41" i="57"/>
  <c r="AB41" i="57"/>
  <c r="T41" i="57"/>
  <c r="L41" i="57"/>
  <c r="AY41" i="57"/>
  <c r="AQ41" i="57"/>
  <c r="AI41" i="57"/>
  <c r="AA41" i="57"/>
  <c r="S41" i="57"/>
  <c r="K41" i="57"/>
  <c r="AX41" i="57"/>
  <c r="AP41" i="57"/>
  <c r="AH41" i="57"/>
  <c r="Z41" i="57"/>
  <c r="R41" i="57"/>
  <c r="J41" i="57"/>
  <c r="AW41" i="57"/>
  <c r="AO41" i="57"/>
  <c r="AG41" i="57"/>
  <c r="Y41" i="57"/>
  <c r="Q41" i="57"/>
  <c r="I41" i="57"/>
  <c r="AV41" i="57"/>
  <c r="AN41" i="57"/>
  <c r="AF41" i="57"/>
  <c r="X41" i="57"/>
  <c r="P41" i="57"/>
  <c r="H41" i="57"/>
  <c r="AU41" i="57"/>
  <c r="AM41" i="57"/>
  <c r="AE41" i="57"/>
  <c r="W41" i="57"/>
  <c r="O41" i="57"/>
  <c r="G41" i="57"/>
  <c r="BB41" i="57"/>
  <c r="AT41" i="57"/>
  <c r="AL41" i="57"/>
  <c r="AD41" i="57"/>
  <c r="V41" i="57"/>
  <c r="N41" i="57"/>
  <c r="F41" i="57"/>
  <c r="BA41" i="56"/>
  <c r="AS41" i="56"/>
  <c r="AK41" i="56"/>
  <c r="AC41" i="56"/>
  <c r="U41" i="56"/>
  <c r="M41" i="56"/>
  <c r="E41" i="56"/>
  <c r="AZ41" i="56"/>
  <c r="AR41" i="56"/>
  <c r="AJ41" i="56"/>
  <c r="AB41" i="56"/>
  <c r="T41" i="56"/>
  <c r="L41" i="56"/>
  <c r="AY41" i="56"/>
  <c r="AQ41" i="56"/>
  <c r="AI41" i="56"/>
  <c r="AA41" i="56"/>
  <c r="S41" i="56"/>
  <c r="K41" i="56"/>
  <c r="AX41" i="56"/>
  <c r="AP41" i="56"/>
  <c r="AH41" i="56"/>
  <c r="Z41" i="56"/>
  <c r="R41" i="56"/>
  <c r="J41" i="56"/>
  <c r="AW41" i="56"/>
  <c r="AO41" i="56"/>
  <c r="AG41" i="56"/>
  <c r="Y41" i="56"/>
  <c r="Q41" i="56"/>
  <c r="I41" i="56"/>
  <c r="AV41" i="56"/>
  <c r="AN41" i="56"/>
  <c r="AF41" i="56"/>
  <c r="X41" i="56"/>
  <c r="P41" i="56"/>
  <c r="H41" i="56"/>
  <c r="AU41" i="56"/>
  <c r="AM41" i="56"/>
  <c r="AE41" i="56"/>
  <c r="W41" i="56"/>
  <c r="O41" i="56"/>
  <c r="G41" i="56"/>
  <c r="N41" i="56"/>
  <c r="F41" i="56"/>
  <c r="BB41" i="56"/>
  <c r="AT41" i="56"/>
  <c r="AL41" i="56"/>
  <c r="AD41" i="56"/>
  <c r="V41" i="56"/>
  <c r="AU157" i="57"/>
  <c r="AM157" i="57"/>
  <c r="AE157" i="57"/>
  <c r="W157" i="57"/>
  <c r="O157" i="57"/>
  <c r="G157" i="57"/>
  <c r="AX147" i="57"/>
  <c r="AP147" i="57"/>
  <c r="AH147" i="57"/>
  <c r="Z147" i="57"/>
  <c r="R147" i="57"/>
  <c r="J147" i="57"/>
  <c r="BA137" i="57"/>
  <c r="AS137" i="57"/>
  <c r="AK137" i="57"/>
  <c r="AC137" i="57"/>
  <c r="U137" i="57"/>
  <c r="M137" i="57"/>
  <c r="E137" i="57"/>
  <c r="BB157" i="57"/>
  <c r="AT157" i="57"/>
  <c r="AL157" i="57"/>
  <c r="AD157" i="57"/>
  <c r="V157" i="57"/>
  <c r="N157" i="57"/>
  <c r="F157" i="57"/>
  <c r="AW147" i="57"/>
  <c r="AO147" i="57"/>
  <c r="AG147" i="57"/>
  <c r="Y147" i="57"/>
  <c r="Q147" i="57"/>
  <c r="I147" i="57"/>
  <c r="AZ137" i="57"/>
  <c r="AR137" i="57"/>
  <c r="AJ137" i="57"/>
  <c r="AB137" i="57"/>
  <c r="T137" i="57"/>
  <c r="L137" i="57"/>
  <c r="BA157" i="57"/>
  <c r="AS157" i="57"/>
  <c r="AK157" i="57"/>
  <c r="AC157" i="57"/>
  <c r="U157" i="57"/>
  <c r="M157" i="57"/>
  <c r="E157" i="57"/>
  <c r="AV147" i="57"/>
  <c r="AN147" i="57"/>
  <c r="AF147" i="57"/>
  <c r="X147" i="57"/>
  <c r="P147" i="57"/>
  <c r="H147" i="57"/>
  <c r="AY137" i="57"/>
  <c r="AQ137" i="57"/>
  <c r="AI137" i="57"/>
  <c r="AA137" i="57"/>
  <c r="S137" i="57"/>
  <c r="K137" i="57"/>
  <c r="AZ157" i="57"/>
  <c r="AR157" i="57"/>
  <c r="AJ157" i="57"/>
  <c r="AB157" i="57"/>
  <c r="T157" i="57"/>
  <c r="L157" i="57"/>
  <c r="AU147" i="57"/>
  <c r="AM147" i="57"/>
  <c r="AE147" i="57"/>
  <c r="W147" i="57"/>
  <c r="O147" i="57"/>
  <c r="G147" i="57"/>
  <c r="AX137" i="57"/>
  <c r="AP137" i="57"/>
  <c r="AH137" i="57"/>
  <c r="Z137" i="57"/>
  <c r="R137" i="57"/>
  <c r="J137" i="57"/>
  <c r="AY157" i="57"/>
  <c r="AQ157" i="57"/>
  <c r="AI157" i="57"/>
  <c r="AA157" i="57"/>
  <c r="S157" i="57"/>
  <c r="K157" i="57"/>
  <c r="BB147" i="57"/>
  <c r="AT147" i="57"/>
  <c r="AL147" i="57"/>
  <c r="AD147" i="57"/>
  <c r="V147" i="57"/>
  <c r="N147" i="57"/>
  <c r="F147" i="57"/>
  <c r="AW137" i="57"/>
  <c r="AO137" i="57"/>
  <c r="AG137" i="57"/>
  <c r="Y137" i="57"/>
  <c r="Q137" i="57"/>
  <c r="I137" i="57"/>
  <c r="AX157" i="57"/>
  <c r="AP157" i="57"/>
  <c r="AH157" i="57"/>
  <c r="Z157" i="57"/>
  <c r="R157" i="57"/>
  <c r="J157" i="57"/>
  <c r="BA147" i="57"/>
  <c r="AS147" i="57"/>
  <c r="AK147" i="57"/>
  <c r="AC147" i="57"/>
  <c r="U147" i="57"/>
  <c r="M147" i="57"/>
  <c r="E147" i="57"/>
  <c r="AV137" i="57"/>
  <c r="AN137" i="57"/>
  <c r="AF137" i="57"/>
  <c r="X137" i="57"/>
  <c r="P137" i="57"/>
  <c r="H137" i="57"/>
  <c r="AW157" i="57"/>
  <c r="AO157" i="57"/>
  <c r="AG157" i="57"/>
  <c r="Y157" i="57"/>
  <c r="Q157" i="57"/>
  <c r="I157" i="57"/>
  <c r="AZ147" i="57"/>
  <c r="AR147" i="57"/>
  <c r="AJ147" i="57"/>
  <c r="AB147" i="57"/>
  <c r="T147" i="57"/>
  <c r="L147" i="57"/>
  <c r="AU137" i="57"/>
  <c r="AM137" i="57"/>
  <c r="AE137" i="57"/>
  <c r="W137" i="57"/>
  <c r="O137" i="57"/>
  <c r="G137" i="57"/>
  <c r="H157" i="57"/>
  <c r="BB137" i="57"/>
  <c r="AY147" i="57"/>
  <c r="AT137" i="57"/>
  <c r="AV157" i="57"/>
  <c r="AQ147" i="57"/>
  <c r="AL137" i="57"/>
  <c r="AN157" i="57"/>
  <c r="AI147" i="57"/>
  <c r="AD137" i="57"/>
  <c r="AF157" i="57"/>
  <c r="AA147" i="57"/>
  <c r="V137" i="57"/>
  <c r="X157" i="57"/>
  <c r="S147" i="57"/>
  <c r="N137" i="57"/>
  <c r="K147" i="57"/>
  <c r="F137" i="57"/>
  <c r="AZ149" i="56"/>
  <c r="AR149" i="56"/>
  <c r="AJ149" i="56"/>
  <c r="AB149" i="56"/>
  <c r="T149" i="56"/>
  <c r="L149" i="56"/>
  <c r="P157" i="57"/>
  <c r="AY149" i="56"/>
  <c r="AQ149" i="56"/>
  <c r="AI149" i="56"/>
  <c r="AA149" i="56"/>
  <c r="S149" i="56"/>
  <c r="K149" i="56"/>
  <c r="AX149" i="56"/>
  <c r="AP149" i="56"/>
  <c r="AH149" i="56"/>
  <c r="Z149" i="56"/>
  <c r="R149" i="56"/>
  <c r="J149" i="56"/>
  <c r="AW149" i="56"/>
  <c r="AO149" i="56"/>
  <c r="AG149" i="56"/>
  <c r="AV149" i="56"/>
  <c r="AN149" i="56"/>
  <c r="AF149" i="56"/>
  <c r="AU149" i="56"/>
  <c r="AM149" i="56"/>
  <c r="AE149" i="56"/>
  <c r="W149" i="56"/>
  <c r="O149" i="56"/>
  <c r="G149" i="56"/>
  <c r="BA149" i="56"/>
  <c r="AS149" i="56"/>
  <c r="AK149" i="56"/>
  <c r="AC149" i="56"/>
  <c r="U149" i="56"/>
  <c r="M149" i="56"/>
  <c r="E149" i="56"/>
  <c r="AD149" i="56"/>
  <c r="H149" i="56"/>
  <c r="AW139" i="56"/>
  <c r="AO139" i="56"/>
  <c r="AG139" i="56"/>
  <c r="Y139" i="56"/>
  <c r="Q139" i="56"/>
  <c r="I139" i="56"/>
  <c r="AZ129" i="56"/>
  <c r="AR129" i="56"/>
  <c r="AJ129" i="56"/>
  <c r="AB129" i="56"/>
  <c r="T129" i="56"/>
  <c r="L129" i="56"/>
  <c r="Y149" i="56"/>
  <c r="F149" i="56"/>
  <c r="AV139" i="56"/>
  <c r="AN139" i="56"/>
  <c r="AF139" i="56"/>
  <c r="X139" i="56"/>
  <c r="P139" i="56"/>
  <c r="H139" i="56"/>
  <c r="AY129" i="56"/>
  <c r="AQ129" i="56"/>
  <c r="AI129" i="56"/>
  <c r="AA129" i="56"/>
  <c r="S129" i="56"/>
  <c r="K129" i="56"/>
  <c r="X149" i="56"/>
  <c r="AU139" i="56"/>
  <c r="AM139" i="56"/>
  <c r="AE139" i="56"/>
  <c r="W139" i="56"/>
  <c r="O139" i="56"/>
  <c r="G139" i="56"/>
  <c r="AX129" i="56"/>
  <c r="AP129" i="56"/>
  <c r="AH129" i="56"/>
  <c r="Z129" i="56"/>
  <c r="R129" i="56"/>
  <c r="J129" i="56"/>
  <c r="V149" i="56"/>
  <c r="BB139" i="56"/>
  <c r="AT139" i="56"/>
  <c r="AL139" i="56"/>
  <c r="AD139" i="56"/>
  <c r="V139" i="56"/>
  <c r="N139" i="56"/>
  <c r="F139" i="56"/>
  <c r="AW129" i="56"/>
  <c r="AO129" i="56"/>
  <c r="AG129" i="56"/>
  <c r="Y129" i="56"/>
  <c r="Q129" i="56"/>
  <c r="I129" i="56"/>
  <c r="Q149" i="56"/>
  <c r="BA139" i="56"/>
  <c r="AS139" i="56"/>
  <c r="AK139" i="56"/>
  <c r="AC139" i="56"/>
  <c r="U139" i="56"/>
  <c r="M139" i="56"/>
  <c r="E139" i="56"/>
  <c r="AV129" i="56"/>
  <c r="AN129" i="56"/>
  <c r="AF129" i="56"/>
  <c r="X129" i="56"/>
  <c r="P129" i="56"/>
  <c r="H129" i="56"/>
  <c r="BB149" i="56"/>
  <c r="P149" i="56"/>
  <c r="AZ139" i="56"/>
  <c r="AR139" i="56"/>
  <c r="AJ139" i="56"/>
  <c r="AB139" i="56"/>
  <c r="T139" i="56"/>
  <c r="L139" i="56"/>
  <c r="AU129" i="56"/>
  <c r="AM129" i="56"/>
  <c r="AE129" i="56"/>
  <c r="W129" i="56"/>
  <c r="O129" i="56"/>
  <c r="G129" i="56"/>
  <c r="AT149" i="56"/>
  <c r="N149" i="56"/>
  <c r="AY139" i="56"/>
  <c r="AQ139" i="56"/>
  <c r="AI139" i="56"/>
  <c r="AA139" i="56"/>
  <c r="S139" i="56"/>
  <c r="K139" i="56"/>
  <c r="BB129" i="56"/>
  <c r="AT129" i="56"/>
  <c r="AL129" i="56"/>
  <c r="AD129" i="56"/>
  <c r="V129" i="56"/>
  <c r="N129" i="56"/>
  <c r="F129" i="56"/>
  <c r="AX139" i="56"/>
  <c r="AS129" i="56"/>
  <c r="AU161" i="29"/>
  <c r="AM161" i="29"/>
  <c r="AE161" i="29"/>
  <c r="W161" i="29"/>
  <c r="O161" i="29"/>
  <c r="G161" i="29"/>
  <c r="AZ151" i="29"/>
  <c r="AR151" i="29"/>
  <c r="AJ151" i="29"/>
  <c r="AB151" i="29"/>
  <c r="T151" i="29"/>
  <c r="L151" i="29"/>
  <c r="AN161" i="29"/>
  <c r="H161" i="29"/>
  <c r="U151" i="29"/>
  <c r="AP139" i="56"/>
  <c r="AK129" i="56"/>
  <c r="BB161" i="29"/>
  <c r="AT161" i="29"/>
  <c r="AL161" i="29"/>
  <c r="AD161" i="29"/>
  <c r="V161" i="29"/>
  <c r="N161" i="29"/>
  <c r="F161" i="29"/>
  <c r="AY151" i="29"/>
  <c r="AQ151" i="29"/>
  <c r="AI151" i="29"/>
  <c r="AA151" i="29"/>
  <c r="S151" i="29"/>
  <c r="K151" i="29"/>
  <c r="P161" i="29"/>
  <c r="AC151" i="29"/>
  <c r="AH139" i="56"/>
  <c r="AC129" i="56"/>
  <c r="BA161" i="29"/>
  <c r="AS161" i="29"/>
  <c r="AK161" i="29"/>
  <c r="AC161" i="29"/>
  <c r="U161" i="29"/>
  <c r="M161" i="29"/>
  <c r="E161" i="29"/>
  <c r="AX151" i="29"/>
  <c r="AP151" i="29"/>
  <c r="AH151" i="29"/>
  <c r="Z151" i="29"/>
  <c r="R151" i="29"/>
  <c r="J151" i="29"/>
  <c r="BA129" i="56"/>
  <c r="E151" i="29"/>
  <c r="Z139" i="56"/>
  <c r="U129" i="56"/>
  <c r="AZ161" i="29"/>
  <c r="AR161" i="29"/>
  <c r="AJ161" i="29"/>
  <c r="AB161" i="29"/>
  <c r="T161" i="29"/>
  <c r="L161" i="29"/>
  <c r="AW151" i="29"/>
  <c r="AO151" i="29"/>
  <c r="AG151" i="29"/>
  <c r="Y151" i="29"/>
  <c r="Q151" i="29"/>
  <c r="I151" i="29"/>
  <c r="AF161" i="29"/>
  <c r="BA151" i="29"/>
  <c r="R139" i="56"/>
  <c r="M129" i="56"/>
  <c r="AY161" i="29"/>
  <c r="AQ161" i="29"/>
  <c r="AI161" i="29"/>
  <c r="AA161" i="29"/>
  <c r="S161" i="29"/>
  <c r="K161" i="29"/>
  <c r="AV151" i="29"/>
  <c r="AN151" i="29"/>
  <c r="AF151" i="29"/>
  <c r="X151" i="29"/>
  <c r="P151" i="29"/>
  <c r="H151" i="29"/>
  <c r="AK151" i="29"/>
  <c r="AL149" i="56"/>
  <c r="J139" i="56"/>
  <c r="E129" i="56"/>
  <c r="AX161" i="29"/>
  <c r="AP161" i="29"/>
  <c r="AH161" i="29"/>
  <c r="Z161" i="29"/>
  <c r="R161" i="29"/>
  <c r="J161" i="29"/>
  <c r="AU151" i="29"/>
  <c r="AM151" i="29"/>
  <c r="AE151" i="29"/>
  <c r="W151" i="29"/>
  <c r="O151" i="29"/>
  <c r="G151" i="29"/>
  <c r="AV161" i="29"/>
  <c r="X161" i="29"/>
  <c r="AS151" i="29"/>
  <c r="I149" i="56"/>
  <c r="AW161" i="29"/>
  <c r="AO161" i="29"/>
  <c r="AG161" i="29"/>
  <c r="Y161" i="29"/>
  <c r="Q161" i="29"/>
  <c r="I161" i="29"/>
  <c r="BB151" i="29"/>
  <c r="AT151" i="29"/>
  <c r="AL151" i="29"/>
  <c r="AD151" i="29"/>
  <c r="V151" i="29"/>
  <c r="N151" i="29"/>
  <c r="F151" i="29"/>
  <c r="M151" i="29"/>
  <c r="G137" i="29"/>
  <c r="G146" i="29" s="1"/>
  <c r="K137" i="29"/>
  <c r="K146" i="29" s="1"/>
  <c r="O137" i="29"/>
  <c r="O146" i="29" s="1"/>
  <c r="S137" i="29"/>
  <c r="S146" i="29" s="1"/>
  <c r="W137" i="29"/>
  <c r="W146" i="29" s="1"/>
  <c r="AA137" i="29"/>
  <c r="AA146" i="29" s="1"/>
  <c r="AE137" i="29"/>
  <c r="AE146" i="29" s="1"/>
  <c r="AI137" i="29"/>
  <c r="AI146" i="29" s="1"/>
  <c r="AM137" i="29"/>
  <c r="AM146" i="29" s="1"/>
  <c r="AQ137" i="29"/>
  <c r="AQ146" i="29" s="1"/>
  <c r="AU137" i="29"/>
  <c r="AU146" i="29" s="1"/>
  <c r="AY137" i="29"/>
  <c r="AY146" i="29" s="1"/>
  <c r="E137" i="29"/>
  <c r="E146" i="29" s="1"/>
  <c r="H137" i="29"/>
  <c r="H146" i="29" s="1"/>
  <c r="L137" i="29"/>
  <c r="L146" i="29" s="1"/>
  <c r="P137" i="29"/>
  <c r="P146" i="29" s="1"/>
  <c r="T137" i="29"/>
  <c r="T146" i="29" s="1"/>
  <c r="X137" i="29"/>
  <c r="X146" i="29" s="1"/>
  <c r="AB137" i="29"/>
  <c r="AB146" i="29" s="1"/>
  <c r="AF137" i="29"/>
  <c r="AF146" i="29" s="1"/>
  <c r="AJ137" i="29"/>
  <c r="AJ146" i="29" s="1"/>
  <c r="AN137" i="29"/>
  <c r="AN146" i="29" s="1"/>
  <c r="AR137" i="29"/>
  <c r="AR146" i="29" s="1"/>
  <c r="AV137" i="29"/>
  <c r="AV146" i="29" s="1"/>
  <c r="AZ137" i="29"/>
  <c r="AZ146" i="29" s="1"/>
  <c r="I137" i="29"/>
  <c r="I146" i="29" s="1"/>
  <c r="M137" i="29"/>
  <c r="M146" i="29" s="1"/>
  <c r="Q137" i="29"/>
  <c r="Q146" i="29" s="1"/>
  <c r="U137" i="29"/>
  <c r="U146" i="29" s="1"/>
  <c r="Y137" i="29"/>
  <c r="Y146" i="29" s="1"/>
  <c r="AC137" i="29"/>
  <c r="AC146" i="29" s="1"/>
  <c r="AG137" i="29"/>
  <c r="AG146" i="29" s="1"/>
  <c r="AK137" i="29"/>
  <c r="AK146" i="29" s="1"/>
  <c r="AO137" i="29"/>
  <c r="AO146" i="29" s="1"/>
  <c r="AS137" i="29"/>
  <c r="AS146" i="29" s="1"/>
  <c r="AW137" i="29"/>
  <c r="AW146" i="29" s="1"/>
  <c r="BA137" i="29"/>
  <c r="BA146" i="29" s="1"/>
  <c r="F137" i="29"/>
  <c r="F146" i="29" s="1"/>
  <c r="J137" i="29"/>
  <c r="J146" i="29" s="1"/>
  <c r="N137" i="29"/>
  <c r="N146" i="29" s="1"/>
  <c r="R137" i="29"/>
  <c r="R146" i="29" s="1"/>
  <c r="V137" i="29"/>
  <c r="V146" i="29" s="1"/>
  <c r="Z137" i="29"/>
  <c r="Z146" i="29" s="1"/>
  <c r="AD137" i="29"/>
  <c r="AD146" i="29" s="1"/>
  <c r="AH137" i="29"/>
  <c r="AH146" i="29" s="1"/>
  <c r="AL137" i="29"/>
  <c r="AL146" i="29" s="1"/>
  <c r="AP137" i="29"/>
  <c r="AP146" i="29" s="1"/>
  <c r="AT137" i="29"/>
  <c r="AT146" i="29" s="1"/>
  <c r="AX137" i="29"/>
  <c r="AX146" i="29" s="1"/>
  <c r="BB137" i="29"/>
  <c r="BB146" i="29" s="1"/>
  <c r="M113" i="29"/>
  <c r="U113" i="29"/>
  <c r="AC113" i="29"/>
  <c r="AK113" i="29"/>
  <c r="AS113" i="29"/>
  <c r="BA113" i="29"/>
  <c r="AQ113" i="29"/>
  <c r="L113" i="29"/>
  <c r="F113" i="29"/>
  <c r="N113" i="29"/>
  <c r="V113" i="29"/>
  <c r="AD113" i="29"/>
  <c r="AL113" i="29"/>
  <c r="AT113" i="29"/>
  <c r="BB113" i="29"/>
  <c r="AE113" i="29"/>
  <c r="AU113" i="29"/>
  <c r="K113" i="29"/>
  <c r="AR113" i="29"/>
  <c r="G113" i="29"/>
  <c r="O113" i="29"/>
  <c r="W113" i="29"/>
  <c r="AM113" i="29"/>
  <c r="E113" i="29"/>
  <c r="AA113" i="29"/>
  <c r="AB113" i="29"/>
  <c r="H113" i="29"/>
  <c r="P113" i="29"/>
  <c r="X113" i="29"/>
  <c r="AF113" i="29"/>
  <c r="AN113" i="29"/>
  <c r="AV113" i="29"/>
  <c r="AI113" i="29"/>
  <c r="T113" i="29"/>
  <c r="I113" i="29"/>
  <c r="Q113" i="29"/>
  <c r="Y113" i="29"/>
  <c r="AG113" i="29"/>
  <c r="AO113" i="29"/>
  <c r="AW113" i="29"/>
  <c r="S113" i="29"/>
  <c r="AJ113" i="29"/>
  <c r="J113" i="29"/>
  <c r="R113" i="29"/>
  <c r="Z113" i="29"/>
  <c r="AH113" i="29"/>
  <c r="AP113" i="29"/>
  <c r="AX113" i="29"/>
  <c r="AY113" i="29"/>
  <c r="AZ113" i="29"/>
  <c r="BB41" i="29"/>
  <c r="AT41" i="29"/>
  <c r="AL41" i="29"/>
  <c r="AD41" i="29"/>
  <c r="V41" i="29"/>
  <c r="N41" i="29"/>
  <c r="F41" i="29"/>
  <c r="BA41" i="29"/>
  <c r="AS41" i="29"/>
  <c r="AK41" i="29"/>
  <c r="AC41" i="29"/>
  <c r="U41" i="29"/>
  <c r="M41" i="29"/>
  <c r="E41" i="29"/>
  <c r="AR41" i="29"/>
  <c r="AB41" i="29"/>
  <c r="L41" i="29"/>
  <c r="AZ41" i="29"/>
  <c r="AJ41" i="29"/>
  <c r="T41" i="29"/>
  <c r="AY41" i="29"/>
  <c r="AQ41" i="29"/>
  <c r="AI41" i="29"/>
  <c r="AA41" i="29"/>
  <c r="S41" i="29"/>
  <c r="K41" i="29"/>
  <c r="AX41" i="29"/>
  <c r="AP41" i="29"/>
  <c r="AH41" i="29"/>
  <c r="Z41" i="29"/>
  <c r="R41" i="29"/>
  <c r="J41" i="29"/>
  <c r="O41" i="29"/>
  <c r="AW41" i="29"/>
  <c r="AO41" i="29"/>
  <c r="AG41" i="29"/>
  <c r="Y41" i="29"/>
  <c r="Q41" i="29"/>
  <c r="I41" i="29"/>
  <c r="G41" i="29"/>
  <c r="AV41" i="29"/>
  <c r="AN41" i="29"/>
  <c r="AF41" i="29"/>
  <c r="X41" i="29"/>
  <c r="P41" i="29"/>
  <c r="H41" i="29"/>
  <c r="AU41" i="29"/>
  <c r="AM41" i="29"/>
  <c r="AE41" i="29"/>
  <c r="W41" i="29"/>
  <c r="L6" i="28"/>
  <c r="L10" i="28"/>
  <c r="K8" i="28"/>
  <c r="L8" i="28" s="1"/>
  <c r="M8" i="28"/>
  <c r="N8" i="28" s="1"/>
  <c r="M7" i="28"/>
  <c r="N7" i="28" s="1"/>
  <c r="K7" i="28"/>
  <c r="L7" i="28" s="1"/>
  <c r="K5" i="28"/>
  <c r="L5" i="28" s="1"/>
  <c r="M5" i="28"/>
  <c r="N5" i="28" s="1"/>
  <c r="M9" i="28"/>
  <c r="N9" i="28" s="1"/>
  <c r="K9" i="28"/>
  <c r="L9" i="28" s="1"/>
  <c r="M10" i="28"/>
  <c r="N10" i="28" s="1"/>
  <c r="M6" i="28"/>
  <c r="N6" i="28" s="1"/>
  <c r="C25" i="13"/>
  <c r="C26" i="13" s="1"/>
  <c r="B25" i="13"/>
  <c r="B26" i="13" s="1"/>
  <c r="B27" i="13" s="1"/>
  <c r="O6" i="28" l="1"/>
  <c r="P6" i="28" s="1"/>
  <c r="O10" i="28"/>
  <c r="P10" i="28" s="1"/>
  <c r="O8" i="28"/>
  <c r="P8" i="28" s="1"/>
  <c r="O9" i="28"/>
  <c r="P9" i="28" s="1"/>
  <c r="O7" i="28"/>
  <c r="P7" i="28" s="1"/>
  <c r="O5" i="28"/>
  <c r="P5" i="28" s="1"/>
  <c r="C27" i="13"/>
  <c r="D95" i="12"/>
  <c r="D96" i="12" s="1"/>
  <c r="E95" i="12"/>
  <c r="E96" i="12" s="1"/>
  <c r="D104" i="12"/>
  <c r="D105" i="12" s="1"/>
  <c r="D106" i="12" s="1"/>
  <c r="D107" i="12" s="1"/>
  <c r="D108" i="12" s="1"/>
  <c r="E104" i="12"/>
  <c r="E105" i="12" s="1"/>
  <c r="E106" i="12" s="1"/>
  <c r="E107" i="12" s="1"/>
  <c r="E108" i="12" s="1"/>
  <c r="Q17" i="28" l="1"/>
  <c r="Q5" i="28"/>
  <c r="Q9" i="28"/>
  <c r="Q8" i="28"/>
  <c r="Q10" i="28"/>
  <c r="Q6" i="28"/>
  <c r="Q7" i="28"/>
  <c r="C29" i="13"/>
  <c r="C30" i="13" s="1"/>
  <c r="B29" i="13"/>
  <c r="E97" i="12"/>
  <c r="D97" i="12"/>
  <c r="D99" i="12" s="1"/>
  <c r="D100" i="12" s="1"/>
  <c r="AW24" i="57" l="1"/>
  <c r="AW26" i="57" s="1"/>
  <c r="AW28" i="57" s="1"/>
  <c r="AO24" i="57"/>
  <c r="AO26" i="57" s="1"/>
  <c r="AO28" i="57" s="1"/>
  <c r="AG24" i="57"/>
  <c r="AG26" i="57" s="1"/>
  <c r="AG28" i="57" s="1"/>
  <c r="Y24" i="57"/>
  <c r="Y26" i="57" s="1"/>
  <c r="Y28" i="57" s="1"/>
  <c r="Q24" i="57"/>
  <c r="Q26" i="57" s="1"/>
  <c r="Q28" i="57" s="1"/>
  <c r="I24" i="57"/>
  <c r="I26" i="57" s="1"/>
  <c r="I28" i="57" s="1"/>
  <c r="AV24" i="57"/>
  <c r="AV26" i="57" s="1"/>
  <c r="AV28" i="57" s="1"/>
  <c r="AN24" i="57"/>
  <c r="AN26" i="57" s="1"/>
  <c r="AN28" i="57" s="1"/>
  <c r="AF24" i="57"/>
  <c r="AF26" i="57" s="1"/>
  <c r="AF28" i="57" s="1"/>
  <c r="X24" i="57"/>
  <c r="X26" i="57" s="1"/>
  <c r="X28" i="57" s="1"/>
  <c r="P24" i="57"/>
  <c r="P26" i="57" s="1"/>
  <c r="P28" i="57" s="1"/>
  <c r="H24" i="57"/>
  <c r="H26" i="57" s="1"/>
  <c r="H28" i="57" s="1"/>
  <c r="AU24" i="57"/>
  <c r="AU26" i="57" s="1"/>
  <c r="AU28" i="57" s="1"/>
  <c r="AM24" i="57"/>
  <c r="AM26" i="57" s="1"/>
  <c r="AM28" i="57" s="1"/>
  <c r="AE24" i="57"/>
  <c r="AE26" i="57" s="1"/>
  <c r="AE28" i="57" s="1"/>
  <c r="W24" i="57"/>
  <c r="W26" i="57" s="1"/>
  <c r="W28" i="57" s="1"/>
  <c r="O24" i="57"/>
  <c r="O26" i="57" s="1"/>
  <c r="O28" i="57" s="1"/>
  <c r="G24" i="57"/>
  <c r="G26" i="57" s="1"/>
  <c r="G28" i="57" s="1"/>
  <c r="BB24" i="57"/>
  <c r="BB26" i="57" s="1"/>
  <c r="BB28" i="57" s="1"/>
  <c r="AT24" i="57"/>
  <c r="AT26" i="57" s="1"/>
  <c r="AT28" i="57" s="1"/>
  <c r="AL24" i="57"/>
  <c r="AL26" i="57" s="1"/>
  <c r="AL28" i="57" s="1"/>
  <c r="AD24" i="57"/>
  <c r="AD26" i="57" s="1"/>
  <c r="AD28" i="57" s="1"/>
  <c r="V24" i="57"/>
  <c r="V26" i="57" s="1"/>
  <c r="V28" i="57" s="1"/>
  <c r="N24" i="57"/>
  <c r="N26" i="57" s="1"/>
  <c r="N28" i="57" s="1"/>
  <c r="F24" i="57"/>
  <c r="F26" i="57" s="1"/>
  <c r="F28" i="57" s="1"/>
  <c r="BA24" i="57"/>
  <c r="BA26" i="57" s="1"/>
  <c r="BA28" i="57" s="1"/>
  <c r="AS24" i="57"/>
  <c r="AS26" i="57" s="1"/>
  <c r="AS28" i="57" s="1"/>
  <c r="AK24" i="57"/>
  <c r="AK26" i="57" s="1"/>
  <c r="AK28" i="57" s="1"/>
  <c r="AC24" i="57"/>
  <c r="AC26" i="57" s="1"/>
  <c r="AC28" i="57" s="1"/>
  <c r="U24" i="57"/>
  <c r="U26" i="57" s="1"/>
  <c r="U28" i="57" s="1"/>
  <c r="M24" i="57"/>
  <c r="M26" i="57" s="1"/>
  <c r="M28" i="57" s="1"/>
  <c r="E24" i="57"/>
  <c r="E26" i="57" s="1"/>
  <c r="E28" i="57" s="1"/>
  <c r="AZ24" i="57"/>
  <c r="AZ26" i="57" s="1"/>
  <c r="AZ28" i="57" s="1"/>
  <c r="AR24" i="57"/>
  <c r="AR26" i="57" s="1"/>
  <c r="AR28" i="57" s="1"/>
  <c r="AJ24" i="57"/>
  <c r="AJ26" i="57" s="1"/>
  <c r="AJ28" i="57" s="1"/>
  <c r="AB24" i="57"/>
  <c r="AB26" i="57" s="1"/>
  <c r="AB28" i="57" s="1"/>
  <c r="T24" i="57"/>
  <c r="T26" i="57" s="1"/>
  <c r="T28" i="57" s="1"/>
  <c r="L24" i="57"/>
  <c r="L26" i="57" s="1"/>
  <c r="L28" i="57" s="1"/>
  <c r="AY24" i="57"/>
  <c r="AY26" i="57" s="1"/>
  <c r="AY28" i="57" s="1"/>
  <c r="AQ24" i="57"/>
  <c r="AQ26" i="57" s="1"/>
  <c r="AQ28" i="57" s="1"/>
  <c r="AI24" i="57"/>
  <c r="AI26" i="57" s="1"/>
  <c r="AI28" i="57" s="1"/>
  <c r="AA24" i="57"/>
  <c r="AA26" i="57" s="1"/>
  <c r="AA28" i="57" s="1"/>
  <c r="S24" i="57"/>
  <c r="S26" i="57" s="1"/>
  <c r="S28" i="57" s="1"/>
  <c r="K24" i="57"/>
  <c r="K26" i="57" s="1"/>
  <c r="K28" i="57" s="1"/>
  <c r="AX24" i="57"/>
  <c r="AX26" i="57" s="1"/>
  <c r="AX28" i="57" s="1"/>
  <c r="AP24" i="57"/>
  <c r="AP26" i="57" s="1"/>
  <c r="AP28" i="57" s="1"/>
  <c r="AH24" i="57"/>
  <c r="AH26" i="57" s="1"/>
  <c r="AH28" i="57" s="1"/>
  <c r="Z24" i="57"/>
  <c r="Z26" i="57" s="1"/>
  <c r="Z28" i="57" s="1"/>
  <c r="R24" i="57"/>
  <c r="R26" i="57" s="1"/>
  <c r="R28" i="57" s="1"/>
  <c r="J24" i="57"/>
  <c r="J26" i="57" s="1"/>
  <c r="J28" i="57" s="1"/>
  <c r="AX24" i="56"/>
  <c r="AX26" i="56" s="1"/>
  <c r="AX28" i="56" s="1"/>
  <c r="AP24" i="56"/>
  <c r="AP26" i="56" s="1"/>
  <c r="AP28" i="56" s="1"/>
  <c r="AH24" i="56"/>
  <c r="AH26" i="56" s="1"/>
  <c r="AH28" i="56" s="1"/>
  <c r="Z24" i="56"/>
  <c r="Z26" i="56" s="1"/>
  <c r="Z28" i="56" s="1"/>
  <c r="R24" i="56"/>
  <c r="R26" i="56" s="1"/>
  <c r="R28" i="56" s="1"/>
  <c r="J24" i="56"/>
  <c r="J26" i="56" s="1"/>
  <c r="J28" i="56" s="1"/>
  <c r="AW24" i="56"/>
  <c r="AW26" i="56" s="1"/>
  <c r="AW28" i="56" s="1"/>
  <c r="AO24" i="56"/>
  <c r="AO26" i="56" s="1"/>
  <c r="AO28" i="56" s="1"/>
  <c r="AG24" i="56"/>
  <c r="AG26" i="56" s="1"/>
  <c r="AG28" i="56" s="1"/>
  <c r="Y24" i="56"/>
  <c r="Y26" i="56" s="1"/>
  <c r="Y28" i="56" s="1"/>
  <c r="Q24" i="56"/>
  <c r="Q26" i="56" s="1"/>
  <c r="Q28" i="56" s="1"/>
  <c r="I24" i="56"/>
  <c r="I26" i="56" s="1"/>
  <c r="I28" i="56" s="1"/>
  <c r="AV24" i="56"/>
  <c r="AV26" i="56" s="1"/>
  <c r="AV28" i="56" s="1"/>
  <c r="AN24" i="56"/>
  <c r="AN26" i="56" s="1"/>
  <c r="AN28" i="56" s="1"/>
  <c r="AF24" i="56"/>
  <c r="AF26" i="56" s="1"/>
  <c r="AF28" i="56" s="1"/>
  <c r="X24" i="56"/>
  <c r="X26" i="56" s="1"/>
  <c r="X28" i="56" s="1"/>
  <c r="P24" i="56"/>
  <c r="P26" i="56" s="1"/>
  <c r="P28" i="56" s="1"/>
  <c r="H24" i="56"/>
  <c r="H26" i="56" s="1"/>
  <c r="H28" i="56" s="1"/>
  <c r="AU24" i="56"/>
  <c r="AU26" i="56" s="1"/>
  <c r="AU28" i="56" s="1"/>
  <c r="AM24" i="56"/>
  <c r="AM26" i="56" s="1"/>
  <c r="AM28" i="56" s="1"/>
  <c r="AE24" i="56"/>
  <c r="AE26" i="56" s="1"/>
  <c r="AE28" i="56" s="1"/>
  <c r="W24" i="56"/>
  <c r="W26" i="56" s="1"/>
  <c r="W28" i="56" s="1"/>
  <c r="O24" i="56"/>
  <c r="O26" i="56" s="1"/>
  <c r="O28" i="56" s="1"/>
  <c r="G24" i="56"/>
  <c r="G26" i="56" s="1"/>
  <c r="G28" i="56" s="1"/>
  <c r="BB24" i="56"/>
  <c r="BB26" i="56" s="1"/>
  <c r="BB28" i="56" s="1"/>
  <c r="AT24" i="56"/>
  <c r="AT26" i="56" s="1"/>
  <c r="AT28" i="56" s="1"/>
  <c r="AL24" i="56"/>
  <c r="AL26" i="56" s="1"/>
  <c r="AL28" i="56" s="1"/>
  <c r="AD24" i="56"/>
  <c r="AD26" i="56" s="1"/>
  <c r="AD28" i="56" s="1"/>
  <c r="V24" i="56"/>
  <c r="V26" i="56" s="1"/>
  <c r="V28" i="56" s="1"/>
  <c r="N24" i="56"/>
  <c r="N26" i="56" s="1"/>
  <c r="N28" i="56" s="1"/>
  <c r="F24" i="56"/>
  <c r="F26" i="56" s="1"/>
  <c r="F28" i="56" s="1"/>
  <c r="BA24" i="56"/>
  <c r="BA26" i="56" s="1"/>
  <c r="BA28" i="56" s="1"/>
  <c r="AS24" i="56"/>
  <c r="AS26" i="56" s="1"/>
  <c r="AS28" i="56" s="1"/>
  <c r="AK24" i="56"/>
  <c r="AK26" i="56" s="1"/>
  <c r="AK28" i="56" s="1"/>
  <c r="AC24" i="56"/>
  <c r="AC26" i="56" s="1"/>
  <c r="AC28" i="56" s="1"/>
  <c r="U24" i="56"/>
  <c r="U26" i="56" s="1"/>
  <c r="U28" i="56" s="1"/>
  <c r="M24" i="56"/>
  <c r="M26" i="56" s="1"/>
  <c r="M28" i="56" s="1"/>
  <c r="E24" i="56"/>
  <c r="E26" i="56" s="1"/>
  <c r="E28" i="56" s="1"/>
  <c r="AZ24" i="56"/>
  <c r="AZ26" i="56" s="1"/>
  <c r="AZ28" i="56" s="1"/>
  <c r="AR24" i="56"/>
  <c r="AR26" i="56" s="1"/>
  <c r="AR28" i="56" s="1"/>
  <c r="AJ24" i="56"/>
  <c r="AJ26" i="56" s="1"/>
  <c r="AJ28" i="56" s="1"/>
  <c r="AB24" i="56"/>
  <c r="AB26" i="56" s="1"/>
  <c r="AB28" i="56" s="1"/>
  <c r="T24" i="56"/>
  <c r="T26" i="56" s="1"/>
  <c r="T28" i="56" s="1"/>
  <c r="L24" i="56"/>
  <c r="L26" i="56" s="1"/>
  <c r="L28" i="56" s="1"/>
  <c r="S24" i="56"/>
  <c r="S26" i="56" s="1"/>
  <c r="S28" i="56" s="1"/>
  <c r="K24" i="56"/>
  <c r="K26" i="56" s="1"/>
  <c r="K28" i="56" s="1"/>
  <c r="AY24" i="56"/>
  <c r="AY26" i="56" s="1"/>
  <c r="AY28" i="56" s="1"/>
  <c r="AA24" i="56"/>
  <c r="AA26" i="56" s="1"/>
  <c r="AA28" i="56" s="1"/>
  <c r="AQ24" i="56"/>
  <c r="AQ26" i="56" s="1"/>
  <c r="AQ28" i="56" s="1"/>
  <c r="AI24" i="56"/>
  <c r="AI26" i="56" s="1"/>
  <c r="AI28" i="56" s="1"/>
  <c r="AU32" i="57"/>
  <c r="AU34" i="57" s="1"/>
  <c r="AU36" i="57" s="1"/>
  <c r="AM32" i="57"/>
  <c r="AM34" i="57" s="1"/>
  <c r="AM36" i="57" s="1"/>
  <c r="AE32" i="57"/>
  <c r="AE34" i="57" s="1"/>
  <c r="AE36" i="57" s="1"/>
  <c r="W32" i="57"/>
  <c r="W34" i="57" s="1"/>
  <c r="W36" i="57" s="1"/>
  <c r="O32" i="57"/>
  <c r="O34" i="57" s="1"/>
  <c r="O36" i="57" s="1"/>
  <c r="G32" i="57"/>
  <c r="G34" i="57" s="1"/>
  <c r="G36" i="57" s="1"/>
  <c r="BB32" i="57"/>
  <c r="BB34" i="57" s="1"/>
  <c r="BB36" i="57" s="1"/>
  <c r="AT32" i="57"/>
  <c r="AT34" i="57" s="1"/>
  <c r="AT36" i="57" s="1"/>
  <c r="AL32" i="57"/>
  <c r="AL34" i="57" s="1"/>
  <c r="AL36" i="57" s="1"/>
  <c r="AD32" i="57"/>
  <c r="AD34" i="57" s="1"/>
  <c r="AD36" i="57" s="1"/>
  <c r="V32" i="57"/>
  <c r="V34" i="57" s="1"/>
  <c r="V36" i="57" s="1"/>
  <c r="N32" i="57"/>
  <c r="N34" i="57" s="1"/>
  <c r="N36" i="57" s="1"/>
  <c r="F32" i="57"/>
  <c r="F34" i="57" s="1"/>
  <c r="F36" i="57" s="1"/>
  <c r="BA32" i="57"/>
  <c r="BA34" i="57" s="1"/>
  <c r="BA36" i="57" s="1"/>
  <c r="AS32" i="57"/>
  <c r="AS34" i="57" s="1"/>
  <c r="AS36" i="57" s="1"/>
  <c r="AK32" i="57"/>
  <c r="AK34" i="57" s="1"/>
  <c r="AK36" i="57" s="1"/>
  <c r="AC32" i="57"/>
  <c r="AC34" i="57" s="1"/>
  <c r="AC36" i="57" s="1"/>
  <c r="U32" i="57"/>
  <c r="U34" i="57" s="1"/>
  <c r="U36" i="57" s="1"/>
  <c r="M32" i="57"/>
  <c r="M34" i="57" s="1"/>
  <c r="M36" i="57" s="1"/>
  <c r="E32" i="57"/>
  <c r="E34" i="57" s="1"/>
  <c r="E36" i="57" s="1"/>
  <c r="AZ32" i="57"/>
  <c r="AZ34" i="57" s="1"/>
  <c r="AZ36" i="57" s="1"/>
  <c r="AR32" i="57"/>
  <c r="AR34" i="57" s="1"/>
  <c r="AR36" i="57" s="1"/>
  <c r="AJ32" i="57"/>
  <c r="AJ34" i="57" s="1"/>
  <c r="AJ36" i="57" s="1"/>
  <c r="AB32" i="57"/>
  <c r="AB34" i="57" s="1"/>
  <c r="AB36" i="57" s="1"/>
  <c r="T32" i="57"/>
  <c r="T34" i="57" s="1"/>
  <c r="T36" i="57" s="1"/>
  <c r="L32" i="57"/>
  <c r="L34" i="57" s="1"/>
  <c r="L36" i="57" s="1"/>
  <c r="AY32" i="57"/>
  <c r="AY34" i="57" s="1"/>
  <c r="AY36" i="57" s="1"/>
  <c r="AQ32" i="57"/>
  <c r="AQ34" i="57" s="1"/>
  <c r="AQ36" i="57" s="1"/>
  <c r="AI32" i="57"/>
  <c r="AI34" i="57" s="1"/>
  <c r="AI36" i="57" s="1"/>
  <c r="AA32" i="57"/>
  <c r="AA34" i="57" s="1"/>
  <c r="AA36" i="57" s="1"/>
  <c r="S32" i="57"/>
  <c r="S34" i="57" s="1"/>
  <c r="S36" i="57" s="1"/>
  <c r="K32" i="57"/>
  <c r="K34" i="57" s="1"/>
  <c r="K36" i="57" s="1"/>
  <c r="AX32" i="57"/>
  <c r="AX34" i="57" s="1"/>
  <c r="AX36" i="57" s="1"/>
  <c r="AP32" i="57"/>
  <c r="AP34" i="57" s="1"/>
  <c r="AP36" i="57" s="1"/>
  <c r="AH32" i="57"/>
  <c r="AH34" i="57" s="1"/>
  <c r="AH36" i="57" s="1"/>
  <c r="Z32" i="57"/>
  <c r="Z34" i="57" s="1"/>
  <c r="Z36" i="57" s="1"/>
  <c r="R32" i="57"/>
  <c r="R34" i="57" s="1"/>
  <c r="R36" i="57" s="1"/>
  <c r="J32" i="57"/>
  <c r="J34" i="57" s="1"/>
  <c r="J36" i="57" s="1"/>
  <c r="AW32" i="57"/>
  <c r="AW34" i="57" s="1"/>
  <c r="AW36" i="57" s="1"/>
  <c r="AO32" i="57"/>
  <c r="AO34" i="57" s="1"/>
  <c r="AO36" i="57" s="1"/>
  <c r="AG32" i="57"/>
  <c r="AG34" i="57" s="1"/>
  <c r="AG36" i="57" s="1"/>
  <c r="Y32" i="57"/>
  <c r="Y34" i="57" s="1"/>
  <c r="Y36" i="57" s="1"/>
  <c r="Q32" i="57"/>
  <c r="Q34" i="57" s="1"/>
  <c r="Q36" i="57" s="1"/>
  <c r="I32" i="57"/>
  <c r="I34" i="57" s="1"/>
  <c r="I36" i="57" s="1"/>
  <c r="H32" i="57"/>
  <c r="H34" i="57" s="1"/>
  <c r="H36" i="57" s="1"/>
  <c r="AV32" i="57"/>
  <c r="AV34" i="57" s="1"/>
  <c r="AV36" i="57" s="1"/>
  <c r="AN32" i="57"/>
  <c r="AN34" i="57" s="1"/>
  <c r="AN36" i="57" s="1"/>
  <c r="AF32" i="57"/>
  <c r="AF34" i="57" s="1"/>
  <c r="AF36" i="57" s="1"/>
  <c r="X32" i="57"/>
  <c r="X34" i="57" s="1"/>
  <c r="X36" i="57" s="1"/>
  <c r="P32" i="57"/>
  <c r="P34" i="57" s="1"/>
  <c r="P36" i="57" s="1"/>
  <c r="AU32" i="56"/>
  <c r="AU34" i="56" s="1"/>
  <c r="AU36" i="56" s="1"/>
  <c r="AM32" i="56"/>
  <c r="AM34" i="56" s="1"/>
  <c r="AM36" i="56" s="1"/>
  <c r="AE32" i="56"/>
  <c r="AE34" i="56" s="1"/>
  <c r="AE36" i="56" s="1"/>
  <c r="W32" i="56"/>
  <c r="W34" i="56" s="1"/>
  <c r="W36" i="56" s="1"/>
  <c r="O32" i="56"/>
  <c r="O34" i="56" s="1"/>
  <c r="O36" i="56" s="1"/>
  <c r="G32" i="56"/>
  <c r="G34" i="56" s="1"/>
  <c r="G36" i="56" s="1"/>
  <c r="BB32" i="56"/>
  <c r="BB34" i="56" s="1"/>
  <c r="BB36" i="56" s="1"/>
  <c r="AT32" i="56"/>
  <c r="AT34" i="56" s="1"/>
  <c r="AT36" i="56" s="1"/>
  <c r="AL32" i="56"/>
  <c r="AL34" i="56" s="1"/>
  <c r="AL36" i="56" s="1"/>
  <c r="AD32" i="56"/>
  <c r="AD34" i="56" s="1"/>
  <c r="AD36" i="56" s="1"/>
  <c r="V32" i="56"/>
  <c r="V34" i="56" s="1"/>
  <c r="V36" i="56" s="1"/>
  <c r="N32" i="56"/>
  <c r="N34" i="56" s="1"/>
  <c r="N36" i="56" s="1"/>
  <c r="F32" i="56"/>
  <c r="F34" i="56" s="1"/>
  <c r="F36" i="56" s="1"/>
  <c r="BA32" i="56"/>
  <c r="BA34" i="56" s="1"/>
  <c r="BA36" i="56" s="1"/>
  <c r="AS32" i="56"/>
  <c r="AS34" i="56" s="1"/>
  <c r="AS36" i="56" s="1"/>
  <c r="AK32" i="56"/>
  <c r="AK34" i="56" s="1"/>
  <c r="AK36" i="56" s="1"/>
  <c r="AC32" i="56"/>
  <c r="AC34" i="56" s="1"/>
  <c r="AC36" i="56" s="1"/>
  <c r="U32" i="56"/>
  <c r="U34" i="56" s="1"/>
  <c r="U36" i="56" s="1"/>
  <c r="M32" i="56"/>
  <c r="M34" i="56" s="1"/>
  <c r="M36" i="56" s="1"/>
  <c r="E32" i="56"/>
  <c r="E34" i="56" s="1"/>
  <c r="E36" i="56" s="1"/>
  <c r="AZ32" i="56"/>
  <c r="AZ34" i="56" s="1"/>
  <c r="AZ36" i="56" s="1"/>
  <c r="AR32" i="56"/>
  <c r="AR34" i="56" s="1"/>
  <c r="AR36" i="56" s="1"/>
  <c r="AJ32" i="56"/>
  <c r="AJ34" i="56" s="1"/>
  <c r="AJ36" i="56" s="1"/>
  <c r="AB32" i="56"/>
  <c r="AB34" i="56" s="1"/>
  <c r="AB36" i="56" s="1"/>
  <c r="T32" i="56"/>
  <c r="T34" i="56" s="1"/>
  <c r="T36" i="56" s="1"/>
  <c r="L32" i="56"/>
  <c r="L34" i="56" s="1"/>
  <c r="L36" i="56" s="1"/>
  <c r="AY32" i="56"/>
  <c r="AY34" i="56" s="1"/>
  <c r="AY36" i="56" s="1"/>
  <c r="AQ32" i="56"/>
  <c r="AQ34" i="56" s="1"/>
  <c r="AQ36" i="56" s="1"/>
  <c r="AI32" i="56"/>
  <c r="AI34" i="56" s="1"/>
  <c r="AI36" i="56" s="1"/>
  <c r="AA32" i="56"/>
  <c r="AA34" i="56" s="1"/>
  <c r="AA36" i="56" s="1"/>
  <c r="S32" i="56"/>
  <c r="S34" i="56" s="1"/>
  <c r="S36" i="56" s="1"/>
  <c r="K32" i="56"/>
  <c r="K34" i="56" s="1"/>
  <c r="K36" i="56" s="1"/>
  <c r="AX32" i="56"/>
  <c r="AX34" i="56" s="1"/>
  <c r="AX36" i="56" s="1"/>
  <c r="AP32" i="56"/>
  <c r="AP34" i="56" s="1"/>
  <c r="AP36" i="56" s="1"/>
  <c r="AH32" i="56"/>
  <c r="AH34" i="56" s="1"/>
  <c r="AH36" i="56" s="1"/>
  <c r="Z32" i="56"/>
  <c r="Z34" i="56" s="1"/>
  <c r="Z36" i="56" s="1"/>
  <c r="R32" i="56"/>
  <c r="R34" i="56" s="1"/>
  <c r="R36" i="56" s="1"/>
  <c r="J32" i="56"/>
  <c r="J34" i="56" s="1"/>
  <c r="J36" i="56" s="1"/>
  <c r="AW32" i="56"/>
  <c r="AW34" i="56" s="1"/>
  <c r="AW36" i="56" s="1"/>
  <c r="AO32" i="56"/>
  <c r="AO34" i="56" s="1"/>
  <c r="AO36" i="56" s="1"/>
  <c r="AG32" i="56"/>
  <c r="AG34" i="56" s="1"/>
  <c r="AG36" i="56" s="1"/>
  <c r="Y32" i="56"/>
  <c r="Y34" i="56" s="1"/>
  <c r="Y36" i="56" s="1"/>
  <c r="Q32" i="56"/>
  <c r="Q34" i="56" s="1"/>
  <c r="Q36" i="56" s="1"/>
  <c r="I32" i="56"/>
  <c r="I34" i="56" s="1"/>
  <c r="I36" i="56" s="1"/>
  <c r="AF32" i="56"/>
  <c r="AF34" i="56" s="1"/>
  <c r="AF36" i="56" s="1"/>
  <c r="X32" i="56"/>
  <c r="X34" i="56" s="1"/>
  <c r="X36" i="56" s="1"/>
  <c r="P32" i="56"/>
  <c r="P34" i="56" s="1"/>
  <c r="P36" i="56" s="1"/>
  <c r="H32" i="56"/>
  <c r="H34" i="56" s="1"/>
  <c r="H36" i="56" s="1"/>
  <c r="AN32" i="56"/>
  <c r="AN34" i="56" s="1"/>
  <c r="AN36" i="56" s="1"/>
  <c r="AV32" i="56"/>
  <c r="AV34" i="56" s="1"/>
  <c r="AV36" i="56" s="1"/>
  <c r="AU16" i="57"/>
  <c r="AU18" i="57" s="1"/>
  <c r="AU20" i="57" s="1"/>
  <c r="AM16" i="57"/>
  <c r="AM18" i="57" s="1"/>
  <c r="AM20" i="57" s="1"/>
  <c r="AE16" i="57"/>
  <c r="AE18" i="57" s="1"/>
  <c r="AE20" i="57" s="1"/>
  <c r="W16" i="57"/>
  <c r="W18" i="57" s="1"/>
  <c r="W20" i="57" s="1"/>
  <c r="O16" i="57"/>
  <c r="O18" i="57" s="1"/>
  <c r="O20" i="57" s="1"/>
  <c r="G16" i="57"/>
  <c r="G18" i="57" s="1"/>
  <c r="G20" i="57" s="1"/>
  <c r="BB16" i="57"/>
  <c r="BB18" i="57" s="1"/>
  <c r="BB20" i="57" s="1"/>
  <c r="AT16" i="57"/>
  <c r="AT18" i="57" s="1"/>
  <c r="AT20" i="57" s="1"/>
  <c r="AL16" i="57"/>
  <c r="AL18" i="57" s="1"/>
  <c r="AL20" i="57" s="1"/>
  <c r="AD16" i="57"/>
  <c r="AD18" i="57" s="1"/>
  <c r="AD20" i="57" s="1"/>
  <c r="V16" i="57"/>
  <c r="V18" i="57" s="1"/>
  <c r="V20" i="57" s="1"/>
  <c r="N16" i="57"/>
  <c r="N18" i="57" s="1"/>
  <c r="N20" i="57" s="1"/>
  <c r="F16" i="57"/>
  <c r="F18" i="57" s="1"/>
  <c r="F20" i="57" s="1"/>
  <c r="BA16" i="57"/>
  <c r="BA18" i="57" s="1"/>
  <c r="BA20" i="57" s="1"/>
  <c r="AS16" i="57"/>
  <c r="AS18" i="57" s="1"/>
  <c r="AS20" i="57" s="1"/>
  <c r="AK16" i="57"/>
  <c r="AK18" i="57" s="1"/>
  <c r="AK20" i="57" s="1"/>
  <c r="AC16" i="57"/>
  <c r="AC18" i="57" s="1"/>
  <c r="AC20" i="57" s="1"/>
  <c r="U16" i="57"/>
  <c r="U18" i="57" s="1"/>
  <c r="U20" i="57" s="1"/>
  <c r="M16" i="57"/>
  <c r="M18" i="57" s="1"/>
  <c r="M20" i="57" s="1"/>
  <c r="E16" i="57"/>
  <c r="E18" i="57" s="1"/>
  <c r="E20" i="57" s="1"/>
  <c r="AZ16" i="57"/>
  <c r="AZ18" i="57" s="1"/>
  <c r="AZ20" i="57" s="1"/>
  <c r="AR16" i="57"/>
  <c r="AR18" i="57" s="1"/>
  <c r="AR20" i="57" s="1"/>
  <c r="AJ16" i="57"/>
  <c r="AJ18" i="57" s="1"/>
  <c r="AJ20" i="57" s="1"/>
  <c r="AB16" i="57"/>
  <c r="AB18" i="57" s="1"/>
  <c r="AB20" i="57" s="1"/>
  <c r="T16" i="57"/>
  <c r="T18" i="57" s="1"/>
  <c r="T20" i="57" s="1"/>
  <c r="L16" i="57"/>
  <c r="L18" i="57" s="1"/>
  <c r="L20" i="57" s="1"/>
  <c r="AY16" i="57"/>
  <c r="AY18" i="57" s="1"/>
  <c r="AY20" i="57" s="1"/>
  <c r="AQ16" i="57"/>
  <c r="AQ18" i="57" s="1"/>
  <c r="AQ20" i="57" s="1"/>
  <c r="AI16" i="57"/>
  <c r="AI18" i="57" s="1"/>
  <c r="AI20" i="57" s="1"/>
  <c r="AA16" i="57"/>
  <c r="AA18" i="57" s="1"/>
  <c r="AA20" i="57" s="1"/>
  <c r="S16" i="57"/>
  <c r="S18" i="57" s="1"/>
  <c r="S20" i="57" s="1"/>
  <c r="K16" i="57"/>
  <c r="K18" i="57" s="1"/>
  <c r="K20" i="57" s="1"/>
  <c r="AX16" i="57"/>
  <c r="AX18" i="57" s="1"/>
  <c r="AX20" i="57" s="1"/>
  <c r="AP16" i="57"/>
  <c r="AP18" i="57" s="1"/>
  <c r="AP20" i="57" s="1"/>
  <c r="AH16" i="57"/>
  <c r="AH18" i="57" s="1"/>
  <c r="AH20" i="57" s="1"/>
  <c r="Z16" i="57"/>
  <c r="Z18" i="57" s="1"/>
  <c r="Z20" i="57" s="1"/>
  <c r="R16" i="57"/>
  <c r="R18" i="57" s="1"/>
  <c r="R20" i="57" s="1"/>
  <c r="J16" i="57"/>
  <c r="J18" i="57" s="1"/>
  <c r="J20" i="57" s="1"/>
  <c r="AW16" i="57"/>
  <c r="AW18" i="57" s="1"/>
  <c r="AW20" i="57" s="1"/>
  <c r="AO16" i="57"/>
  <c r="AO18" i="57" s="1"/>
  <c r="AO20" i="57" s="1"/>
  <c r="AG16" i="57"/>
  <c r="AG18" i="57" s="1"/>
  <c r="AG20" i="57" s="1"/>
  <c r="Y16" i="57"/>
  <c r="Y18" i="57" s="1"/>
  <c r="Y20" i="57" s="1"/>
  <c r="Q16" i="57"/>
  <c r="Q18" i="57" s="1"/>
  <c r="Q20" i="57" s="1"/>
  <c r="I16" i="57"/>
  <c r="I18" i="57" s="1"/>
  <c r="I20" i="57" s="1"/>
  <c r="H16" i="57"/>
  <c r="H18" i="57" s="1"/>
  <c r="H20" i="57" s="1"/>
  <c r="AV16" i="57"/>
  <c r="AV18" i="57" s="1"/>
  <c r="AV20" i="57" s="1"/>
  <c r="AN16" i="57"/>
  <c r="AN18" i="57" s="1"/>
  <c r="AN20" i="57" s="1"/>
  <c r="AF16" i="57"/>
  <c r="AF18" i="57" s="1"/>
  <c r="AF20" i="57" s="1"/>
  <c r="X16" i="57"/>
  <c r="X18" i="57" s="1"/>
  <c r="X20" i="57" s="1"/>
  <c r="P16" i="57"/>
  <c r="P18" i="57" s="1"/>
  <c r="P20" i="57" s="1"/>
  <c r="AW16" i="56"/>
  <c r="AW18" i="56" s="1"/>
  <c r="AW20" i="56" s="1"/>
  <c r="AO16" i="56"/>
  <c r="AO18" i="56" s="1"/>
  <c r="AO20" i="56" s="1"/>
  <c r="AG16" i="56"/>
  <c r="AG18" i="56" s="1"/>
  <c r="AG20" i="56" s="1"/>
  <c r="Y16" i="56"/>
  <c r="Y18" i="56" s="1"/>
  <c r="Y20" i="56" s="1"/>
  <c r="Q16" i="56"/>
  <c r="Q18" i="56" s="1"/>
  <c r="Q20" i="56" s="1"/>
  <c r="I16" i="56"/>
  <c r="I18" i="56" s="1"/>
  <c r="I20" i="56" s="1"/>
  <c r="AV16" i="56"/>
  <c r="AV18" i="56" s="1"/>
  <c r="AV20" i="56" s="1"/>
  <c r="AN16" i="56"/>
  <c r="AN18" i="56" s="1"/>
  <c r="AN20" i="56" s="1"/>
  <c r="AF16" i="56"/>
  <c r="AF18" i="56" s="1"/>
  <c r="AF20" i="56" s="1"/>
  <c r="X16" i="56"/>
  <c r="X18" i="56" s="1"/>
  <c r="X20" i="56" s="1"/>
  <c r="P16" i="56"/>
  <c r="P18" i="56" s="1"/>
  <c r="P20" i="56" s="1"/>
  <c r="H16" i="56"/>
  <c r="H18" i="56" s="1"/>
  <c r="H20" i="56" s="1"/>
  <c r="AU16" i="56"/>
  <c r="AU18" i="56" s="1"/>
  <c r="AU20" i="56" s="1"/>
  <c r="AM16" i="56"/>
  <c r="AM18" i="56" s="1"/>
  <c r="AM20" i="56" s="1"/>
  <c r="AE16" i="56"/>
  <c r="AE18" i="56" s="1"/>
  <c r="AE20" i="56" s="1"/>
  <c r="W16" i="56"/>
  <c r="W18" i="56" s="1"/>
  <c r="W20" i="56" s="1"/>
  <c r="O16" i="56"/>
  <c r="O18" i="56" s="1"/>
  <c r="O20" i="56" s="1"/>
  <c r="G16" i="56"/>
  <c r="G18" i="56" s="1"/>
  <c r="G20" i="56" s="1"/>
  <c r="BB16" i="56"/>
  <c r="BB18" i="56" s="1"/>
  <c r="BB20" i="56" s="1"/>
  <c r="AT16" i="56"/>
  <c r="AT18" i="56" s="1"/>
  <c r="AT20" i="56" s="1"/>
  <c r="AL16" i="56"/>
  <c r="AL18" i="56" s="1"/>
  <c r="AL20" i="56" s="1"/>
  <c r="AD16" i="56"/>
  <c r="AD18" i="56" s="1"/>
  <c r="AD20" i="56" s="1"/>
  <c r="V16" i="56"/>
  <c r="V18" i="56" s="1"/>
  <c r="V20" i="56" s="1"/>
  <c r="N16" i="56"/>
  <c r="N18" i="56" s="1"/>
  <c r="N20" i="56" s="1"/>
  <c r="F16" i="56"/>
  <c r="F18" i="56" s="1"/>
  <c r="F20" i="56" s="1"/>
  <c r="BA16" i="56"/>
  <c r="BA18" i="56" s="1"/>
  <c r="BA20" i="56" s="1"/>
  <c r="AS16" i="56"/>
  <c r="AS18" i="56" s="1"/>
  <c r="AS20" i="56" s="1"/>
  <c r="AK16" i="56"/>
  <c r="AK18" i="56" s="1"/>
  <c r="AK20" i="56" s="1"/>
  <c r="AC16" i="56"/>
  <c r="AC18" i="56" s="1"/>
  <c r="AC20" i="56" s="1"/>
  <c r="U16" i="56"/>
  <c r="U18" i="56" s="1"/>
  <c r="U20" i="56" s="1"/>
  <c r="M16" i="56"/>
  <c r="M18" i="56" s="1"/>
  <c r="M20" i="56" s="1"/>
  <c r="E16" i="56"/>
  <c r="E18" i="56" s="1"/>
  <c r="E20" i="56" s="1"/>
  <c r="AZ16" i="56"/>
  <c r="AZ18" i="56" s="1"/>
  <c r="AZ20" i="56" s="1"/>
  <c r="AR16" i="56"/>
  <c r="AR18" i="56" s="1"/>
  <c r="AR20" i="56" s="1"/>
  <c r="AJ16" i="56"/>
  <c r="AJ18" i="56" s="1"/>
  <c r="AJ20" i="56" s="1"/>
  <c r="AB16" i="56"/>
  <c r="AB18" i="56" s="1"/>
  <c r="AB20" i="56" s="1"/>
  <c r="T16" i="56"/>
  <c r="T18" i="56" s="1"/>
  <c r="T20" i="56" s="1"/>
  <c r="L16" i="56"/>
  <c r="L18" i="56" s="1"/>
  <c r="L20" i="56" s="1"/>
  <c r="AY16" i="56"/>
  <c r="AY18" i="56" s="1"/>
  <c r="AY20" i="56" s="1"/>
  <c r="AQ16" i="56"/>
  <c r="AQ18" i="56" s="1"/>
  <c r="AQ20" i="56" s="1"/>
  <c r="AI16" i="56"/>
  <c r="AI18" i="56" s="1"/>
  <c r="AI20" i="56" s="1"/>
  <c r="AA16" i="56"/>
  <c r="AA18" i="56" s="1"/>
  <c r="AA20" i="56" s="1"/>
  <c r="S16" i="56"/>
  <c r="S18" i="56" s="1"/>
  <c r="S20" i="56" s="1"/>
  <c r="K16" i="56"/>
  <c r="K18" i="56" s="1"/>
  <c r="K20" i="56" s="1"/>
  <c r="AH16" i="56"/>
  <c r="AH18" i="56" s="1"/>
  <c r="AH20" i="56" s="1"/>
  <c r="Z16" i="56"/>
  <c r="Z18" i="56" s="1"/>
  <c r="Z20" i="56" s="1"/>
  <c r="R16" i="56"/>
  <c r="R18" i="56" s="1"/>
  <c r="R20" i="56" s="1"/>
  <c r="AP16" i="56"/>
  <c r="AP18" i="56" s="1"/>
  <c r="AP20" i="56" s="1"/>
  <c r="J16" i="56"/>
  <c r="J18" i="56" s="1"/>
  <c r="J20" i="56" s="1"/>
  <c r="AX16" i="56"/>
  <c r="AX18" i="56" s="1"/>
  <c r="AX20" i="56" s="1"/>
  <c r="BB112" i="57"/>
  <c r="BB114" i="57" s="1"/>
  <c r="BB116" i="57" s="1"/>
  <c r="AT112" i="57"/>
  <c r="AT114" i="57" s="1"/>
  <c r="AT116" i="57" s="1"/>
  <c r="AL112" i="57"/>
  <c r="AL114" i="57" s="1"/>
  <c r="AL116" i="57" s="1"/>
  <c r="AD112" i="57"/>
  <c r="AD114" i="57" s="1"/>
  <c r="AD116" i="57" s="1"/>
  <c r="V112" i="57"/>
  <c r="V114" i="57" s="1"/>
  <c r="V116" i="57" s="1"/>
  <c r="N112" i="57"/>
  <c r="N114" i="57" s="1"/>
  <c r="N116" i="57" s="1"/>
  <c r="F112" i="57"/>
  <c r="F114" i="57" s="1"/>
  <c r="F116" i="57" s="1"/>
  <c r="BA112" i="57"/>
  <c r="BA114" i="57" s="1"/>
  <c r="BA116" i="57" s="1"/>
  <c r="AS112" i="57"/>
  <c r="AS114" i="57" s="1"/>
  <c r="AS116" i="57" s="1"/>
  <c r="AK112" i="57"/>
  <c r="AK114" i="57" s="1"/>
  <c r="AK116" i="57" s="1"/>
  <c r="AC112" i="57"/>
  <c r="AC114" i="57" s="1"/>
  <c r="AC116" i="57" s="1"/>
  <c r="U112" i="57"/>
  <c r="U114" i="57" s="1"/>
  <c r="U116" i="57" s="1"/>
  <c r="M112" i="57"/>
  <c r="M114" i="57" s="1"/>
  <c r="M116" i="57" s="1"/>
  <c r="E112" i="57"/>
  <c r="E114" i="57" s="1"/>
  <c r="E116" i="57" s="1"/>
  <c r="AZ112" i="57"/>
  <c r="AZ114" i="57" s="1"/>
  <c r="AZ116" i="57" s="1"/>
  <c r="AR112" i="57"/>
  <c r="AR114" i="57" s="1"/>
  <c r="AR116" i="57" s="1"/>
  <c r="AJ112" i="57"/>
  <c r="AJ114" i="57" s="1"/>
  <c r="AJ116" i="57" s="1"/>
  <c r="AB112" i="57"/>
  <c r="AB114" i="57" s="1"/>
  <c r="AB116" i="57" s="1"/>
  <c r="T112" i="57"/>
  <c r="T114" i="57" s="1"/>
  <c r="T116" i="57" s="1"/>
  <c r="L112" i="57"/>
  <c r="L114" i="57" s="1"/>
  <c r="L116" i="57" s="1"/>
  <c r="AY112" i="57"/>
  <c r="AY114" i="57" s="1"/>
  <c r="AY116" i="57" s="1"/>
  <c r="AQ112" i="57"/>
  <c r="AQ114" i="57" s="1"/>
  <c r="AQ116" i="57" s="1"/>
  <c r="AI112" i="57"/>
  <c r="AI114" i="57" s="1"/>
  <c r="AI116" i="57" s="1"/>
  <c r="AA112" i="57"/>
  <c r="AA114" i="57" s="1"/>
  <c r="AA116" i="57" s="1"/>
  <c r="S112" i="57"/>
  <c r="S114" i="57" s="1"/>
  <c r="S116" i="57" s="1"/>
  <c r="K112" i="57"/>
  <c r="K114" i="57" s="1"/>
  <c r="K116" i="57" s="1"/>
  <c r="AX112" i="57"/>
  <c r="AX114" i="57" s="1"/>
  <c r="AX116" i="57" s="1"/>
  <c r="AP112" i="57"/>
  <c r="AP114" i="57" s="1"/>
  <c r="AP116" i="57" s="1"/>
  <c r="AH112" i="57"/>
  <c r="AH114" i="57" s="1"/>
  <c r="AH116" i="57" s="1"/>
  <c r="Z112" i="57"/>
  <c r="Z114" i="57" s="1"/>
  <c r="Z116" i="57" s="1"/>
  <c r="R112" i="57"/>
  <c r="R114" i="57" s="1"/>
  <c r="R116" i="57" s="1"/>
  <c r="J112" i="57"/>
  <c r="J114" i="57" s="1"/>
  <c r="J116" i="57" s="1"/>
  <c r="AW112" i="57"/>
  <c r="AW114" i="57" s="1"/>
  <c r="AW116" i="57" s="1"/>
  <c r="AO112" i="57"/>
  <c r="AO114" i="57" s="1"/>
  <c r="AO116" i="57" s="1"/>
  <c r="AG112" i="57"/>
  <c r="AG114" i="57" s="1"/>
  <c r="AG116" i="57" s="1"/>
  <c r="Y112" i="57"/>
  <c r="Y114" i="57" s="1"/>
  <c r="Y116" i="57" s="1"/>
  <c r="Q112" i="57"/>
  <c r="Q114" i="57" s="1"/>
  <c r="Q116" i="57" s="1"/>
  <c r="I112" i="57"/>
  <c r="I114" i="57" s="1"/>
  <c r="I116" i="57" s="1"/>
  <c r="AV112" i="57"/>
  <c r="AV114" i="57" s="1"/>
  <c r="AV116" i="57" s="1"/>
  <c r="AN112" i="57"/>
  <c r="AN114" i="57" s="1"/>
  <c r="AN116" i="57" s="1"/>
  <c r="AF112" i="57"/>
  <c r="AF114" i="57" s="1"/>
  <c r="AF116" i="57" s="1"/>
  <c r="X112" i="57"/>
  <c r="X114" i="57" s="1"/>
  <c r="X116" i="57" s="1"/>
  <c r="P112" i="57"/>
  <c r="P114" i="57" s="1"/>
  <c r="P116" i="57" s="1"/>
  <c r="H112" i="57"/>
  <c r="H114" i="57" s="1"/>
  <c r="H116" i="57" s="1"/>
  <c r="AM112" i="57"/>
  <c r="AM114" i="57" s="1"/>
  <c r="AM116" i="57" s="1"/>
  <c r="AE112" i="57"/>
  <c r="AE114" i="57" s="1"/>
  <c r="AE116" i="57" s="1"/>
  <c r="W112" i="57"/>
  <c r="W114" i="57" s="1"/>
  <c r="W116" i="57" s="1"/>
  <c r="O112" i="57"/>
  <c r="O114" i="57" s="1"/>
  <c r="O116" i="57" s="1"/>
  <c r="G112" i="57"/>
  <c r="G114" i="57" s="1"/>
  <c r="G116" i="57" s="1"/>
  <c r="AU112" i="57"/>
  <c r="AU114" i="57" s="1"/>
  <c r="AU116" i="57" s="1"/>
  <c r="AU104" i="56"/>
  <c r="AU106" i="56" s="1"/>
  <c r="AU108" i="56" s="1"/>
  <c r="AM104" i="56"/>
  <c r="AM106" i="56" s="1"/>
  <c r="AM108" i="56" s="1"/>
  <c r="AE104" i="56"/>
  <c r="AE106" i="56" s="1"/>
  <c r="AE108" i="56" s="1"/>
  <c r="W104" i="56"/>
  <c r="W106" i="56" s="1"/>
  <c r="W108" i="56" s="1"/>
  <c r="O104" i="56"/>
  <c r="O106" i="56" s="1"/>
  <c r="O108" i="56" s="1"/>
  <c r="G104" i="56"/>
  <c r="G106" i="56" s="1"/>
  <c r="G108" i="56" s="1"/>
  <c r="BB104" i="56"/>
  <c r="BB106" i="56" s="1"/>
  <c r="BB108" i="56" s="1"/>
  <c r="AT104" i="56"/>
  <c r="AT106" i="56" s="1"/>
  <c r="AT108" i="56" s="1"/>
  <c r="AL104" i="56"/>
  <c r="AL106" i="56" s="1"/>
  <c r="AL108" i="56" s="1"/>
  <c r="AD104" i="56"/>
  <c r="AD106" i="56" s="1"/>
  <c r="AD108" i="56" s="1"/>
  <c r="V104" i="56"/>
  <c r="V106" i="56" s="1"/>
  <c r="V108" i="56" s="1"/>
  <c r="N104" i="56"/>
  <c r="N106" i="56" s="1"/>
  <c r="N108" i="56" s="1"/>
  <c r="F104" i="56"/>
  <c r="F106" i="56" s="1"/>
  <c r="F108" i="56" s="1"/>
  <c r="BA104" i="56"/>
  <c r="BA106" i="56" s="1"/>
  <c r="BA108" i="56" s="1"/>
  <c r="AS104" i="56"/>
  <c r="AS106" i="56" s="1"/>
  <c r="AS108" i="56" s="1"/>
  <c r="AK104" i="56"/>
  <c r="AK106" i="56" s="1"/>
  <c r="AK108" i="56" s="1"/>
  <c r="AC104" i="56"/>
  <c r="AC106" i="56" s="1"/>
  <c r="AC108" i="56" s="1"/>
  <c r="U104" i="56"/>
  <c r="U106" i="56" s="1"/>
  <c r="U108" i="56" s="1"/>
  <c r="M104" i="56"/>
  <c r="M106" i="56" s="1"/>
  <c r="M108" i="56" s="1"/>
  <c r="E104" i="56"/>
  <c r="E106" i="56" s="1"/>
  <c r="E108" i="56" s="1"/>
  <c r="AZ104" i="56"/>
  <c r="AZ106" i="56" s="1"/>
  <c r="AZ108" i="56" s="1"/>
  <c r="AR104" i="56"/>
  <c r="AR106" i="56" s="1"/>
  <c r="AR108" i="56" s="1"/>
  <c r="AJ104" i="56"/>
  <c r="AJ106" i="56" s="1"/>
  <c r="AJ108" i="56" s="1"/>
  <c r="AB104" i="56"/>
  <c r="AB106" i="56" s="1"/>
  <c r="AB108" i="56" s="1"/>
  <c r="T104" i="56"/>
  <c r="T106" i="56" s="1"/>
  <c r="T108" i="56" s="1"/>
  <c r="L104" i="56"/>
  <c r="L106" i="56" s="1"/>
  <c r="L108" i="56" s="1"/>
  <c r="AY104" i="56"/>
  <c r="AY106" i="56" s="1"/>
  <c r="AY108" i="56" s="1"/>
  <c r="AQ104" i="56"/>
  <c r="AQ106" i="56" s="1"/>
  <c r="AQ108" i="56" s="1"/>
  <c r="AI104" i="56"/>
  <c r="AI106" i="56" s="1"/>
  <c r="AI108" i="56" s="1"/>
  <c r="AA104" i="56"/>
  <c r="AA106" i="56" s="1"/>
  <c r="AA108" i="56" s="1"/>
  <c r="S104" i="56"/>
  <c r="S106" i="56" s="1"/>
  <c r="S108" i="56" s="1"/>
  <c r="K104" i="56"/>
  <c r="K106" i="56" s="1"/>
  <c r="K108" i="56" s="1"/>
  <c r="AX104" i="56"/>
  <c r="AX106" i="56" s="1"/>
  <c r="AX108" i="56" s="1"/>
  <c r="AP104" i="56"/>
  <c r="AP106" i="56" s="1"/>
  <c r="AP108" i="56" s="1"/>
  <c r="AH104" i="56"/>
  <c r="AH106" i="56" s="1"/>
  <c r="AH108" i="56" s="1"/>
  <c r="Z104" i="56"/>
  <c r="Z106" i="56" s="1"/>
  <c r="Z108" i="56" s="1"/>
  <c r="R104" i="56"/>
  <c r="R106" i="56" s="1"/>
  <c r="R108" i="56" s="1"/>
  <c r="J104" i="56"/>
  <c r="J106" i="56" s="1"/>
  <c r="J108" i="56" s="1"/>
  <c r="AW104" i="56"/>
  <c r="AW106" i="56" s="1"/>
  <c r="AW108" i="56" s="1"/>
  <c r="AO104" i="56"/>
  <c r="AO106" i="56" s="1"/>
  <c r="AO108" i="56" s="1"/>
  <c r="AG104" i="56"/>
  <c r="AG106" i="56" s="1"/>
  <c r="AG108" i="56" s="1"/>
  <c r="Y104" i="56"/>
  <c r="Y106" i="56" s="1"/>
  <c r="Y108" i="56" s="1"/>
  <c r="Q104" i="56"/>
  <c r="Q106" i="56" s="1"/>
  <c r="Q108" i="56" s="1"/>
  <c r="I104" i="56"/>
  <c r="I106" i="56" s="1"/>
  <c r="I108" i="56" s="1"/>
  <c r="AV104" i="56"/>
  <c r="AV106" i="56" s="1"/>
  <c r="AV108" i="56" s="1"/>
  <c r="AN104" i="56"/>
  <c r="AN106" i="56" s="1"/>
  <c r="AN108" i="56" s="1"/>
  <c r="AF104" i="56"/>
  <c r="AF106" i="56" s="1"/>
  <c r="AF108" i="56" s="1"/>
  <c r="X104" i="56"/>
  <c r="X106" i="56" s="1"/>
  <c r="X108" i="56" s="1"/>
  <c r="P104" i="56"/>
  <c r="P106" i="56" s="1"/>
  <c r="P108" i="56" s="1"/>
  <c r="H104" i="56"/>
  <c r="H106" i="56" s="1"/>
  <c r="H108" i="56" s="1"/>
  <c r="AW8" i="57"/>
  <c r="AW10" i="57" s="1"/>
  <c r="AW12" i="57" s="1"/>
  <c r="AO8" i="57"/>
  <c r="AO10" i="57" s="1"/>
  <c r="AO12" i="57" s="1"/>
  <c r="AG8" i="57"/>
  <c r="AG10" i="57" s="1"/>
  <c r="AG12" i="57" s="1"/>
  <c r="Y8" i="57"/>
  <c r="Y10" i="57" s="1"/>
  <c r="Y12" i="57" s="1"/>
  <c r="Q8" i="57"/>
  <c r="Q10" i="57" s="1"/>
  <c r="Q12" i="57" s="1"/>
  <c r="I8" i="57"/>
  <c r="I10" i="57" s="1"/>
  <c r="I12" i="57" s="1"/>
  <c r="AV8" i="57"/>
  <c r="AV10" i="57" s="1"/>
  <c r="AV12" i="57" s="1"/>
  <c r="AN8" i="57"/>
  <c r="AN10" i="57" s="1"/>
  <c r="AN12" i="57" s="1"/>
  <c r="AF8" i="57"/>
  <c r="AF10" i="57" s="1"/>
  <c r="AF12" i="57" s="1"/>
  <c r="X8" i="57"/>
  <c r="X10" i="57" s="1"/>
  <c r="X12" i="57" s="1"/>
  <c r="P8" i="57"/>
  <c r="P10" i="57" s="1"/>
  <c r="P12" i="57" s="1"/>
  <c r="H8" i="57"/>
  <c r="H10" i="57" s="1"/>
  <c r="H12" i="57" s="1"/>
  <c r="AU8" i="57"/>
  <c r="AU10" i="57" s="1"/>
  <c r="AU12" i="57" s="1"/>
  <c r="AM8" i="57"/>
  <c r="AM10" i="57" s="1"/>
  <c r="AM12" i="57" s="1"/>
  <c r="AE8" i="57"/>
  <c r="AE10" i="57" s="1"/>
  <c r="AE12" i="57" s="1"/>
  <c r="W8" i="57"/>
  <c r="W10" i="57" s="1"/>
  <c r="W12" i="57" s="1"/>
  <c r="O8" i="57"/>
  <c r="O10" i="57" s="1"/>
  <c r="O12" i="57" s="1"/>
  <c r="G8" i="57"/>
  <c r="G10" i="57" s="1"/>
  <c r="G12" i="57" s="1"/>
  <c r="BB8" i="57"/>
  <c r="BB10" i="57" s="1"/>
  <c r="BB12" i="57" s="1"/>
  <c r="AT8" i="57"/>
  <c r="AT10" i="57" s="1"/>
  <c r="AT12" i="57" s="1"/>
  <c r="AL8" i="57"/>
  <c r="AL10" i="57" s="1"/>
  <c r="AL12" i="57" s="1"/>
  <c r="AD8" i="57"/>
  <c r="AD10" i="57" s="1"/>
  <c r="AD12" i="57" s="1"/>
  <c r="V8" i="57"/>
  <c r="V10" i="57" s="1"/>
  <c r="V12" i="57" s="1"/>
  <c r="N8" i="57"/>
  <c r="N10" i="57" s="1"/>
  <c r="N12" i="57" s="1"/>
  <c r="F8" i="57"/>
  <c r="F10" i="57" s="1"/>
  <c r="F12" i="57" s="1"/>
  <c r="BA8" i="57"/>
  <c r="BA10" i="57" s="1"/>
  <c r="BA12" i="57" s="1"/>
  <c r="AS8" i="57"/>
  <c r="AS10" i="57" s="1"/>
  <c r="AS12" i="57" s="1"/>
  <c r="AK8" i="57"/>
  <c r="AK10" i="57" s="1"/>
  <c r="AK12" i="57" s="1"/>
  <c r="AC8" i="57"/>
  <c r="AC10" i="57" s="1"/>
  <c r="AC12" i="57" s="1"/>
  <c r="U8" i="57"/>
  <c r="U10" i="57" s="1"/>
  <c r="U12" i="57" s="1"/>
  <c r="M8" i="57"/>
  <c r="M10" i="57" s="1"/>
  <c r="M12" i="57" s="1"/>
  <c r="E8" i="57"/>
  <c r="E10" i="57" s="1"/>
  <c r="E12" i="57" s="1"/>
  <c r="AZ8" i="57"/>
  <c r="AZ10" i="57" s="1"/>
  <c r="AZ12" i="57" s="1"/>
  <c r="AR8" i="57"/>
  <c r="AR10" i="57" s="1"/>
  <c r="AR12" i="57" s="1"/>
  <c r="AJ8" i="57"/>
  <c r="AJ10" i="57" s="1"/>
  <c r="AJ12" i="57" s="1"/>
  <c r="AB8" i="57"/>
  <c r="AB10" i="57" s="1"/>
  <c r="AB12" i="57" s="1"/>
  <c r="T8" i="57"/>
  <c r="T10" i="57" s="1"/>
  <c r="T12" i="57" s="1"/>
  <c r="L8" i="57"/>
  <c r="L10" i="57" s="1"/>
  <c r="L12" i="57" s="1"/>
  <c r="AY8" i="57"/>
  <c r="AY10" i="57" s="1"/>
  <c r="AY12" i="57" s="1"/>
  <c r="AQ8" i="57"/>
  <c r="AQ10" i="57" s="1"/>
  <c r="AQ12" i="57" s="1"/>
  <c r="AI8" i="57"/>
  <c r="AI10" i="57" s="1"/>
  <c r="AI12" i="57" s="1"/>
  <c r="AA8" i="57"/>
  <c r="AA10" i="57" s="1"/>
  <c r="AA12" i="57" s="1"/>
  <c r="S8" i="57"/>
  <c r="S10" i="57" s="1"/>
  <c r="S12" i="57" s="1"/>
  <c r="K8" i="57"/>
  <c r="K10" i="57" s="1"/>
  <c r="K12" i="57" s="1"/>
  <c r="Z8" i="57"/>
  <c r="Z10" i="57" s="1"/>
  <c r="Z12" i="57" s="1"/>
  <c r="R8" i="57"/>
  <c r="R10" i="57" s="1"/>
  <c r="R12" i="57" s="1"/>
  <c r="J8" i="57"/>
  <c r="J10" i="57" s="1"/>
  <c r="J12" i="57" s="1"/>
  <c r="AX8" i="57"/>
  <c r="AX10" i="57" s="1"/>
  <c r="AX12" i="57" s="1"/>
  <c r="AP8" i="57"/>
  <c r="AP10" i="57" s="1"/>
  <c r="AP12" i="57" s="1"/>
  <c r="AH8" i="57"/>
  <c r="AH10" i="57" s="1"/>
  <c r="AH12" i="57" s="1"/>
  <c r="AZ8" i="56"/>
  <c r="AZ10" i="56" s="1"/>
  <c r="AZ12" i="56" s="1"/>
  <c r="AR8" i="56"/>
  <c r="AR10" i="56" s="1"/>
  <c r="AR12" i="56" s="1"/>
  <c r="AJ8" i="56"/>
  <c r="AJ10" i="56" s="1"/>
  <c r="AJ12" i="56" s="1"/>
  <c r="AB8" i="56"/>
  <c r="AB10" i="56" s="1"/>
  <c r="AB12" i="56" s="1"/>
  <c r="T8" i="56"/>
  <c r="T10" i="56" s="1"/>
  <c r="T12" i="56" s="1"/>
  <c r="L8" i="56"/>
  <c r="L10" i="56" s="1"/>
  <c r="L12" i="56" s="1"/>
  <c r="AX8" i="56"/>
  <c r="AX10" i="56" s="1"/>
  <c r="AX12" i="56" s="1"/>
  <c r="AP8" i="56"/>
  <c r="AP10" i="56" s="1"/>
  <c r="AP12" i="56" s="1"/>
  <c r="AH8" i="56"/>
  <c r="AH10" i="56" s="1"/>
  <c r="AH12" i="56" s="1"/>
  <c r="Z8" i="56"/>
  <c r="Z10" i="56" s="1"/>
  <c r="Z12" i="56" s="1"/>
  <c r="R8" i="56"/>
  <c r="R10" i="56" s="1"/>
  <c r="R12" i="56" s="1"/>
  <c r="J8" i="56"/>
  <c r="J10" i="56" s="1"/>
  <c r="J12" i="56" s="1"/>
  <c r="AU8" i="56"/>
  <c r="AU10" i="56" s="1"/>
  <c r="AU12" i="56" s="1"/>
  <c r="AM8" i="56"/>
  <c r="AM10" i="56" s="1"/>
  <c r="AM12" i="56" s="1"/>
  <c r="BB8" i="56"/>
  <c r="BB10" i="56" s="1"/>
  <c r="BB12" i="56" s="1"/>
  <c r="AT8" i="56"/>
  <c r="AT10" i="56" s="1"/>
  <c r="AT12" i="56" s="1"/>
  <c r="AL8" i="56"/>
  <c r="AL10" i="56" s="1"/>
  <c r="AL12" i="56" s="1"/>
  <c r="AD8" i="56"/>
  <c r="AD10" i="56" s="1"/>
  <c r="AD12" i="56" s="1"/>
  <c r="V8" i="56"/>
  <c r="V10" i="56" s="1"/>
  <c r="V12" i="56" s="1"/>
  <c r="N8" i="56"/>
  <c r="N10" i="56" s="1"/>
  <c r="N12" i="56" s="1"/>
  <c r="F8" i="56"/>
  <c r="F10" i="56" s="1"/>
  <c r="F12" i="56" s="1"/>
  <c r="AV8" i="56"/>
  <c r="AV10" i="56" s="1"/>
  <c r="AV12" i="56" s="1"/>
  <c r="AF8" i="56"/>
  <c r="AF10" i="56" s="1"/>
  <c r="AF12" i="56" s="1"/>
  <c r="S8" i="56"/>
  <c r="S10" i="56" s="1"/>
  <c r="S12" i="56" s="1"/>
  <c r="G8" i="56"/>
  <c r="G10" i="56" s="1"/>
  <c r="G12" i="56" s="1"/>
  <c r="AS8" i="56"/>
  <c r="AS10" i="56" s="1"/>
  <c r="AS12" i="56" s="1"/>
  <c r="AE8" i="56"/>
  <c r="AE10" i="56" s="1"/>
  <c r="AE12" i="56" s="1"/>
  <c r="Q8" i="56"/>
  <c r="Q10" i="56" s="1"/>
  <c r="Q12" i="56" s="1"/>
  <c r="E8" i="56"/>
  <c r="E10" i="56" s="1"/>
  <c r="E12" i="56" s="1"/>
  <c r="U8" i="56"/>
  <c r="U10" i="56" s="1"/>
  <c r="U12" i="56" s="1"/>
  <c r="AQ8" i="56"/>
  <c r="AQ10" i="56" s="1"/>
  <c r="AQ12" i="56" s="1"/>
  <c r="AC8" i="56"/>
  <c r="AC10" i="56" s="1"/>
  <c r="AC12" i="56" s="1"/>
  <c r="P8" i="56"/>
  <c r="P10" i="56" s="1"/>
  <c r="P12" i="56" s="1"/>
  <c r="H8" i="56"/>
  <c r="H10" i="56" s="1"/>
  <c r="H12" i="56" s="1"/>
  <c r="AO8" i="56"/>
  <c r="AO10" i="56" s="1"/>
  <c r="AO12" i="56" s="1"/>
  <c r="AA8" i="56"/>
  <c r="AA10" i="56" s="1"/>
  <c r="AA12" i="56" s="1"/>
  <c r="O8" i="56"/>
  <c r="O10" i="56" s="1"/>
  <c r="O12" i="56" s="1"/>
  <c r="AN8" i="56"/>
  <c r="AN10" i="56" s="1"/>
  <c r="AN12" i="56" s="1"/>
  <c r="Y8" i="56"/>
  <c r="Y10" i="56" s="1"/>
  <c r="Y12" i="56" s="1"/>
  <c r="M8" i="56"/>
  <c r="M10" i="56" s="1"/>
  <c r="M12" i="56" s="1"/>
  <c r="AW8" i="56"/>
  <c r="AW10" i="56" s="1"/>
  <c r="AW12" i="56" s="1"/>
  <c r="BA8" i="56"/>
  <c r="BA10" i="56" s="1"/>
  <c r="BA12" i="56" s="1"/>
  <c r="AK8" i="56"/>
  <c r="AK10" i="56" s="1"/>
  <c r="AK12" i="56" s="1"/>
  <c r="X8" i="56"/>
  <c r="X10" i="56" s="1"/>
  <c r="X12" i="56" s="1"/>
  <c r="K8" i="56"/>
  <c r="K10" i="56" s="1"/>
  <c r="K12" i="56" s="1"/>
  <c r="AY8" i="56"/>
  <c r="AY10" i="56" s="1"/>
  <c r="AY12" i="56" s="1"/>
  <c r="AI8" i="56"/>
  <c r="AI10" i="56" s="1"/>
  <c r="AI12" i="56" s="1"/>
  <c r="W8" i="56"/>
  <c r="W10" i="56" s="1"/>
  <c r="W12" i="56" s="1"/>
  <c r="I8" i="56"/>
  <c r="I10" i="56" s="1"/>
  <c r="I12" i="56" s="1"/>
  <c r="AG8" i="56"/>
  <c r="AG10" i="56" s="1"/>
  <c r="AG12" i="56" s="1"/>
  <c r="AU40" i="57"/>
  <c r="AU42" i="57" s="1"/>
  <c r="AU44" i="57" s="1"/>
  <c r="AM40" i="57"/>
  <c r="AM42" i="57" s="1"/>
  <c r="AM44" i="57" s="1"/>
  <c r="AE40" i="57"/>
  <c r="AE42" i="57" s="1"/>
  <c r="AE44" i="57" s="1"/>
  <c r="W40" i="57"/>
  <c r="W42" i="57" s="1"/>
  <c r="W44" i="57" s="1"/>
  <c r="O40" i="57"/>
  <c r="O42" i="57" s="1"/>
  <c r="O44" i="57" s="1"/>
  <c r="G40" i="57"/>
  <c r="G42" i="57" s="1"/>
  <c r="G44" i="57" s="1"/>
  <c r="BB40" i="57"/>
  <c r="BB42" i="57" s="1"/>
  <c r="BB44" i="57" s="1"/>
  <c r="AT40" i="57"/>
  <c r="AT42" i="57" s="1"/>
  <c r="AT44" i="57" s="1"/>
  <c r="AL40" i="57"/>
  <c r="AL42" i="57" s="1"/>
  <c r="AL44" i="57" s="1"/>
  <c r="AD40" i="57"/>
  <c r="AD42" i="57" s="1"/>
  <c r="AD44" i="57" s="1"/>
  <c r="V40" i="57"/>
  <c r="V42" i="57" s="1"/>
  <c r="V44" i="57" s="1"/>
  <c r="N40" i="57"/>
  <c r="N42" i="57" s="1"/>
  <c r="N44" i="57" s="1"/>
  <c r="F40" i="57"/>
  <c r="F42" i="57" s="1"/>
  <c r="F44" i="57" s="1"/>
  <c r="BA40" i="57"/>
  <c r="BA42" i="57" s="1"/>
  <c r="BA44" i="57" s="1"/>
  <c r="AS40" i="57"/>
  <c r="AS42" i="57" s="1"/>
  <c r="AS44" i="57" s="1"/>
  <c r="AK40" i="57"/>
  <c r="AK42" i="57" s="1"/>
  <c r="AK44" i="57" s="1"/>
  <c r="AC40" i="57"/>
  <c r="AC42" i="57" s="1"/>
  <c r="AC44" i="57" s="1"/>
  <c r="U40" i="57"/>
  <c r="U42" i="57" s="1"/>
  <c r="U44" i="57" s="1"/>
  <c r="M40" i="57"/>
  <c r="M42" i="57" s="1"/>
  <c r="M44" i="57" s="1"/>
  <c r="E40" i="57"/>
  <c r="E42" i="57" s="1"/>
  <c r="E44" i="57" s="1"/>
  <c r="AZ40" i="57"/>
  <c r="AZ42" i="57" s="1"/>
  <c r="AZ44" i="57" s="1"/>
  <c r="AR40" i="57"/>
  <c r="AR42" i="57" s="1"/>
  <c r="AR44" i="57" s="1"/>
  <c r="AJ40" i="57"/>
  <c r="AJ42" i="57" s="1"/>
  <c r="AJ44" i="57" s="1"/>
  <c r="AB40" i="57"/>
  <c r="AB42" i="57" s="1"/>
  <c r="AB44" i="57" s="1"/>
  <c r="T40" i="57"/>
  <c r="T42" i="57" s="1"/>
  <c r="T44" i="57" s="1"/>
  <c r="L40" i="57"/>
  <c r="L42" i="57" s="1"/>
  <c r="L44" i="57" s="1"/>
  <c r="AY40" i="57"/>
  <c r="AY42" i="57" s="1"/>
  <c r="AY44" i="57" s="1"/>
  <c r="AQ40" i="57"/>
  <c r="AQ42" i="57" s="1"/>
  <c r="AQ44" i="57" s="1"/>
  <c r="AI40" i="57"/>
  <c r="AI42" i="57" s="1"/>
  <c r="AI44" i="57" s="1"/>
  <c r="AA40" i="57"/>
  <c r="AA42" i="57" s="1"/>
  <c r="AA44" i="57" s="1"/>
  <c r="S40" i="57"/>
  <c r="S42" i="57" s="1"/>
  <c r="S44" i="57" s="1"/>
  <c r="K40" i="57"/>
  <c r="K42" i="57" s="1"/>
  <c r="K44" i="57" s="1"/>
  <c r="AX40" i="57"/>
  <c r="AX42" i="57" s="1"/>
  <c r="AX44" i="57" s="1"/>
  <c r="AP40" i="57"/>
  <c r="AP42" i="57" s="1"/>
  <c r="AP44" i="57" s="1"/>
  <c r="AH40" i="57"/>
  <c r="AH42" i="57" s="1"/>
  <c r="AH44" i="57" s="1"/>
  <c r="Z40" i="57"/>
  <c r="Z42" i="57" s="1"/>
  <c r="Z44" i="57" s="1"/>
  <c r="R40" i="57"/>
  <c r="R42" i="57" s="1"/>
  <c r="R44" i="57" s="1"/>
  <c r="J40" i="57"/>
  <c r="J42" i="57" s="1"/>
  <c r="J44" i="57" s="1"/>
  <c r="AW40" i="57"/>
  <c r="AW42" i="57" s="1"/>
  <c r="AW44" i="57" s="1"/>
  <c r="AO40" i="57"/>
  <c r="AO42" i="57" s="1"/>
  <c r="AO44" i="57" s="1"/>
  <c r="AG40" i="57"/>
  <c r="AG42" i="57" s="1"/>
  <c r="AG44" i="57" s="1"/>
  <c r="Y40" i="57"/>
  <c r="Y42" i="57" s="1"/>
  <c r="Y44" i="57" s="1"/>
  <c r="Q40" i="57"/>
  <c r="Q42" i="57" s="1"/>
  <c r="Q44" i="57" s="1"/>
  <c r="I40" i="57"/>
  <c r="I42" i="57" s="1"/>
  <c r="I44" i="57" s="1"/>
  <c r="AN40" i="57"/>
  <c r="AN42" i="57" s="1"/>
  <c r="AN44" i="57" s="1"/>
  <c r="AF40" i="57"/>
  <c r="AF42" i="57" s="1"/>
  <c r="AF44" i="57" s="1"/>
  <c r="X40" i="57"/>
  <c r="X42" i="57" s="1"/>
  <c r="X44" i="57" s="1"/>
  <c r="P40" i="57"/>
  <c r="P42" i="57" s="1"/>
  <c r="P44" i="57" s="1"/>
  <c r="H40" i="57"/>
  <c r="H42" i="57" s="1"/>
  <c r="H44" i="57" s="1"/>
  <c r="AV40" i="57"/>
  <c r="AV42" i="57" s="1"/>
  <c r="AV44" i="57" s="1"/>
  <c r="AU40" i="56"/>
  <c r="AU42" i="56" s="1"/>
  <c r="AU44" i="56" s="1"/>
  <c r="AM40" i="56"/>
  <c r="AM42" i="56" s="1"/>
  <c r="AM44" i="56" s="1"/>
  <c r="AE40" i="56"/>
  <c r="AE42" i="56" s="1"/>
  <c r="AE44" i="56" s="1"/>
  <c r="W40" i="56"/>
  <c r="W42" i="56" s="1"/>
  <c r="W44" i="56" s="1"/>
  <c r="O40" i="56"/>
  <c r="O42" i="56" s="1"/>
  <c r="O44" i="56" s="1"/>
  <c r="G40" i="56"/>
  <c r="G42" i="56" s="1"/>
  <c r="G44" i="56" s="1"/>
  <c r="BB40" i="56"/>
  <c r="BB42" i="56" s="1"/>
  <c r="BB44" i="56" s="1"/>
  <c r="AT40" i="56"/>
  <c r="AT42" i="56" s="1"/>
  <c r="AT44" i="56" s="1"/>
  <c r="AL40" i="56"/>
  <c r="AL42" i="56" s="1"/>
  <c r="AL44" i="56" s="1"/>
  <c r="AD40" i="56"/>
  <c r="AD42" i="56" s="1"/>
  <c r="AD44" i="56" s="1"/>
  <c r="V40" i="56"/>
  <c r="V42" i="56" s="1"/>
  <c r="V44" i="56" s="1"/>
  <c r="N40" i="56"/>
  <c r="N42" i="56" s="1"/>
  <c r="N44" i="56" s="1"/>
  <c r="F40" i="56"/>
  <c r="F42" i="56" s="1"/>
  <c r="F44" i="56" s="1"/>
  <c r="BA40" i="56"/>
  <c r="BA42" i="56" s="1"/>
  <c r="BA44" i="56" s="1"/>
  <c r="AS40" i="56"/>
  <c r="AS42" i="56" s="1"/>
  <c r="AS44" i="56" s="1"/>
  <c r="AK40" i="56"/>
  <c r="AK42" i="56" s="1"/>
  <c r="AK44" i="56" s="1"/>
  <c r="AC40" i="56"/>
  <c r="AC42" i="56" s="1"/>
  <c r="AC44" i="56" s="1"/>
  <c r="U40" i="56"/>
  <c r="U42" i="56" s="1"/>
  <c r="U44" i="56" s="1"/>
  <c r="M40" i="56"/>
  <c r="M42" i="56" s="1"/>
  <c r="M44" i="56" s="1"/>
  <c r="E40" i="56"/>
  <c r="E42" i="56" s="1"/>
  <c r="E44" i="56" s="1"/>
  <c r="AZ40" i="56"/>
  <c r="AZ42" i="56" s="1"/>
  <c r="AZ44" i="56" s="1"/>
  <c r="AR40" i="56"/>
  <c r="AR42" i="56" s="1"/>
  <c r="AR44" i="56" s="1"/>
  <c r="AJ40" i="56"/>
  <c r="AJ42" i="56" s="1"/>
  <c r="AJ44" i="56" s="1"/>
  <c r="AB40" i="56"/>
  <c r="AB42" i="56" s="1"/>
  <c r="AB44" i="56" s="1"/>
  <c r="T40" i="56"/>
  <c r="T42" i="56" s="1"/>
  <c r="T44" i="56" s="1"/>
  <c r="L40" i="56"/>
  <c r="L42" i="56" s="1"/>
  <c r="L44" i="56" s="1"/>
  <c r="AY40" i="56"/>
  <c r="AY42" i="56" s="1"/>
  <c r="AY44" i="56" s="1"/>
  <c r="AQ40" i="56"/>
  <c r="AQ42" i="56" s="1"/>
  <c r="AQ44" i="56" s="1"/>
  <c r="AI40" i="56"/>
  <c r="AI42" i="56" s="1"/>
  <c r="AI44" i="56" s="1"/>
  <c r="AA40" i="56"/>
  <c r="AA42" i="56" s="1"/>
  <c r="AA44" i="56" s="1"/>
  <c r="S40" i="56"/>
  <c r="S42" i="56" s="1"/>
  <c r="S44" i="56" s="1"/>
  <c r="K40" i="56"/>
  <c r="K42" i="56" s="1"/>
  <c r="K44" i="56" s="1"/>
  <c r="AX40" i="56"/>
  <c r="AX42" i="56" s="1"/>
  <c r="AX44" i="56" s="1"/>
  <c r="AP40" i="56"/>
  <c r="AP42" i="56" s="1"/>
  <c r="AP44" i="56" s="1"/>
  <c r="AH40" i="56"/>
  <c r="AH42" i="56" s="1"/>
  <c r="AH44" i="56" s="1"/>
  <c r="Z40" i="56"/>
  <c r="Z42" i="56" s="1"/>
  <c r="Z44" i="56" s="1"/>
  <c r="R40" i="56"/>
  <c r="R42" i="56" s="1"/>
  <c r="R44" i="56" s="1"/>
  <c r="J40" i="56"/>
  <c r="J42" i="56" s="1"/>
  <c r="J44" i="56" s="1"/>
  <c r="AW40" i="56"/>
  <c r="AW42" i="56" s="1"/>
  <c r="AW44" i="56" s="1"/>
  <c r="AO40" i="56"/>
  <c r="AO42" i="56" s="1"/>
  <c r="AO44" i="56" s="1"/>
  <c r="AG40" i="56"/>
  <c r="AG42" i="56" s="1"/>
  <c r="AG44" i="56" s="1"/>
  <c r="Y40" i="56"/>
  <c r="Y42" i="56" s="1"/>
  <c r="Y44" i="56" s="1"/>
  <c r="Q40" i="56"/>
  <c r="Q42" i="56" s="1"/>
  <c r="Q44" i="56" s="1"/>
  <c r="I40" i="56"/>
  <c r="I42" i="56" s="1"/>
  <c r="I44" i="56" s="1"/>
  <c r="AV40" i="56"/>
  <c r="AV42" i="56" s="1"/>
  <c r="AV44" i="56" s="1"/>
  <c r="AN40" i="56"/>
  <c r="AN42" i="56" s="1"/>
  <c r="AN44" i="56" s="1"/>
  <c r="H40" i="56"/>
  <c r="H42" i="56" s="1"/>
  <c r="H44" i="56" s="1"/>
  <c r="AF40" i="56"/>
  <c r="AF42" i="56" s="1"/>
  <c r="AF44" i="56" s="1"/>
  <c r="X40" i="56"/>
  <c r="X42" i="56" s="1"/>
  <c r="X44" i="56" s="1"/>
  <c r="P40" i="56"/>
  <c r="P42" i="56" s="1"/>
  <c r="P44" i="56" s="1"/>
  <c r="AA112" i="29"/>
  <c r="AL112" i="29"/>
  <c r="J112" i="29"/>
  <c r="U112" i="29"/>
  <c r="AF112" i="29"/>
  <c r="AM112" i="29"/>
  <c r="AW112" i="29"/>
  <c r="AD112" i="29"/>
  <c r="AZ112" i="29"/>
  <c r="AO112" i="29"/>
  <c r="P112" i="29"/>
  <c r="W112" i="29"/>
  <c r="N112" i="29"/>
  <c r="AR112" i="29"/>
  <c r="X112" i="29"/>
  <c r="AG112" i="29"/>
  <c r="AP112" i="29"/>
  <c r="BA112" i="29"/>
  <c r="AB112" i="29"/>
  <c r="G112" i="29"/>
  <c r="AX112" i="29"/>
  <c r="I112" i="29"/>
  <c r="R112" i="29"/>
  <c r="AT112" i="29"/>
  <c r="AS112" i="29"/>
  <c r="T112" i="29"/>
  <c r="AQ112" i="29"/>
  <c r="H112" i="29"/>
  <c r="AJ112" i="29"/>
  <c r="AV112" i="29"/>
  <c r="E112" i="29"/>
  <c r="S112" i="29"/>
  <c r="AK112" i="29"/>
  <c r="L112" i="29"/>
  <c r="AE112" i="29"/>
  <c r="F112" i="29"/>
  <c r="K112" i="29"/>
  <c r="Y112" i="29"/>
  <c r="AY112" i="29"/>
  <c r="AH112" i="29"/>
  <c r="Z112" i="29"/>
  <c r="AN112" i="29"/>
  <c r="AU112" i="29"/>
  <c r="BB112" i="29"/>
  <c r="AC112" i="29"/>
  <c r="M112" i="29"/>
  <c r="Q112" i="29"/>
  <c r="AI112" i="29"/>
  <c r="O112" i="29"/>
  <c r="V112" i="29"/>
  <c r="AU26" i="29"/>
  <c r="AU28" i="29" s="1"/>
  <c r="AM26" i="29"/>
  <c r="AM28" i="29" s="1"/>
  <c r="AE26" i="29"/>
  <c r="AE28" i="29" s="1"/>
  <c r="W26" i="29"/>
  <c r="W28" i="29" s="1"/>
  <c r="O26" i="29"/>
  <c r="O28" i="29" s="1"/>
  <c r="G26" i="29"/>
  <c r="G28" i="29" s="1"/>
  <c r="BB26" i="29"/>
  <c r="BB28" i="29" s="1"/>
  <c r="AT26" i="29"/>
  <c r="AT28" i="29" s="1"/>
  <c r="AL26" i="29"/>
  <c r="AL28" i="29" s="1"/>
  <c r="AD26" i="29"/>
  <c r="AD28" i="29" s="1"/>
  <c r="V26" i="29"/>
  <c r="V28" i="29" s="1"/>
  <c r="N26" i="29"/>
  <c r="N28" i="29" s="1"/>
  <c r="F26" i="29"/>
  <c r="F28" i="29" s="1"/>
  <c r="AS26" i="29"/>
  <c r="AS28" i="29" s="1"/>
  <c r="AC26" i="29"/>
  <c r="AC28" i="29" s="1"/>
  <c r="U26" i="29"/>
  <c r="U28" i="29" s="1"/>
  <c r="E26" i="29"/>
  <c r="E28" i="29" s="1"/>
  <c r="E29" i="29" s="1"/>
  <c r="BA26" i="29"/>
  <c r="BA28" i="29" s="1"/>
  <c r="AK26" i="29"/>
  <c r="AK28" i="29" s="1"/>
  <c r="M26" i="29"/>
  <c r="M28" i="29" s="1"/>
  <c r="AZ26" i="29"/>
  <c r="AZ28" i="29" s="1"/>
  <c r="AR26" i="29"/>
  <c r="AR28" i="29" s="1"/>
  <c r="AJ26" i="29"/>
  <c r="AJ28" i="29" s="1"/>
  <c r="AB26" i="29"/>
  <c r="AB28" i="29" s="1"/>
  <c r="T26" i="29"/>
  <c r="T28" i="29" s="1"/>
  <c r="L26" i="29"/>
  <c r="L28" i="29" s="1"/>
  <c r="P26" i="29"/>
  <c r="P28" i="29" s="1"/>
  <c r="AY26" i="29"/>
  <c r="AY28" i="29" s="1"/>
  <c r="AQ26" i="29"/>
  <c r="AQ28" i="29" s="1"/>
  <c r="AI26" i="29"/>
  <c r="AI28" i="29" s="1"/>
  <c r="AA26" i="29"/>
  <c r="AA28" i="29" s="1"/>
  <c r="S26" i="29"/>
  <c r="S28" i="29" s="1"/>
  <c r="K26" i="29"/>
  <c r="K28" i="29" s="1"/>
  <c r="AV26" i="29"/>
  <c r="AV28" i="29" s="1"/>
  <c r="X26" i="29"/>
  <c r="X28" i="29" s="1"/>
  <c r="AX26" i="29"/>
  <c r="AX28" i="29" s="1"/>
  <c r="AP26" i="29"/>
  <c r="AP28" i="29" s="1"/>
  <c r="AH26" i="29"/>
  <c r="AH28" i="29" s="1"/>
  <c r="Z26" i="29"/>
  <c r="Z28" i="29" s="1"/>
  <c r="R26" i="29"/>
  <c r="R28" i="29" s="1"/>
  <c r="J26" i="29"/>
  <c r="J28" i="29" s="1"/>
  <c r="AF26" i="29"/>
  <c r="AF28" i="29" s="1"/>
  <c r="AW26" i="29"/>
  <c r="AW28" i="29" s="1"/>
  <c r="AO26" i="29"/>
  <c r="AO28" i="29" s="1"/>
  <c r="AG26" i="29"/>
  <c r="AG28" i="29" s="1"/>
  <c r="Y26" i="29"/>
  <c r="Y28" i="29" s="1"/>
  <c r="Q26" i="29"/>
  <c r="Q28" i="29" s="1"/>
  <c r="I26" i="29"/>
  <c r="I28" i="29" s="1"/>
  <c r="AN26" i="29"/>
  <c r="AN28" i="29" s="1"/>
  <c r="H26" i="29"/>
  <c r="H28" i="29" s="1"/>
  <c r="AO10" i="29"/>
  <c r="AO12" i="29" s="1"/>
  <c r="AV10" i="29"/>
  <c r="AV12" i="29" s="1"/>
  <c r="AN10" i="29"/>
  <c r="AN12" i="29" s="1"/>
  <c r="AF10" i="29"/>
  <c r="AF12" i="29" s="1"/>
  <c r="X10" i="29"/>
  <c r="X12" i="29" s="1"/>
  <c r="P10" i="29"/>
  <c r="P12" i="29" s="1"/>
  <c r="H10" i="29"/>
  <c r="H12" i="29" s="1"/>
  <c r="AM10" i="29"/>
  <c r="AM12" i="29" s="1"/>
  <c r="AU10" i="29"/>
  <c r="AU12" i="29" s="1"/>
  <c r="G10" i="29"/>
  <c r="G12" i="29" s="1"/>
  <c r="BB10" i="29"/>
  <c r="BB12" i="29" s="1"/>
  <c r="AT10" i="29"/>
  <c r="AT12" i="29" s="1"/>
  <c r="AL10" i="29"/>
  <c r="AL12" i="29" s="1"/>
  <c r="AD10" i="29"/>
  <c r="AD12" i="29" s="1"/>
  <c r="V10" i="29"/>
  <c r="V12" i="29" s="1"/>
  <c r="N10" i="29"/>
  <c r="N12" i="29" s="1"/>
  <c r="F10" i="29"/>
  <c r="F12" i="29" s="1"/>
  <c r="AX10" i="29"/>
  <c r="AX12" i="29" s="1"/>
  <c r="J10" i="29"/>
  <c r="J12" i="29" s="1"/>
  <c r="I10" i="29"/>
  <c r="I12" i="29" s="1"/>
  <c r="BA10" i="29"/>
  <c r="BA12" i="29" s="1"/>
  <c r="AS10" i="29"/>
  <c r="AS12" i="29" s="1"/>
  <c r="AK10" i="29"/>
  <c r="AK12" i="29" s="1"/>
  <c r="AC10" i="29"/>
  <c r="AC12" i="29" s="1"/>
  <c r="U10" i="29"/>
  <c r="U12" i="29" s="1"/>
  <c r="M10" i="29"/>
  <c r="M12" i="29" s="1"/>
  <c r="E10" i="29"/>
  <c r="E12" i="29" s="1"/>
  <c r="E13" i="29" s="1"/>
  <c r="Z10" i="29"/>
  <c r="Z12" i="29" s="1"/>
  <c r="Y10" i="29"/>
  <c r="Y12" i="29" s="1"/>
  <c r="AE10" i="29"/>
  <c r="AE12" i="29" s="1"/>
  <c r="AZ10" i="29"/>
  <c r="AZ12" i="29" s="1"/>
  <c r="AR10" i="29"/>
  <c r="AR12" i="29" s="1"/>
  <c r="AJ10" i="29"/>
  <c r="AJ12" i="29" s="1"/>
  <c r="AB10" i="29"/>
  <c r="AB12" i="29" s="1"/>
  <c r="T10" i="29"/>
  <c r="T12" i="29" s="1"/>
  <c r="L10" i="29"/>
  <c r="L12" i="29" s="1"/>
  <c r="AH10" i="29"/>
  <c r="AH12" i="29" s="1"/>
  <c r="AG10" i="29"/>
  <c r="AG12" i="29" s="1"/>
  <c r="O10" i="29"/>
  <c r="O12" i="29" s="1"/>
  <c r="AY10" i="29"/>
  <c r="AY12" i="29" s="1"/>
  <c r="AQ10" i="29"/>
  <c r="AQ12" i="29" s="1"/>
  <c r="AI10" i="29"/>
  <c r="AI12" i="29" s="1"/>
  <c r="AA10" i="29"/>
  <c r="AA12" i="29" s="1"/>
  <c r="S10" i="29"/>
  <c r="S12" i="29" s="1"/>
  <c r="K10" i="29"/>
  <c r="K12" i="29" s="1"/>
  <c r="AP10" i="29"/>
  <c r="AP12" i="29" s="1"/>
  <c r="R10" i="29"/>
  <c r="R12" i="29" s="1"/>
  <c r="AW10" i="29"/>
  <c r="AW12" i="29" s="1"/>
  <c r="Q10" i="29"/>
  <c r="Q12" i="29" s="1"/>
  <c r="W10" i="29"/>
  <c r="W12" i="29" s="1"/>
  <c r="AV40" i="29"/>
  <c r="AV42" i="29" s="1"/>
  <c r="AV44" i="29" s="1"/>
  <c r="AN40" i="29"/>
  <c r="AN42" i="29" s="1"/>
  <c r="AN44" i="29" s="1"/>
  <c r="AF40" i="29"/>
  <c r="AF42" i="29" s="1"/>
  <c r="AF44" i="29" s="1"/>
  <c r="X40" i="29"/>
  <c r="X42" i="29" s="1"/>
  <c r="X44" i="29" s="1"/>
  <c r="P40" i="29"/>
  <c r="P42" i="29" s="1"/>
  <c r="P44" i="29" s="1"/>
  <c r="H40" i="29"/>
  <c r="H42" i="29" s="1"/>
  <c r="H44" i="29" s="1"/>
  <c r="AU40" i="29"/>
  <c r="AU42" i="29" s="1"/>
  <c r="AU44" i="29" s="1"/>
  <c r="AM40" i="29"/>
  <c r="AM42" i="29" s="1"/>
  <c r="AM44" i="29" s="1"/>
  <c r="AE40" i="29"/>
  <c r="AE42" i="29" s="1"/>
  <c r="AE44" i="29" s="1"/>
  <c r="W40" i="29"/>
  <c r="W42" i="29" s="1"/>
  <c r="W44" i="29" s="1"/>
  <c r="O40" i="29"/>
  <c r="O42" i="29" s="1"/>
  <c r="O44" i="29" s="1"/>
  <c r="G40" i="29"/>
  <c r="G42" i="29" s="1"/>
  <c r="G44" i="29" s="1"/>
  <c r="AT40" i="29"/>
  <c r="AT42" i="29" s="1"/>
  <c r="AT44" i="29" s="1"/>
  <c r="V40" i="29"/>
  <c r="V42" i="29" s="1"/>
  <c r="V44" i="29" s="1"/>
  <c r="F40" i="29"/>
  <c r="F42" i="29" s="1"/>
  <c r="F44" i="29" s="1"/>
  <c r="BB40" i="29"/>
  <c r="BB42" i="29" s="1"/>
  <c r="BB44" i="29" s="1"/>
  <c r="AL40" i="29"/>
  <c r="AL42" i="29" s="1"/>
  <c r="AL44" i="29" s="1"/>
  <c r="AD40" i="29"/>
  <c r="AD42" i="29" s="1"/>
  <c r="AD44" i="29" s="1"/>
  <c r="N40" i="29"/>
  <c r="N42" i="29" s="1"/>
  <c r="N44" i="29" s="1"/>
  <c r="BA40" i="29"/>
  <c r="BA42" i="29" s="1"/>
  <c r="BA44" i="29" s="1"/>
  <c r="AS40" i="29"/>
  <c r="AS42" i="29" s="1"/>
  <c r="AS44" i="29" s="1"/>
  <c r="AK40" i="29"/>
  <c r="AK42" i="29" s="1"/>
  <c r="AK44" i="29" s="1"/>
  <c r="AC40" i="29"/>
  <c r="AC42" i="29" s="1"/>
  <c r="AC44" i="29" s="1"/>
  <c r="U40" i="29"/>
  <c r="U42" i="29" s="1"/>
  <c r="U44" i="29" s="1"/>
  <c r="M40" i="29"/>
  <c r="M42" i="29" s="1"/>
  <c r="M44" i="29" s="1"/>
  <c r="E40" i="29"/>
  <c r="E42" i="29" s="1"/>
  <c r="E44" i="29" s="1"/>
  <c r="E45" i="29" s="1"/>
  <c r="I40" i="29"/>
  <c r="I42" i="29" s="1"/>
  <c r="I44" i="29" s="1"/>
  <c r="AZ40" i="29"/>
  <c r="AZ42" i="29" s="1"/>
  <c r="AZ44" i="29" s="1"/>
  <c r="AR40" i="29"/>
  <c r="AR42" i="29" s="1"/>
  <c r="AR44" i="29" s="1"/>
  <c r="AJ40" i="29"/>
  <c r="AJ42" i="29" s="1"/>
  <c r="AJ44" i="29" s="1"/>
  <c r="AB40" i="29"/>
  <c r="AB42" i="29" s="1"/>
  <c r="AB44" i="29" s="1"/>
  <c r="T40" i="29"/>
  <c r="T42" i="29" s="1"/>
  <c r="T44" i="29" s="1"/>
  <c r="L40" i="29"/>
  <c r="L42" i="29" s="1"/>
  <c r="L44" i="29" s="1"/>
  <c r="AY40" i="29"/>
  <c r="AY42" i="29" s="1"/>
  <c r="AY44" i="29" s="1"/>
  <c r="AQ40" i="29"/>
  <c r="AQ42" i="29" s="1"/>
  <c r="AQ44" i="29" s="1"/>
  <c r="AI40" i="29"/>
  <c r="AI42" i="29" s="1"/>
  <c r="AI44" i="29" s="1"/>
  <c r="AA40" i="29"/>
  <c r="AA42" i="29" s="1"/>
  <c r="AA44" i="29" s="1"/>
  <c r="S40" i="29"/>
  <c r="S42" i="29" s="1"/>
  <c r="S44" i="29" s="1"/>
  <c r="K40" i="29"/>
  <c r="K42" i="29" s="1"/>
  <c r="K44" i="29" s="1"/>
  <c r="AX40" i="29"/>
  <c r="AX42" i="29" s="1"/>
  <c r="AX44" i="29" s="1"/>
  <c r="AP40" i="29"/>
  <c r="AP42" i="29" s="1"/>
  <c r="AP44" i="29" s="1"/>
  <c r="AH40" i="29"/>
  <c r="AH42" i="29" s="1"/>
  <c r="AH44" i="29" s="1"/>
  <c r="Z40" i="29"/>
  <c r="Z42" i="29" s="1"/>
  <c r="Z44" i="29" s="1"/>
  <c r="R40" i="29"/>
  <c r="R42" i="29" s="1"/>
  <c r="R44" i="29" s="1"/>
  <c r="J40" i="29"/>
  <c r="J42" i="29" s="1"/>
  <c r="J44" i="29" s="1"/>
  <c r="AW40" i="29"/>
  <c r="AW42" i="29" s="1"/>
  <c r="AW44" i="29" s="1"/>
  <c r="AO40" i="29"/>
  <c r="AO42" i="29" s="1"/>
  <c r="AO44" i="29" s="1"/>
  <c r="AG40" i="29"/>
  <c r="AG42" i="29" s="1"/>
  <c r="AG44" i="29" s="1"/>
  <c r="Y40" i="29"/>
  <c r="Y42" i="29" s="1"/>
  <c r="Y44" i="29" s="1"/>
  <c r="Q40" i="29"/>
  <c r="Q42" i="29" s="1"/>
  <c r="Q44" i="29" s="1"/>
  <c r="AY32" i="29"/>
  <c r="AY34" i="29" s="1"/>
  <c r="AY36" i="29" s="1"/>
  <c r="AQ32" i="29"/>
  <c r="AQ34" i="29" s="1"/>
  <c r="AQ36" i="29" s="1"/>
  <c r="AI32" i="29"/>
  <c r="AI34" i="29" s="1"/>
  <c r="AI36" i="29" s="1"/>
  <c r="AA32" i="29"/>
  <c r="AA34" i="29" s="1"/>
  <c r="AA36" i="29" s="1"/>
  <c r="S32" i="29"/>
  <c r="S34" i="29" s="1"/>
  <c r="S36" i="29" s="1"/>
  <c r="K32" i="29"/>
  <c r="K34" i="29" s="1"/>
  <c r="K36" i="29" s="1"/>
  <c r="AX32" i="29"/>
  <c r="AX34" i="29" s="1"/>
  <c r="AX36" i="29" s="1"/>
  <c r="AP32" i="29"/>
  <c r="AP34" i="29" s="1"/>
  <c r="AP36" i="29" s="1"/>
  <c r="AH32" i="29"/>
  <c r="AH34" i="29" s="1"/>
  <c r="AH36" i="29" s="1"/>
  <c r="Z32" i="29"/>
  <c r="Z34" i="29" s="1"/>
  <c r="Z36" i="29" s="1"/>
  <c r="R32" i="29"/>
  <c r="R34" i="29" s="1"/>
  <c r="R36" i="29" s="1"/>
  <c r="J32" i="29"/>
  <c r="J34" i="29" s="1"/>
  <c r="J36" i="29" s="1"/>
  <c r="AW32" i="29"/>
  <c r="AW34" i="29" s="1"/>
  <c r="AW36" i="29" s="1"/>
  <c r="Y32" i="29"/>
  <c r="Y34" i="29" s="1"/>
  <c r="Y36" i="29" s="1"/>
  <c r="I32" i="29"/>
  <c r="I34" i="29" s="1"/>
  <c r="I36" i="29" s="1"/>
  <c r="AO32" i="29"/>
  <c r="AO34" i="29" s="1"/>
  <c r="AO36" i="29" s="1"/>
  <c r="AG32" i="29"/>
  <c r="AG34" i="29" s="1"/>
  <c r="AG36" i="29" s="1"/>
  <c r="Q32" i="29"/>
  <c r="Q34" i="29" s="1"/>
  <c r="Q36" i="29" s="1"/>
  <c r="AV32" i="29"/>
  <c r="AV34" i="29" s="1"/>
  <c r="AV36" i="29" s="1"/>
  <c r="AN32" i="29"/>
  <c r="AN34" i="29" s="1"/>
  <c r="AN36" i="29" s="1"/>
  <c r="AF32" i="29"/>
  <c r="AF34" i="29" s="1"/>
  <c r="AF36" i="29" s="1"/>
  <c r="X32" i="29"/>
  <c r="X34" i="29" s="1"/>
  <c r="X36" i="29" s="1"/>
  <c r="P32" i="29"/>
  <c r="P34" i="29" s="1"/>
  <c r="P36" i="29" s="1"/>
  <c r="H32" i="29"/>
  <c r="H34" i="29" s="1"/>
  <c r="H36" i="29" s="1"/>
  <c r="AU32" i="29"/>
  <c r="AU34" i="29" s="1"/>
  <c r="AU36" i="29" s="1"/>
  <c r="AM32" i="29"/>
  <c r="AM34" i="29" s="1"/>
  <c r="AM36" i="29" s="1"/>
  <c r="AE32" i="29"/>
  <c r="AE34" i="29" s="1"/>
  <c r="AE36" i="29" s="1"/>
  <c r="W32" i="29"/>
  <c r="W34" i="29" s="1"/>
  <c r="W36" i="29" s="1"/>
  <c r="O32" i="29"/>
  <c r="O34" i="29" s="1"/>
  <c r="O36" i="29" s="1"/>
  <c r="G32" i="29"/>
  <c r="G34" i="29" s="1"/>
  <c r="G36" i="29" s="1"/>
  <c r="AZ32" i="29"/>
  <c r="AZ34" i="29" s="1"/>
  <c r="AZ36" i="29" s="1"/>
  <c r="L32" i="29"/>
  <c r="L34" i="29" s="1"/>
  <c r="L36" i="29" s="1"/>
  <c r="BB32" i="29"/>
  <c r="BB34" i="29" s="1"/>
  <c r="BB36" i="29" s="1"/>
  <c r="AT32" i="29"/>
  <c r="AT34" i="29" s="1"/>
  <c r="AT36" i="29" s="1"/>
  <c r="AL32" i="29"/>
  <c r="AL34" i="29" s="1"/>
  <c r="AL36" i="29" s="1"/>
  <c r="AD32" i="29"/>
  <c r="AD34" i="29" s="1"/>
  <c r="AD36" i="29" s="1"/>
  <c r="V32" i="29"/>
  <c r="V34" i="29" s="1"/>
  <c r="V36" i="29" s="1"/>
  <c r="N32" i="29"/>
  <c r="N34" i="29" s="1"/>
  <c r="N36" i="29" s="1"/>
  <c r="F32" i="29"/>
  <c r="F34" i="29" s="1"/>
  <c r="F36" i="29" s="1"/>
  <c r="AR32" i="29"/>
  <c r="AR34" i="29" s="1"/>
  <c r="AR36" i="29" s="1"/>
  <c r="AB32" i="29"/>
  <c r="AB34" i="29" s="1"/>
  <c r="AB36" i="29" s="1"/>
  <c r="BA32" i="29"/>
  <c r="BA34" i="29" s="1"/>
  <c r="BA36" i="29" s="1"/>
  <c r="AS32" i="29"/>
  <c r="AS34" i="29" s="1"/>
  <c r="AS36" i="29" s="1"/>
  <c r="AK32" i="29"/>
  <c r="AK34" i="29" s="1"/>
  <c r="AK36" i="29" s="1"/>
  <c r="AC32" i="29"/>
  <c r="AC34" i="29" s="1"/>
  <c r="AC36" i="29" s="1"/>
  <c r="U32" i="29"/>
  <c r="U34" i="29" s="1"/>
  <c r="U36" i="29" s="1"/>
  <c r="M32" i="29"/>
  <c r="M34" i="29" s="1"/>
  <c r="M36" i="29" s="1"/>
  <c r="E32" i="29"/>
  <c r="E34" i="29" s="1"/>
  <c r="E36" i="29" s="1"/>
  <c r="E37" i="29" s="1"/>
  <c r="AJ32" i="29"/>
  <c r="AJ34" i="29" s="1"/>
  <c r="AJ36" i="29" s="1"/>
  <c r="T32" i="29"/>
  <c r="T34" i="29" s="1"/>
  <c r="T36" i="29" s="1"/>
  <c r="AU18" i="29"/>
  <c r="AU20" i="29" s="1"/>
  <c r="O18" i="29"/>
  <c r="O20" i="29" s="1"/>
  <c r="BB18" i="29"/>
  <c r="BB20" i="29" s="1"/>
  <c r="AT18" i="29"/>
  <c r="AT20" i="29" s="1"/>
  <c r="AL18" i="29"/>
  <c r="AL20" i="29" s="1"/>
  <c r="AD18" i="29"/>
  <c r="AD20" i="29" s="1"/>
  <c r="V18" i="29"/>
  <c r="V20" i="29" s="1"/>
  <c r="N18" i="29"/>
  <c r="N20" i="29" s="1"/>
  <c r="F18" i="29"/>
  <c r="F20" i="29" s="1"/>
  <c r="AS18" i="29"/>
  <c r="AS20" i="29" s="1"/>
  <c r="AC18" i="29"/>
  <c r="AC20" i="29" s="1"/>
  <c r="M18" i="29"/>
  <c r="M20" i="29" s="1"/>
  <c r="BA18" i="29"/>
  <c r="BA20" i="29" s="1"/>
  <c r="AK18" i="29"/>
  <c r="AK20" i="29" s="1"/>
  <c r="U18" i="29"/>
  <c r="U20" i="29" s="1"/>
  <c r="E18" i="29"/>
  <c r="E20" i="29" s="1"/>
  <c r="E21" i="29" s="1"/>
  <c r="AZ18" i="29"/>
  <c r="AZ20" i="29" s="1"/>
  <c r="AR18" i="29"/>
  <c r="AR20" i="29" s="1"/>
  <c r="AJ18" i="29"/>
  <c r="AJ20" i="29" s="1"/>
  <c r="AB18" i="29"/>
  <c r="AB20" i="29" s="1"/>
  <c r="T18" i="29"/>
  <c r="T20" i="29" s="1"/>
  <c r="L18" i="29"/>
  <c r="L20" i="29" s="1"/>
  <c r="X18" i="29"/>
  <c r="X20" i="29" s="1"/>
  <c r="G18" i="29"/>
  <c r="G20" i="29" s="1"/>
  <c r="AY18" i="29"/>
  <c r="AY20" i="29" s="1"/>
  <c r="AQ18" i="29"/>
  <c r="AQ20" i="29" s="1"/>
  <c r="AI18" i="29"/>
  <c r="AI20" i="29" s="1"/>
  <c r="AA18" i="29"/>
  <c r="AA20" i="29" s="1"/>
  <c r="S18" i="29"/>
  <c r="S20" i="29" s="1"/>
  <c r="K18" i="29"/>
  <c r="K20" i="29" s="1"/>
  <c r="AF18" i="29"/>
  <c r="AF20" i="29" s="1"/>
  <c r="AE18" i="29"/>
  <c r="AE20" i="29" s="1"/>
  <c r="AX18" i="29"/>
  <c r="AX20" i="29" s="1"/>
  <c r="AP18" i="29"/>
  <c r="AP20" i="29" s="1"/>
  <c r="AH18" i="29"/>
  <c r="AH20" i="29" s="1"/>
  <c r="Z18" i="29"/>
  <c r="Z20" i="29" s="1"/>
  <c r="R18" i="29"/>
  <c r="R20" i="29" s="1"/>
  <c r="J18" i="29"/>
  <c r="J20" i="29" s="1"/>
  <c r="AV18" i="29"/>
  <c r="AV20" i="29" s="1"/>
  <c r="P18" i="29"/>
  <c r="P20" i="29" s="1"/>
  <c r="AM18" i="29"/>
  <c r="AM20" i="29" s="1"/>
  <c r="AW18" i="29"/>
  <c r="AW20" i="29" s="1"/>
  <c r="AO18" i="29"/>
  <c r="AO20" i="29" s="1"/>
  <c r="AG18" i="29"/>
  <c r="AG20" i="29" s="1"/>
  <c r="Y18" i="29"/>
  <c r="Y20" i="29" s="1"/>
  <c r="Q18" i="29"/>
  <c r="Q20" i="29" s="1"/>
  <c r="I18" i="29"/>
  <c r="I20" i="29" s="1"/>
  <c r="AN18" i="29"/>
  <c r="AN20" i="29" s="1"/>
  <c r="H18" i="29"/>
  <c r="H20" i="29" s="1"/>
  <c r="W18" i="29"/>
  <c r="W20" i="29" s="1"/>
  <c r="B30" i="13"/>
  <c r="E99" i="12"/>
  <c r="E100" i="12" s="1"/>
  <c r="C104" i="12"/>
  <c r="C105" i="12" s="1"/>
  <c r="C106" i="12" s="1"/>
  <c r="C107" i="12" s="1"/>
  <c r="C108" i="12" s="1"/>
  <c r="B104" i="12"/>
  <c r="B105" i="12" s="1"/>
  <c r="B106" i="12" s="1"/>
  <c r="B107" i="12" s="1"/>
  <c r="B108" i="12" s="1"/>
  <c r="C95" i="12"/>
  <c r="C96" i="12" s="1"/>
  <c r="C97" i="12" s="1"/>
  <c r="B48" i="12"/>
  <c r="C125" i="22"/>
  <c r="C124" i="22"/>
  <c r="E16" i="17"/>
  <c r="F16" i="17" s="1"/>
  <c r="G16" i="17" s="1"/>
  <c r="E19" i="17"/>
  <c r="E18" i="17"/>
  <c r="B56" i="17"/>
  <c r="B53" i="17"/>
  <c r="B54" i="17" s="1"/>
  <c r="B49" i="17"/>
  <c r="A17" i="17"/>
  <c r="A19" i="17"/>
  <c r="A18" i="17"/>
  <c r="A16" i="17"/>
  <c r="M16" i="17"/>
  <c r="M17" i="17"/>
  <c r="M18" i="17"/>
  <c r="M19" i="17"/>
  <c r="M20" i="17"/>
  <c r="E29" i="57" l="1"/>
  <c r="F29" i="57" s="1"/>
  <c r="G29" i="57" s="1"/>
  <c r="H29" i="57" s="1"/>
  <c r="I29" i="57" s="1"/>
  <c r="J29" i="57" s="1"/>
  <c r="K29" i="57" s="1"/>
  <c r="L29" i="57" s="1"/>
  <c r="M29" i="57" s="1"/>
  <c r="N29" i="57" s="1"/>
  <c r="O29" i="57" s="1"/>
  <c r="P29" i="57" s="1"/>
  <c r="Q29" i="57" s="1"/>
  <c r="R29" i="57" s="1"/>
  <c r="S29" i="57" s="1"/>
  <c r="T29" i="57" s="1"/>
  <c r="U29" i="57" s="1"/>
  <c r="V29" i="57" s="1"/>
  <c r="W29" i="57" s="1"/>
  <c r="X29" i="57" s="1"/>
  <c r="Y29" i="57" s="1"/>
  <c r="Z29" i="57" s="1"/>
  <c r="AA29" i="57" s="1"/>
  <c r="AB29" i="57" s="1"/>
  <c r="AC29" i="57" s="1"/>
  <c r="AD29" i="57" s="1"/>
  <c r="AE29" i="57" s="1"/>
  <c r="AF29" i="57" s="1"/>
  <c r="AG29" i="57" s="1"/>
  <c r="AH29" i="57" s="1"/>
  <c r="AI29" i="57" s="1"/>
  <c r="AJ29" i="57" s="1"/>
  <c r="AK29" i="57" s="1"/>
  <c r="AL29" i="57" s="1"/>
  <c r="AM29" i="57" s="1"/>
  <c r="AN29" i="57" s="1"/>
  <c r="AO29" i="57" s="1"/>
  <c r="AP29" i="57" s="1"/>
  <c r="AQ29" i="57" s="1"/>
  <c r="AR29" i="57" s="1"/>
  <c r="AS29" i="57" s="1"/>
  <c r="AT29" i="57" s="1"/>
  <c r="AU29" i="57" s="1"/>
  <c r="AV29" i="57" s="1"/>
  <c r="AW29" i="57" s="1"/>
  <c r="AX29" i="57" s="1"/>
  <c r="AY29" i="57" s="1"/>
  <c r="AZ29" i="57" s="1"/>
  <c r="BA29" i="57" s="1"/>
  <c r="BB29" i="57" s="1"/>
  <c r="D30" i="57"/>
  <c r="E13" i="56"/>
  <c r="F13" i="56" s="1"/>
  <c r="G13" i="56" s="1"/>
  <c r="H13" i="56" s="1"/>
  <c r="I13" i="56" s="1"/>
  <c r="J13" i="56" s="1"/>
  <c r="K13" i="56" s="1"/>
  <c r="L13" i="56" s="1"/>
  <c r="M13" i="56" s="1"/>
  <c r="N13" i="56" s="1"/>
  <c r="O13" i="56" s="1"/>
  <c r="P13" i="56" s="1"/>
  <c r="Q13" i="56" s="1"/>
  <c r="R13" i="56" s="1"/>
  <c r="S13" i="56" s="1"/>
  <c r="T13" i="56" s="1"/>
  <c r="U13" i="56" s="1"/>
  <c r="V13" i="56" s="1"/>
  <c r="W13" i="56" s="1"/>
  <c r="X13" i="56" s="1"/>
  <c r="Y13" i="56" s="1"/>
  <c r="Z13" i="56" s="1"/>
  <c r="AA13" i="56" s="1"/>
  <c r="AB13" i="56" s="1"/>
  <c r="AC13" i="56" s="1"/>
  <c r="AD13" i="56" s="1"/>
  <c r="AE13" i="56" s="1"/>
  <c r="AF13" i="56" s="1"/>
  <c r="AG13" i="56" s="1"/>
  <c r="AH13" i="56" s="1"/>
  <c r="AI13" i="56" s="1"/>
  <c r="AJ13" i="56" s="1"/>
  <c r="AK13" i="56" s="1"/>
  <c r="AL13" i="56" s="1"/>
  <c r="AM13" i="56" s="1"/>
  <c r="AN13" i="56" s="1"/>
  <c r="AO13" i="56" s="1"/>
  <c r="AP13" i="56" s="1"/>
  <c r="AQ13" i="56" s="1"/>
  <c r="AR13" i="56" s="1"/>
  <c r="AS13" i="56" s="1"/>
  <c r="AT13" i="56" s="1"/>
  <c r="AU13" i="56" s="1"/>
  <c r="AV13" i="56" s="1"/>
  <c r="AW13" i="56" s="1"/>
  <c r="AX13" i="56" s="1"/>
  <c r="AY13" i="56" s="1"/>
  <c r="AZ13" i="56" s="1"/>
  <c r="BA13" i="56" s="1"/>
  <c r="BB13" i="56" s="1"/>
  <c r="D14" i="56"/>
  <c r="E45" i="56"/>
  <c r="F45" i="56" s="1"/>
  <c r="G45" i="56" s="1"/>
  <c r="H45" i="56" s="1"/>
  <c r="I45" i="56" s="1"/>
  <c r="J45" i="56" s="1"/>
  <c r="K45" i="56" s="1"/>
  <c r="L45" i="56" s="1"/>
  <c r="M45" i="56" s="1"/>
  <c r="N45" i="56" s="1"/>
  <c r="O45" i="56" s="1"/>
  <c r="P45" i="56" s="1"/>
  <c r="Q45" i="56" s="1"/>
  <c r="R45" i="56" s="1"/>
  <c r="S45" i="56" s="1"/>
  <c r="T45" i="56" s="1"/>
  <c r="U45" i="56" s="1"/>
  <c r="V45" i="56" s="1"/>
  <c r="W45" i="56" s="1"/>
  <c r="X45" i="56" s="1"/>
  <c r="Y45" i="56" s="1"/>
  <c r="Z45" i="56" s="1"/>
  <c r="AA45" i="56" s="1"/>
  <c r="AB45" i="56" s="1"/>
  <c r="AC45" i="56" s="1"/>
  <c r="AD45" i="56" s="1"/>
  <c r="AE45" i="56" s="1"/>
  <c r="AF45" i="56" s="1"/>
  <c r="AG45" i="56" s="1"/>
  <c r="AH45" i="56" s="1"/>
  <c r="AI45" i="56" s="1"/>
  <c r="AJ45" i="56" s="1"/>
  <c r="AK45" i="56" s="1"/>
  <c r="AL45" i="56" s="1"/>
  <c r="AM45" i="56" s="1"/>
  <c r="AN45" i="56" s="1"/>
  <c r="AO45" i="56" s="1"/>
  <c r="AP45" i="56" s="1"/>
  <c r="AQ45" i="56" s="1"/>
  <c r="AR45" i="56" s="1"/>
  <c r="AS45" i="56" s="1"/>
  <c r="AT45" i="56" s="1"/>
  <c r="AU45" i="56" s="1"/>
  <c r="AV45" i="56" s="1"/>
  <c r="AW45" i="56" s="1"/>
  <c r="AX45" i="56" s="1"/>
  <c r="AY45" i="56" s="1"/>
  <c r="AZ45" i="56" s="1"/>
  <c r="BA45" i="56" s="1"/>
  <c r="BB45" i="56" s="1"/>
  <c r="D46" i="56"/>
  <c r="E109" i="56"/>
  <c r="F109" i="56" s="1"/>
  <c r="G109" i="56" s="1"/>
  <c r="H109" i="56" s="1"/>
  <c r="I109" i="56" s="1"/>
  <c r="J109" i="56" s="1"/>
  <c r="K109" i="56" s="1"/>
  <c r="L109" i="56" s="1"/>
  <c r="M109" i="56" s="1"/>
  <c r="N109" i="56" s="1"/>
  <c r="O109" i="56" s="1"/>
  <c r="P109" i="56" s="1"/>
  <c r="Q109" i="56" s="1"/>
  <c r="R109" i="56" s="1"/>
  <c r="S109" i="56" s="1"/>
  <c r="T109" i="56" s="1"/>
  <c r="U109" i="56" s="1"/>
  <c r="V109" i="56" s="1"/>
  <c r="W109" i="56" s="1"/>
  <c r="X109" i="56" s="1"/>
  <c r="Y109" i="56" s="1"/>
  <c r="Z109" i="56" s="1"/>
  <c r="AA109" i="56" s="1"/>
  <c r="AB109" i="56" s="1"/>
  <c r="AC109" i="56" s="1"/>
  <c r="AD109" i="56" s="1"/>
  <c r="AE109" i="56" s="1"/>
  <c r="AF109" i="56" s="1"/>
  <c r="AG109" i="56" s="1"/>
  <c r="AH109" i="56" s="1"/>
  <c r="AI109" i="56" s="1"/>
  <c r="AJ109" i="56" s="1"/>
  <c r="AK109" i="56" s="1"/>
  <c r="AL109" i="56" s="1"/>
  <c r="AM109" i="56" s="1"/>
  <c r="AN109" i="56" s="1"/>
  <c r="AO109" i="56" s="1"/>
  <c r="AP109" i="56" s="1"/>
  <c r="AQ109" i="56" s="1"/>
  <c r="AR109" i="56" s="1"/>
  <c r="AS109" i="56" s="1"/>
  <c r="AT109" i="56" s="1"/>
  <c r="AU109" i="56" s="1"/>
  <c r="AV109" i="56" s="1"/>
  <c r="AW109" i="56" s="1"/>
  <c r="AX109" i="56" s="1"/>
  <c r="AY109" i="56" s="1"/>
  <c r="AZ109" i="56" s="1"/>
  <c r="BA109" i="56" s="1"/>
  <c r="BB109" i="56" s="1"/>
  <c r="D110" i="56"/>
  <c r="D118" i="57"/>
  <c r="E117" i="57"/>
  <c r="F117" i="57" s="1"/>
  <c r="G117" i="57" s="1"/>
  <c r="H117" i="57" s="1"/>
  <c r="I117" i="57" s="1"/>
  <c r="J117" i="57" s="1"/>
  <c r="K117" i="57" s="1"/>
  <c r="L117" i="57" s="1"/>
  <c r="M117" i="57" s="1"/>
  <c r="N117" i="57" s="1"/>
  <c r="O117" i="57" s="1"/>
  <c r="P117" i="57" s="1"/>
  <c r="Q117" i="57" s="1"/>
  <c r="R117" i="57" s="1"/>
  <c r="S117" i="57" s="1"/>
  <c r="T117" i="57" s="1"/>
  <c r="U117" i="57" s="1"/>
  <c r="V117" i="57" s="1"/>
  <c r="W117" i="57" s="1"/>
  <c r="X117" i="57" s="1"/>
  <c r="Y117" i="57" s="1"/>
  <c r="Z117" i="57" s="1"/>
  <c r="AA117" i="57" s="1"/>
  <c r="AB117" i="57" s="1"/>
  <c r="AC117" i="57" s="1"/>
  <c r="AD117" i="57" s="1"/>
  <c r="AE117" i="57" s="1"/>
  <c r="AF117" i="57" s="1"/>
  <c r="AG117" i="57" s="1"/>
  <c r="AH117" i="57" s="1"/>
  <c r="AI117" i="57" s="1"/>
  <c r="AJ117" i="57" s="1"/>
  <c r="AK117" i="57" s="1"/>
  <c r="AL117" i="57" s="1"/>
  <c r="AM117" i="57" s="1"/>
  <c r="AN117" i="57" s="1"/>
  <c r="AO117" i="57" s="1"/>
  <c r="AP117" i="57" s="1"/>
  <c r="AQ117" i="57" s="1"/>
  <c r="AR117" i="57" s="1"/>
  <c r="AS117" i="57" s="1"/>
  <c r="AT117" i="57" s="1"/>
  <c r="AU117" i="57" s="1"/>
  <c r="AV117" i="57" s="1"/>
  <c r="AW117" i="57" s="1"/>
  <c r="AX117" i="57" s="1"/>
  <c r="AY117" i="57" s="1"/>
  <c r="AZ117" i="57" s="1"/>
  <c r="BA117" i="57" s="1"/>
  <c r="BB117" i="57" s="1"/>
  <c r="E21" i="56"/>
  <c r="F21" i="56" s="1"/>
  <c r="G21" i="56" s="1"/>
  <c r="H21" i="56" s="1"/>
  <c r="I21" i="56" s="1"/>
  <c r="J21" i="56" s="1"/>
  <c r="K21" i="56" s="1"/>
  <c r="L21" i="56" s="1"/>
  <c r="M21" i="56" s="1"/>
  <c r="N21" i="56" s="1"/>
  <c r="O21" i="56" s="1"/>
  <c r="P21" i="56" s="1"/>
  <c r="Q21" i="56" s="1"/>
  <c r="R21" i="56" s="1"/>
  <c r="S21" i="56" s="1"/>
  <c r="T21" i="56" s="1"/>
  <c r="U21" i="56" s="1"/>
  <c r="V21" i="56" s="1"/>
  <c r="W21" i="56" s="1"/>
  <c r="X21" i="56" s="1"/>
  <c r="Y21" i="56" s="1"/>
  <c r="Z21" i="56" s="1"/>
  <c r="AA21" i="56" s="1"/>
  <c r="AB21" i="56" s="1"/>
  <c r="AC21" i="56" s="1"/>
  <c r="AD21" i="56" s="1"/>
  <c r="AE21" i="56" s="1"/>
  <c r="AF21" i="56" s="1"/>
  <c r="AG21" i="56" s="1"/>
  <c r="AH21" i="56" s="1"/>
  <c r="AI21" i="56" s="1"/>
  <c r="AJ21" i="56" s="1"/>
  <c r="AK21" i="56" s="1"/>
  <c r="AL21" i="56" s="1"/>
  <c r="AM21" i="56" s="1"/>
  <c r="AN21" i="56" s="1"/>
  <c r="AO21" i="56" s="1"/>
  <c r="AP21" i="56" s="1"/>
  <c r="AQ21" i="56" s="1"/>
  <c r="AR21" i="56" s="1"/>
  <c r="AS21" i="56" s="1"/>
  <c r="AT21" i="56" s="1"/>
  <c r="AU21" i="56" s="1"/>
  <c r="AV21" i="56" s="1"/>
  <c r="AW21" i="56" s="1"/>
  <c r="AX21" i="56" s="1"/>
  <c r="AY21" i="56" s="1"/>
  <c r="AZ21" i="56" s="1"/>
  <c r="BA21" i="56" s="1"/>
  <c r="BB21" i="56" s="1"/>
  <c r="D22" i="56"/>
  <c r="E45" i="57"/>
  <c r="F45" i="57" s="1"/>
  <c r="G45" i="57" s="1"/>
  <c r="H45" i="57" s="1"/>
  <c r="I45" i="57" s="1"/>
  <c r="J45" i="57" s="1"/>
  <c r="K45" i="57" s="1"/>
  <c r="L45" i="57" s="1"/>
  <c r="M45" i="57" s="1"/>
  <c r="N45" i="57" s="1"/>
  <c r="O45" i="57" s="1"/>
  <c r="P45" i="57" s="1"/>
  <c r="Q45" i="57" s="1"/>
  <c r="R45" i="57" s="1"/>
  <c r="S45" i="57" s="1"/>
  <c r="T45" i="57" s="1"/>
  <c r="U45" i="57" s="1"/>
  <c r="V45" i="57" s="1"/>
  <c r="W45" i="57" s="1"/>
  <c r="X45" i="57" s="1"/>
  <c r="Y45" i="57" s="1"/>
  <c r="Z45" i="57" s="1"/>
  <c r="AA45" i="57" s="1"/>
  <c r="AB45" i="57" s="1"/>
  <c r="AC45" i="57" s="1"/>
  <c r="AD45" i="57" s="1"/>
  <c r="AE45" i="57" s="1"/>
  <c r="AF45" i="57" s="1"/>
  <c r="AG45" i="57" s="1"/>
  <c r="AH45" i="57" s="1"/>
  <c r="AI45" i="57" s="1"/>
  <c r="AJ45" i="57" s="1"/>
  <c r="AK45" i="57" s="1"/>
  <c r="AL45" i="57" s="1"/>
  <c r="AM45" i="57" s="1"/>
  <c r="AN45" i="57" s="1"/>
  <c r="AO45" i="57" s="1"/>
  <c r="AP45" i="57" s="1"/>
  <c r="AQ45" i="57" s="1"/>
  <c r="AR45" i="57" s="1"/>
  <c r="AS45" i="57" s="1"/>
  <c r="AT45" i="57" s="1"/>
  <c r="AU45" i="57" s="1"/>
  <c r="AV45" i="57" s="1"/>
  <c r="AW45" i="57" s="1"/>
  <c r="AX45" i="57" s="1"/>
  <c r="AY45" i="57" s="1"/>
  <c r="AZ45" i="57" s="1"/>
  <c r="BA45" i="57" s="1"/>
  <c r="BB45" i="57" s="1"/>
  <c r="D46" i="57"/>
  <c r="E29" i="56"/>
  <c r="F29" i="56" s="1"/>
  <c r="G29" i="56" s="1"/>
  <c r="H29" i="56" s="1"/>
  <c r="I29" i="56" s="1"/>
  <c r="J29" i="56" s="1"/>
  <c r="K29" i="56" s="1"/>
  <c r="L29" i="56" s="1"/>
  <c r="M29" i="56" s="1"/>
  <c r="N29" i="56" s="1"/>
  <c r="O29" i="56" s="1"/>
  <c r="P29" i="56" s="1"/>
  <c r="Q29" i="56" s="1"/>
  <c r="R29" i="56" s="1"/>
  <c r="S29" i="56" s="1"/>
  <c r="T29" i="56" s="1"/>
  <c r="U29" i="56" s="1"/>
  <c r="V29" i="56" s="1"/>
  <c r="W29" i="56" s="1"/>
  <c r="X29" i="56" s="1"/>
  <c r="Y29" i="56" s="1"/>
  <c r="Z29" i="56" s="1"/>
  <c r="AA29" i="56" s="1"/>
  <c r="AB29" i="56" s="1"/>
  <c r="AC29" i="56" s="1"/>
  <c r="AD29" i="56" s="1"/>
  <c r="AE29" i="56" s="1"/>
  <c r="AF29" i="56" s="1"/>
  <c r="AG29" i="56" s="1"/>
  <c r="AH29" i="56" s="1"/>
  <c r="AI29" i="56" s="1"/>
  <c r="AJ29" i="56" s="1"/>
  <c r="AK29" i="56" s="1"/>
  <c r="AL29" i="56" s="1"/>
  <c r="AM29" i="56" s="1"/>
  <c r="AN29" i="56" s="1"/>
  <c r="AO29" i="56" s="1"/>
  <c r="AP29" i="56" s="1"/>
  <c r="AQ29" i="56" s="1"/>
  <c r="AR29" i="56" s="1"/>
  <c r="AS29" i="56" s="1"/>
  <c r="AT29" i="56" s="1"/>
  <c r="AU29" i="56" s="1"/>
  <c r="AV29" i="56" s="1"/>
  <c r="AW29" i="56" s="1"/>
  <c r="AX29" i="56" s="1"/>
  <c r="AY29" i="56" s="1"/>
  <c r="AZ29" i="56" s="1"/>
  <c r="BA29" i="56" s="1"/>
  <c r="BB29" i="56" s="1"/>
  <c r="D30" i="56"/>
  <c r="D14" i="57"/>
  <c r="E13" i="57"/>
  <c r="F13" i="57" s="1"/>
  <c r="G13" i="57" s="1"/>
  <c r="H13" i="57" s="1"/>
  <c r="I13" i="57" s="1"/>
  <c r="J13" i="57" s="1"/>
  <c r="K13" i="57" s="1"/>
  <c r="L13" i="57" s="1"/>
  <c r="M13" i="57" s="1"/>
  <c r="N13" i="57" s="1"/>
  <c r="O13" i="57" s="1"/>
  <c r="P13" i="57" s="1"/>
  <c r="Q13" i="57" s="1"/>
  <c r="R13" i="57" s="1"/>
  <c r="S13" i="57" s="1"/>
  <c r="T13" i="57" s="1"/>
  <c r="U13" i="57" s="1"/>
  <c r="V13" i="57" s="1"/>
  <c r="W13" i="57" s="1"/>
  <c r="X13" i="57" s="1"/>
  <c r="Y13" i="57" s="1"/>
  <c r="Z13" i="57" s="1"/>
  <c r="AA13" i="57" s="1"/>
  <c r="AB13" i="57" s="1"/>
  <c r="AC13" i="57" s="1"/>
  <c r="AD13" i="57" s="1"/>
  <c r="AE13" i="57" s="1"/>
  <c r="AF13" i="57" s="1"/>
  <c r="AG13" i="57" s="1"/>
  <c r="AH13" i="57" s="1"/>
  <c r="AI13" i="57" s="1"/>
  <c r="AJ13" i="57" s="1"/>
  <c r="AK13" i="57" s="1"/>
  <c r="AL13" i="57" s="1"/>
  <c r="AM13" i="57" s="1"/>
  <c r="AN13" i="57" s="1"/>
  <c r="AO13" i="57" s="1"/>
  <c r="AP13" i="57" s="1"/>
  <c r="AQ13" i="57" s="1"/>
  <c r="AR13" i="57" s="1"/>
  <c r="AS13" i="57" s="1"/>
  <c r="AT13" i="57" s="1"/>
  <c r="AU13" i="57" s="1"/>
  <c r="AV13" i="57" s="1"/>
  <c r="AW13" i="57" s="1"/>
  <c r="AX13" i="57" s="1"/>
  <c r="AY13" i="57" s="1"/>
  <c r="AZ13" i="57" s="1"/>
  <c r="BA13" i="57" s="1"/>
  <c r="BB13" i="57" s="1"/>
  <c r="E21" i="57"/>
  <c r="F21" i="57" s="1"/>
  <c r="G21" i="57" s="1"/>
  <c r="H21" i="57" s="1"/>
  <c r="I21" i="57" s="1"/>
  <c r="J21" i="57" s="1"/>
  <c r="K21" i="57" s="1"/>
  <c r="L21" i="57" s="1"/>
  <c r="M21" i="57" s="1"/>
  <c r="N21" i="57" s="1"/>
  <c r="O21" i="57" s="1"/>
  <c r="P21" i="57" s="1"/>
  <c r="Q21" i="57" s="1"/>
  <c r="R21" i="57" s="1"/>
  <c r="S21" i="57" s="1"/>
  <c r="T21" i="57" s="1"/>
  <c r="U21" i="57" s="1"/>
  <c r="V21" i="57" s="1"/>
  <c r="W21" i="57" s="1"/>
  <c r="X21" i="57" s="1"/>
  <c r="Y21" i="57" s="1"/>
  <c r="Z21" i="57" s="1"/>
  <c r="AA21" i="57" s="1"/>
  <c r="AB21" i="57" s="1"/>
  <c r="AC21" i="57" s="1"/>
  <c r="AD21" i="57" s="1"/>
  <c r="AE21" i="57" s="1"/>
  <c r="AF21" i="57" s="1"/>
  <c r="AG21" i="57" s="1"/>
  <c r="AH21" i="57" s="1"/>
  <c r="AI21" i="57" s="1"/>
  <c r="AJ21" i="57" s="1"/>
  <c r="AK21" i="57" s="1"/>
  <c r="AL21" i="57" s="1"/>
  <c r="AM21" i="57" s="1"/>
  <c r="AN21" i="57" s="1"/>
  <c r="AO21" i="57" s="1"/>
  <c r="AP21" i="57" s="1"/>
  <c r="AQ21" i="57" s="1"/>
  <c r="AR21" i="57" s="1"/>
  <c r="AS21" i="57" s="1"/>
  <c r="AT21" i="57" s="1"/>
  <c r="AU21" i="57" s="1"/>
  <c r="AV21" i="57" s="1"/>
  <c r="AW21" i="57" s="1"/>
  <c r="AX21" i="57" s="1"/>
  <c r="AY21" i="57" s="1"/>
  <c r="AZ21" i="57" s="1"/>
  <c r="BA21" i="57" s="1"/>
  <c r="BB21" i="57" s="1"/>
  <c r="D22" i="57"/>
  <c r="E37" i="56"/>
  <c r="D38" i="56"/>
  <c r="D38" i="57"/>
  <c r="E37" i="57"/>
  <c r="F37" i="57" s="1"/>
  <c r="G37" i="57" s="1"/>
  <c r="H37" i="57" s="1"/>
  <c r="I37" i="57" s="1"/>
  <c r="J37" i="57" s="1"/>
  <c r="K37" i="57" s="1"/>
  <c r="L37" i="57" s="1"/>
  <c r="M37" i="57" s="1"/>
  <c r="N37" i="57" s="1"/>
  <c r="O37" i="57" s="1"/>
  <c r="P37" i="57" s="1"/>
  <c r="Q37" i="57" s="1"/>
  <c r="R37" i="57" s="1"/>
  <c r="S37" i="57" s="1"/>
  <c r="T37" i="57" s="1"/>
  <c r="U37" i="57" s="1"/>
  <c r="V37" i="57" s="1"/>
  <c r="W37" i="57" s="1"/>
  <c r="X37" i="57" s="1"/>
  <c r="Y37" i="57" s="1"/>
  <c r="Z37" i="57" s="1"/>
  <c r="AA37" i="57" s="1"/>
  <c r="AB37" i="57" s="1"/>
  <c r="AC37" i="57" s="1"/>
  <c r="AD37" i="57" s="1"/>
  <c r="AE37" i="57" s="1"/>
  <c r="AF37" i="57" s="1"/>
  <c r="AG37" i="57" s="1"/>
  <c r="AH37" i="57" s="1"/>
  <c r="AI37" i="57" s="1"/>
  <c r="AJ37" i="57" s="1"/>
  <c r="AK37" i="57" s="1"/>
  <c r="AL37" i="57" s="1"/>
  <c r="AM37" i="57" s="1"/>
  <c r="AN37" i="57" s="1"/>
  <c r="AO37" i="57" s="1"/>
  <c r="AP37" i="57" s="1"/>
  <c r="AQ37" i="57" s="1"/>
  <c r="AR37" i="57" s="1"/>
  <c r="AS37" i="57" s="1"/>
  <c r="AT37" i="57" s="1"/>
  <c r="AU37" i="57" s="1"/>
  <c r="AV37" i="57" s="1"/>
  <c r="AW37" i="57" s="1"/>
  <c r="AX37" i="57" s="1"/>
  <c r="AY37" i="57" s="1"/>
  <c r="AZ37" i="57" s="1"/>
  <c r="BA37" i="57" s="1"/>
  <c r="BB37" i="57" s="1"/>
  <c r="D114" i="29"/>
  <c r="D116" i="29" s="1"/>
  <c r="D117" i="29" s="1"/>
  <c r="F45" i="29"/>
  <c r="G45" i="29" s="1"/>
  <c r="H45" i="29" s="1"/>
  <c r="I45" i="29" s="1"/>
  <c r="J45" i="29" s="1"/>
  <c r="K45" i="29" s="1"/>
  <c r="L45" i="29" s="1"/>
  <c r="M45" i="29" s="1"/>
  <c r="N45" i="29" s="1"/>
  <c r="O45" i="29" s="1"/>
  <c r="P45" i="29" s="1"/>
  <c r="Q45" i="29" s="1"/>
  <c r="R45" i="29" s="1"/>
  <c r="S45" i="29" s="1"/>
  <c r="T45" i="29" s="1"/>
  <c r="U45" i="29" s="1"/>
  <c r="V45" i="29" s="1"/>
  <c r="W45" i="29" s="1"/>
  <c r="X45" i="29" s="1"/>
  <c r="Y45" i="29" s="1"/>
  <c r="Z45" i="29" s="1"/>
  <c r="AA45" i="29" s="1"/>
  <c r="AB45" i="29" s="1"/>
  <c r="AC45" i="29" s="1"/>
  <c r="AD45" i="29" s="1"/>
  <c r="AE45" i="29" s="1"/>
  <c r="AF45" i="29" s="1"/>
  <c r="AG45" i="29" s="1"/>
  <c r="AH45" i="29" s="1"/>
  <c r="AI45" i="29" s="1"/>
  <c r="AJ45" i="29" s="1"/>
  <c r="AK45" i="29" s="1"/>
  <c r="AL45" i="29" s="1"/>
  <c r="AM45" i="29" s="1"/>
  <c r="AN45" i="29" s="1"/>
  <c r="AO45" i="29" s="1"/>
  <c r="AP45" i="29" s="1"/>
  <c r="AQ45" i="29" s="1"/>
  <c r="AR45" i="29" s="1"/>
  <c r="AS45" i="29" s="1"/>
  <c r="AT45" i="29" s="1"/>
  <c r="AU45" i="29" s="1"/>
  <c r="AV45" i="29" s="1"/>
  <c r="AW45" i="29" s="1"/>
  <c r="AX45" i="29" s="1"/>
  <c r="AY45" i="29" s="1"/>
  <c r="AZ45" i="29" s="1"/>
  <c r="BA45" i="29" s="1"/>
  <c r="BB45" i="29" s="1"/>
  <c r="F37" i="29"/>
  <c r="F29" i="29"/>
  <c r="G29" i="29" s="1"/>
  <c r="H29" i="29" s="1"/>
  <c r="I29" i="29" s="1"/>
  <c r="J29" i="29" s="1"/>
  <c r="K29" i="29" s="1"/>
  <c r="L29" i="29" s="1"/>
  <c r="M29" i="29" s="1"/>
  <c r="N29" i="29" s="1"/>
  <c r="O29" i="29" s="1"/>
  <c r="P29" i="29" s="1"/>
  <c r="Q29" i="29" s="1"/>
  <c r="R29" i="29" s="1"/>
  <c r="S29" i="29" s="1"/>
  <c r="T29" i="29" s="1"/>
  <c r="U29" i="29" s="1"/>
  <c r="V29" i="29" s="1"/>
  <c r="W29" i="29" s="1"/>
  <c r="X29" i="29" s="1"/>
  <c r="Y29" i="29" s="1"/>
  <c r="Z29" i="29" s="1"/>
  <c r="AA29" i="29" s="1"/>
  <c r="AB29" i="29" s="1"/>
  <c r="AC29" i="29" s="1"/>
  <c r="AD29" i="29" s="1"/>
  <c r="AE29" i="29" s="1"/>
  <c r="AF29" i="29" s="1"/>
  <c r="AG29" i="29" s="1"/>
  <c r="AH29" i="29" s="1"/>
  <c r="AI29" i="29" s="1"/>
  <c r="AJ29" i="29" s="1"/>
  <c r="AK29" i="29" s="1"/>
  <c r="AL29" i="29" s="1"/>
  <c r="AM29" i="29" s="1"/>
  <c r="AN29" i="29" s="1"/>
  <c r="AO29" i="29" s="1"/>
  <c r="AP29" i="29" s="1"/>
  <c r="AQ29" i="29" s="1"/>
  <c r="AR29" i="29" s="1"/>
  <c r="AS29" i="29" s="1"/>
  <c r="AT29" i="29" s="1"/>
  <c r="AU29" i="29" s="1"/>
  <c r="AV29" i="29" s="1"/>
  <c r="AW29" i="29" s="1"/>
  <c r="AX29" i="29" s="1"/>
  <c r="AY29" i="29" s="1"/>
  <c r="AZ29" i="29" s="1"/>
  <c r="BA29" i="29" s="1"/>
  <c r="BB29" i="29" s="1"/>
  <c r="F21" i="29"/>
  <c r="G21" i="29" s="1"/>
  <c r="H21" i="29" s="1"/>
  <c r="I21" i="29" s="1"/>
  <c r="J21" i="29" s="1"/>
  <c r="K21" i="29" s="1"/>
  <c r="L21" i="29" s="1"/>
  <c r="M21" i="29" s="1"/>
  <c r="N21" i="29" s="1"/>
  <c r="O21" i="29" s="1"/>
  <c r="P21" i="29" s="1"/>
  <c r="Q21" i="29" s="1"/>
  <c r="R21" i="29" s="1"/>
  <c r="S21" i="29" s="1"/>
  <c r="T21" i="29" s="1"/>
  <c r="U21" i="29" s="1"/>
  <c r="V21" i="29" s="1"/>
  <c r="W21" i="29" s="1"/>
  <c r="X21" i="29" s="1"/>
  <c r="Y21" i="29" s="1"/>
  <c r="Z21" i="29" s="1"/>
  <c r="AA21" i="29" s="1"/>
  <c r="AB21" i="29" s="1"/>
  <c r="AC21" i="29" s="1"/>
  <c r="AD21" i="29" s="1"/>
  <c r="AE21" i="29" s="1"/>
  <c r="AF21" i="29" s="1"/>
  <c r="AG21" i="29" s="1"/>
  <c r="AH21" i="29" s="1"/>
  <c r="AI21" i="29" s="1"/>
  <c r="AJ21" i="29" s="1"/>
  <c r="AK21" i="29" s="1"/>
  <c r="AL21" i="29" s="1"/>
  <c r="AM21" i="29" s="1"/>
  <c r="AN21" i="29" s="1"/>
  <c r="AO21" i="29" s="1"/>
  <c r="AP21" i="29" s="1"/>
  <c r="AQ21" i="29" s="1"/>
  <c r="AR21" i="29" s="1"/>
  <c r="AS21" i="29" s="1"/>
  <c r="AT21" i="29" s="1"/>
  <c r="AU21" i="29" s="1"/>
  <c r="AV21" i="29" s="1"/>
  <c r="AW21" i="29" s="1"/>
  <c r="AX21" i="29" s="1"/>
  <c r="AY21" i="29" s="1"/>
  <c r="AZ21" i="29" s="1"/>
  <c r="BA21" i="29" s="1"/>
  <c r="BB21" i="29" s="1"/>
  <c r="F13" i="29"/>
  <c r="G13" i="29" s="1"/>
  <c r="H13" i="29" s="1"/>
  <c r="I13" i="29" s="1"/>
  <c r="J13" i="29" s="1"/>
  <c r="K13" i="29" s="1"/>
  <c r="L13" i="29" s="1"/>
  <c r="M13" i="29" s="1"/>
  <c r="N13" i="29" s="1"/>
  <c r="O13" i="29" s="1"/>
  <c r="P13" i="29" s="1"/>
  <c r="Q13" i="29" s="1"/>
  <c r="R13" i="29" s="1"/>
  <c r="S13" i="29" s="1"/>
  <c r="T13" i="29" s="1"/>
  <c r="U13" i="29" s="1"/>
  <c r="V13" i="29" s="1"/>
  <c r="W13" i="29" s="1"/>
  <c r="X13" i="29" s="1"/>
  <c r="Y13" i="29" s="1"/>
  <c r="Z13" i="29" s="1"/>
  <c r="AA13" i="29" s="1"/>
  <c r="AB13" i="29" s="1"/>
  <c r="AC13" i="29" s="1"/>
  <c r="AD13" i="29" s="1"/>
  <c r="AE13" i="29" s="1"/>
  <c r="AF13" i="29" s="1"/>
  <c r="AG13" i="29" s="1"/>
  <c r="AH13" i="29" s="1"/>
  <c r="AI13" i="29" s="1"/>
  <c r="AJ13" i="29" s="1"/>
  <c r="AK13" i="29" s="1"/>
  <c r="AL13" i="29" s="1"/>
  <c r="AM13" i="29" s="1"/>
  <c r="AN13" i="29" s="1"/>
  <c r="AO13" i="29" s="1"/>
  <c r="AP13" i="29" s="1"/>
  <c r="AQ13" i="29" s="1"/>
  <c r="AR13" i="29" s="1"/>
  <c r="AS13" i="29" s="1"/>
  <c r="AT13" i="29" s="1"/>
  <c r="AU13" i="29" s="1"/>
  <c r="AV13" i="29" s="1"/>
  <c r="AW13" i="29" s="1"/>
  <c r="AX13" i="29" s="1"/>
  <c r="AY13" i="29" s="1"/>
  <c r="AZ13" i="29" s="1"/>
  <c r="BA13" i="29" s="1"/>
  <c r="BB13" i="29" s="1"/>
  <c r="D38" i="29"/>
  <c r="D22" i="29"/>
  <c r="D46" i="29"/>
  <c r="D14" i="29"/>
  <c r="D30" i="29"/>
  <c r="B55" i="17"/>
  <c r="C99" i="12"/>
  <c r="C100" i="12" s="1"/>
  <c r="E27" i="27"/>
  <c r="F27" i="27" s="1"/>
  <c r="G27" i="27" s="1"/>
  <c r="E26" i="27"/>
  <c r="E24" i="27"/>
  <c r="F24" i="27" s="1"/>
  <c r="G24" i="27" s="1"/>
  <c r="P28" i="27"/>
  <c r="A27" i="27"/>
  <c r="P27" i="27"/>
  <c r="A26" i="27"/>
  <c r="A25" i="27"/>
  <c r="A24" i="27"/>
  <c r="B7" i="27"/>
  <c r="B70" i="27"/>
  <c r="B67" i="27"/>
  <c r="B69" i="27" s="1"/>
  <c r="B63" i="27"/>
  <c r="H28" i="27" s="1"/>
  <c r="I28" i="27" s="1"/>
  <c r="P49" i="27"/>
  <c r="P48" i="27"/>
  <c r="P47" i="27"/>
  <c r="K47" i="27"/>
  <c r="K48" i="27" s="1"/>
  <c r="J47" i="27"/>
  <c r="J48" i="27" s="1"/>
  <c r="P46" i="27"/>
  <c r="L46" i="27"/>
  <c r="P45" i="27"/>
  <c r="L45" i="27"/>
  <c r="P44" i="27"/>
  <c r="I44" i="27"/>
  <c r="H44" i="27" s="1"/>
  <c r="P43" i="27"/>
  <c r="I43" i="27"/>
  <c r="H43" i="27" s="1"/>
  <c r="P42" i="27"/>
  <c r="I42" i="27"/>
  <c r="H42" i="27" s="1"/>
  <c r="P41" i="27"/>
  <c r="A41" i="27"/>
  <c r="P40" i="27"/>
  <c r="I40" i="27"/>
  <c r="H40" i="27" s="1"/>
  <c r="P39" i="27"/>
  <c r="I39" i="27"/>
  <c r="H39" i="27" s="1"/>
  <c r="P38" i="27"/>
  <c r="I38" i="27"/>
  <c r="H38" i="27" s="1"/>
  <c r="P37" i="27"/>
  <c r="P36" i="27"/>
  <c r="P35" i="27"/>
  <c r="P34" i="27"/>
  <c r="P33" i="27"/>
  <c r="P32" i="27"/>
  <c r="F32" i="27"/>
  <c r="G32" i="27" s="1"/>
  <c r="P31" i="27"/>
  <c r="G31" i="27"/>
  <c r="P30" i="27"/>
  <c r="F30" i="27"/>
  <c r="G30" i="27" s="1"/>
  <c r="P29" i="27"/>
  <c r="E29" i="27"/>
  <c r="F29" i="27" s="1"/>
  <c r="G29" i="27" s="1"/>
  <c r="P26" i="27"/>
  <c r="P25" i="27"/>
  <c r="P24" i="27"/>
  <c r="B6" i="27"/>
  <c r="H22" i="17"/>
  <c r="H21" i="17"/>
  <c r="M33" i="17"/>
  <c r="L5" i="12"/>
  <c r="K7" i="12"/>
  <c r="L7" i="12" s="1"/>
  <c r="F37" i="56" l="1"/>
  <c r="G37" i="29"/>
  <c r="B68" i="27"/>
  <c r="B46" i="17"/>
  <c r="I41" i="27"/>
  <c r="H41" i="27" s="1"/>
  <c r="J28" i="27" s="1"/>
  <c r="L47" i="27"/>
  <c r="L48" i="27"/>
  <c r="L51" i="27" s="1"/>
  <c r="C120" i="22"/>
  <c r="C119" i="22"/>
  <c r="G37" i="56" l="1"/>
  <c r="H37" i="29"/>
  <c r="I51" i="27"/>
  <c r="B50" i="17"/>
  <c r="B51" i="17" s="1"/>
  <c r="H20" i="17"/>
  <c r="I20" i="17" s="1"/>
  <c r="B60" i="27"/>
  <c r="B64" i="27" s="1"/>
  <c r="B65" i="27" s="1"/>
  <c r="H37" i="56" l="1"/>
  <c r="I37" i="29"/>
  <c r="B95" i="12"/>
  <c r="B96" i="12" s="1"/>
  <c r="B86" i="12"/>
  <c r="B87" i="12" s="1"/>
  <c r="I37" i="56" l="1"/>
  <c r="J37" i="29"/>
  <c r="B28" i="13"/>
  <c r="B32" i="13" s="1"/>
  <c r="C28" i="13"/>
  <c r="C32" i="13" s="1"/>
  <c r="C98" i="12"/>
  <c r="C102" i="12" s="1"/>
  <c r="D98" i="12"/>
  <c r="D102" i="12" s="1"/>
  <c r="E98" i="12"/>
  <c r="E102" i="12" s="1"/>
  <c r="B97" i="12"/>
  <c r="B99" i="12" s="1"/>
  <c r="B100" i="12" s="1"/>
  <c r="J37" i="56" l="1"/>
  <c r="K37" i="29"/>
  <c r="B98" i="12"/>
  <c r="B102" i="12" s="1"/>
  <c r="K37" i="56" l="1"/>
  <c r="L37" i="29"/>
  <c r="G52" i="40"/>
  <c r="G5" i="22"/>
  <c r="F18" i="17"/>
  <c r="G18" i="17" s="1"/>
  <c r="F26" i="27"/>
  <c r="G26" i="27" s="1"/>
  <c r="G51" i="27" s="1"/>
  <c r="F6" i="22"/>
  <c r="F3" i="22"/>
  <c r="G3" i="22" s="1"/>
  <c r="B7" i="17"/>
  <c r="B6" i="17"/>
  <c r="M35" i="17"/>
  <c r="F22" i="17"/>
  <c r="G22" i="17" s="1"/>
  <c r="E21" i="17"/>
  <c r="F21" i="17" s="1"/>
  <c r="G21" i="17" s="1"/>
  <c r="M22" i="17"/>
  <c r="M21" i="17"/>
  <c r="M36" i="17"/>
  <c r="M27" i="17"/>
  <c r="M29" i="17"/>
  <c r="M26" i="17"/>
  <c r="M28" i="17"/>
  <c r="M32" i="17"/>
  <c r="M34" i="17"/>
  <c r="M31" i="17"/>
  <c r="M30" i="17"/>
  <c r="M25" i="17"/>
  <c r="M24" i="17"/>
  <c r="F24" i="17"/>
  <c r="G24" i="17" s="1"/>
  <c r="M23" i="17"/>
  <c r="G23" i="17"/>
  <c r="L9" i="16"/>
  <c r="G3" i="16"/>
  <c r="F4" i="16"/>
  <c r="G4" i="16" s="1"/>
  <c r="L37" i="56" l="1"/>
  <c r="M37" i="29"/>
  <c r="G6" i="22"/>
  <c r="G9" i="22" s="1"/>
  <c r="G14" i="22" s="1"/>
  <c r="F19" i="17"/>
  <c r="G19" i="17" s="1"/>
  <c r="G37" i="17" s="1"/>
  <c r="G52" i="27"/>
  <c r="I37" i="17"/>
  <c r="G9" i="16"/>
  <c r="L8" i="12"/>
  <c r="I9" i="15"/>
  <c r="F7" i="15"/>
  <c r="G7" i="15" s="1"/>
  <c r="F4" i="15"/>
  <c r="G4" i="15" s="1"/>
  <c r="F3" i="15"/>
  <c r="I11" i="14"/>
  <c r="E4" i="14"/>
  <c r="F4" i="14" s="1"/>
  <c r="G4" i="14" s="1"/>
  <c r="E5" i="14"/>
  <c r="F5" i="14" s="1"/>
  <c r="G5" i="14" s="1"/>
  <c r="G16" i="14"/>
  <c r="G14" i="14"/>
  <c r="G15" i="14"/>
  <c r="M37" i="56" l="1"/>
  <c r="N37" i="29"/>
  <c r="B98" i="22"/>
  <c r="B103" i="22" s="1"/>
  <c r="G22" i="28" s="1"/>
  <c r="K7" i="22"/>
  <c r="G10" i="16"/>
  <c r="G38" i="17"/>
  <c r="F20" i="14"/>
  <c r="F19" i="14"/>
  <c r="F18" i="14"/>
  <c r="F17" i="14"/>
  <c r="F16" i="14"/>
  <c r="I16" i="14" s="1"/>
  <c r="F15" i="14"/>
  <c r="I15" i="14" s="1"/>
  <c r="F14" i="14"/>
  <c r="I14" i="14" s="1"/>
  <c r="G10" i="14"/>
  <c r="F9" i="14"/>
  <c r="G9" i="14" s="1"/>
  <c r="F8" i="14"/>
  <c r="E6" i="14"/>
  <c r="F6" i="14" s="1"/>
  <c r="E5" i="13"/>
  <c r="F5" i="13" s="1"/>
  <c r="E8" i="13"/>
  <c r="F8" i="13" s="1"/>
  <c r="G8" i="13" s="1"/>
  <c r="F7" i="13"/>
  <c r="G7" i="13" s="1"/>
  <c r="F6" i="13"/>
  <c r="F4" i="13"/>
  <c r="G4" i="13" s="1"/>
  <c r="F3" i="13"/>
  <c r="N37" i="56" l="1"/>
  <c r="O37" i="29"/>
  <c r="B100" i="22"/>
  <c r="G18" i="28" s="1"/>
  <c r="H18" i="28" s="1"/>
  <c r="I18" i="28" s="1"/>
  <c r="J18" i="28" s="1"/>
  <c r="K18" i="28" s="1"/>
  <c r="L18" i="28" s="1"/>
  <c r="K8" i="22"/>
  <c r="K25" i="40" s="1"/>
  <c r="L25" i="40" s="1"/>
  <c r="C22" i="47" s="1"/>
  <c r="L7" i="22"/>
  <c r="M7" i="22" s="1"/>
  <c r="G15" i="28"/>
  <c r="H15" i="28" s="1"/>
  <c r="I15" i="28" s="1"/>
  <c r="J15" i="28" s="1"/>
  <c r="G16" i="28"/>
  <c r="H16" i="28" s="1"/>
  <c r="I16" i="28" s="1"/>
  <c r="J16" i="28" s="1"/>
  <c r="G14" i="28"/>
  <c r="H14" i="28" s="1"/>
  <c r="I14" i="28" s="1"/>
  <c r="J14" i="28" s="1"/>
  <c r="G12" i="28"/>
  <c r="H12" i="28" s="1"/>
  <c r="I12" i="28" s="1"/>
  <c r="J12" i="28" s="1"/>
  <c r="G13" i="28"/>
  <c r="H13" i="28" s="1"/>
  <c r="I13" i="28" s="1"/>
  <c r="J13" i="28" s="1"/>
  <c r="G11" i="28"/>
  <c r="H11" i="28" s="1"/>
  <c r="I11" i="28" s="1"/>
  <c r="J11" i="28" s="1"/>
  <c r="B101" i="22"/>
  <c r="G19" i="28" s="1"/>
  <c r="H19" i="28" s="1"/>
  <c r="I19" i="28" s="1"/>
  <c r="J19" i="28" s="1"/>
  <c r="B102" i="22"/>
  <c r="G20" i="28" s="1"/>
  <c r="H20" i="28" s="1"/>
  <c r="I20" i="28" s="1"/>
  <c r="J20" i="28" s="1"/>
  <c r="G17" i="14"/>
  <c r="I17" i="14" s="1"/>
  <c r="G18" i="14"/>
  <c r="G19" i="14"/>
  <c r="I19" i="14" s="1"/>
  <c r="G20" i="14"/>
  <c r="I20" i="14" s="1"/>
  <c r="L9" i="13"/>
  <c r="K9" i="13"/>
  <c r="O37" i="56" l="1"/>
  <c r="E22" i="47"/>
  <c r="P37" i="29"/>
  <c r="G21" i="28"/>
  <c r="H21" i="28" s="1"/>
  <c r="I21" i="28" s="1"/>
  <c r="J21" i="28" s="1"/>
  <c r="H22" i="28"/>
  <c r="I22" i="28" s="1"/>
  <c r="J22" i="28" s="1"/>
  <c r="M25" i="40"/>
  <c r="L8" i="22"/>
  <c r="M8" i="22" s="1"/>
  <c r="M9" i="22" s="1"/>
  <c r="J10" i="22" s="1"/>
  <c r="M12" i="28"/>
  <c r="N12" i="28" s="1"/>
  <c r="K12" i="28"/>
  <c r="L12" i="28" s="1"/>
  <c r="M13" i="28"/>
  <c r="N13" i="28" s="1"/>
  <c r="K13" i="28"/>
  <c r="L13" i="28" s="1"/>
  <c r="M20" i="28"/>
  <c r="N20" i="28" s="1"/>
  <c r="K20" i="28"/>
  <c r="L20" i="28" s="1"/>
  <c r="K19" i="28"/>
  <c r="L19" i="28" s="1"/>
  <c r="M19" i="28"/>
  <c r="N19" i="28" s="1"/>
  <c r="K15" i="28"/>
  <c r="L15" i="28" s="1"/>
  <c r="M15" i="28"/>
  <c r="N15" i="28" s="1"/>
  <c r="M16" i="28"/>
  <c r="N16" i="28" s="1"/>
  <c r="K16" i="28"/>
  <c r="L16" i="28" s="1"/>
  <c r="M18" i="28"/>
  <c r="N18" i="28" s="1"/>
  <c r="O18" i="28" s="1"/>
  <c r="P18" i="28" s="1"/>
  <c r="Q18" i="28" s="1"/>
  <c r="K11" i="28"/>
  <c r="L11" i="28" s="1"/>
  <c r="M11" i="28"/>
  <c r="N11" i="28" s="1"/>
  <c r="K14" i="28"/>
  <c r="L14" i="28" s="1"/>
  <c r="M14" i="28"/>
  <c r="N14" i="28" s="1"/>
  <c r="H24" i="14"/>
  <c r="I18" i="14"/>
  <c r="K10" i="13"/>
  <c r="F3" i="12"/>
  <c r="AW167" i="57" l="1"/>
  <c r="AG167" i="57"/>
  <c r="Q167" i="57"/>
  <c r="AV159" i="56"/>
  <c r="AF159" i="56"/>
  <c r="P159" i="56"/>
  <c r="AZ181" i="29"/>
  <c r="AZ190" i="29" s="1"/>
  <c r="AJ181" i="29"/>
  <c r="AJ190" i="29" s="1"/>
  <c r="T181" i="29"/>
  <c r="T190" i="29" s="1"/>
  <c r="AV167" i="57"/>
  <c r="AF167" i="57"/>
  <c r="P167" i="57"/>
  <c r="AU159" i="56"/>
  <c r="AE159" i="56"/>
  <c r="O159" i="56"/>
  <c r="AY181" i="29"/>
  <c r="AY190" i="29" s="1"/>
  <c r="AI181" i="29"/>
  <c r="AI190" i="29" s="1"/>
  <c r="S181" i="29"/>
  <c r="S190" i="29" s="1"/>
  <c r="AU167" i="57"/>
  <c r="AE167" i="57"/>
  <c r="O167" i="57"/>
  <c r="AT159" i="56"/>
  <c r="AD159" i="56"/>
  <c r="N159" i="56"/>
  <c r="AX181" i="29"/>
  <c r="AX190" i="29" s="1"/>
  <c r="AH181" i="29"/>
  <c r="AH190" i="29" s="1"/>
  <c r="R181" i="29"/>
  <c r="R190" i="29" s="1"/>
  <c r="AT167" i="57"/>
  <c r="AD167" i="57"/>
  <c r="N167" i="57"/>
  <c r="AS159" i="56"/>
  <c r="AC159" i="56"/>
  <c r="M159" i="56"/>
  <c r="AW181" i="29"/>
  <c r="AW190" i="29" s="1"/>
  <c r="AG181" i="29"/>
  <c r="AG190" i="29" s="1"/>
  <c r="Q181" i="29"/>
  <c r="Q190" i="29" s="1"/>
  <c r="AS167" i="57"/>
  <c r="AC167" i="57"/>
  <c r="M167" i="57"/>
  <c r="AR159" i="56"/>
  <c r="AB159" i="56"/>
  <c r="L159" i="56"/>
  <c r="AV181" i="29"/>
  <c r="AV190" i="29" s="1"/>
  <c r="AF181" i="29"/>
  <c r="AF190" i="29" s="1"/>
  <c r="P181" i="29"/>
  <c r="P190" i="29" s="1"/>
  <c r="AR167" i="57"/>
  <c r="AB167" i="57"/>
  <c r="L167" i="57"/>
  <c r="AQ159" i="56"/>
  <c r="AA159" i="56"/>
  <c r="K159" i="56"/>
  <c r="AU181" i="29"/>
  <c r="AU190" i="29" s="1"/>
  <c r="AE181" i="29"/>
  <c r="AE190" i="29" s="1"/>
  <c r="O181" i="29"/>
  <c r="O190" i="29" s="1"/>
  <c r="AQ167" i="57"/>
  <c r="AA167" i="57"/>
  <c r="K167" i="57"/>
  <c r="AP159" i="56"/>
  <c r="Z159" i="56"/>
  <c r="J159" i="56"/>
  <c r="AT181" i="29"/>
  <c r="AT190" i="29" s="1"/>
  <c r="AD181" i="29"/>
  <c r="AD190" i="29" s="1"/>
  <c r="N181" i="29"/>
  <c r="N190" i="29" s="1"/>
  <c r="W181" i="29"/>
  <c r="W190" i="29" s="1"/>
  <c r="AP167" i="57"/>
  <c r="Z167" i="57"/>
  <c r="J167" i="57"/>
  <c r="AO159" i="56"/>
  <c r="Y159" i="56"/>
  <c r="I159" i="56"/>
  <c r="AS181" i="29"/>
  <c r="AS190" i="29" s="1"/>
  <c r="AC181" i="29"/>
  <c r="AC190" i="29" s="1"/>
  <c r="M181" i="29"/>
  <c r="M190" i="29" s="1"/>
  <c r="AR181" i="29"/>
  <c r="AR190" i="29" s="1"/>
  <c r="L181" i="29"/>
  <c r="L190" i="29" s="1"/>
  <c r="AO167" i="57"/>
  <c r="Y167" i="57"/>
  <c r="I167" i="57"/>
  <c r="AN159" i="56"/>
  <c r="X159" i="56"/>
  <c r="H159" i="56"/>
  <c r="AB181" i="29"/>
  <c r="AB190" i="29" s="1"/>
  <c r="AN167" i="57"/>
  <c r="X167" i="57"/>
  <c r="H167" i="57"/>
  <c r="AM159" i="56"/>
  <c r="W159" i="56"/>
  <c r="G159" i="56"/>
  <c r="AQ181" i="29"/>
  <c r="AQ190" i="29" s="1"/>
  <c r="AA181" i="29"/>
  <c r="AA190" i="29" s="1"/>
  <c r="K181" i="29"/>
  <c r="K190" i="29" s="1"/>
  <c r="AM167" i="57"/>
  <c r="W167" i="57"/>
  <c r="G167" i="57"/>
  <c r="BB159" i="56"/>
  <c r="AL159" i="56"/>
  <c r="V159" i="56"/>
  <c r="F159" i="56"/>
  <c r="AP181" i="29"/>
  <c r="AP190" i="29" s="1"/>
  <c r="Z181" i="29"/>
  <c r="Z190" i="29" s="1"/>
  <c r="J181" i="29"/>
  <c r="J190" i="29" s="1"/>
  <c r="BB167" i="57"/>
  <c r="AL167" i="57"/>
  <c r="V167" i="57"/>
  <c r="F167" i="57"/>
  <c r="BA159" i="56"/>
  <c r="AK159" i="56"/>
  <c r="U159" i="56"/>
  <c r="E159" i="56"/>
  <c r="AO181" i="29"/>
  <c r="AO190" i="29" s="1"/>
  <c r="Y181" i="29"/>
  <c r="Y190" i="29" s="1"/>
  <c r="I181" i="29"/>
  <c r="I190" i="29" s="1"/>
  <c r="BA167" i="57"/>
  <c r="AK167" i="57"/>
  <c r="U167" i="57"/>
  <c r="E167" i="57"/>
  <c r="AZ159" i="56"/>
  <c r="AJ159" i="56"/>
  <c r="T159" i="56"/>
  <c r="AN181" i="29"/>
  <c r="AN190" i="29" s="1"/>
  <c r="X181" i="29"/>
  <c r="X190" i="29" s="1"/>
  <c r="H181" i="29"/>
  <c r="H190" i="29" s="1"/>
  <c r="AZ167" i="57"/>
  <c r="AJ167" i="57"/>
  <c r="T167" i="57"/>
  <c r="AY159" i="56"/>
  <c r="AI159" i="56"/>
  <c r="S159" i="56"/>
  <c r="AM181" i="29"/>
  <c r="AM190" i="29" s="1"/>
  <c r="G181" i="29"/>
  <c r="G190" i="29" s="1"/>
  <c r="AY167" i="57"/>
  <c r="AI167" i="57"/>
  <c r="S167" i="57"/>
  <c r="AX159" i="56"/>
  <c r="AH159" i="56"/>
  <c r="R159" i="56"/>
  <c r="BB181" i="29"/>
  <c r="BB190" i="29" s="1"/>
  <c r="AL181" i="29"/>
  <c r="AL190" i="29" s="1"/>
  <c r="V181" i="29"/>
  <c r="V190" i="29" s="1"/>
  <c r="F181" i="29"/>
  <c r="F190" i="29" s="1"/>
  <c r="AX167" i="57"/>
  <c r="AH167" i="57"/>
  <c r="R167" i="57"/>
  <c r="AW159" i="56"/>
  <c r="AG159" i="56"/>
  <c r="Q159" i="56"/>
  <c r="BA181" i="29"/>
  <c r="BA190" i="29" s="1"/>
  <c r="AK181" i="29"/>
  <c r="AK190" i="29" s="1"/>
  <c r="U181" i="29"/>
  <c r="U190" i="29" s="1"/>
  <c r="E181" i="29"/>
  <c r="E190" i="29" s="1"/>
  <c r="P37" i="56"/>
  <c r="Q37" i="29"/>
  <c r="L9" i="22"/>
  <c r="G10" i="22" s="1"/>
  <c r="M22" i="28"/>
  <c r="N22" i="28" s="1"/>
  <c r="K22" i="28"/>
  <c r="L22" i="28" s="1"/>
  <c r="M21" i="28"/>
  <c r="N21" i="28" s="1"/>
  <c r="K21" i="28"/>
  <c r="L21" i="28" s="1"/>
  <c r="C10" i="47"/>
  <c r="O12" i="28"/>
  <c r="P12" i="28" s="1"/>
  <c r="Q12" i="28" s="1"/>
  <c r="AD64" i="29" s="1"/>
  <c r="O13" i="28"/>
  <c r="P13" i="28" s="1"/>
  <c r="Q13" i="28" s="1"/>
  <c r="O19" i="28"/>
  <c r="P19" i="28" s="1"/>
  <c r="Q19" i="28" s="1"/>
  <c r="O20" i="28"/>
  <c r="P20" i="28" s="1"/>
  <c r="Q20" i="28" s="1"/>
  <c r="BB136" i="57"/>
  <c r="BB138" i="57" s="1"/>
  <c r="BB140" i="57" s="1"/>
  <c r="AT136" i="57"/>
  <c r="AT138" i="57" s="1"/>
  <c r="AT140" i="57" s="1"/>
  <c r="AL136" i="57"/>
  <c r="AL138" i="57" s="1"/>
  <c r="AL140" i="57" s="1"/>
  <c r="AD136" i="57"/>
  <c r="AD138" i="57" s="1"/>
  <c r="AD140" i="57" s="1"/>
  <c r="V136" i="57"/>
  <c r="V138" i="57" s="1"/>
  <c r="V140" i="57" s="1"/>
  <c r="N136" i="57"/>
  <c r="N138" i="57" s="1"/>
  <c r="N140" i="57" s="1"/>
  <c r="F136" i="57"/>
  <c r="F138" i="57" s="1"/>
  <c r="F140" i="57" s="1"/>
  <c r="BA136" i="57"/>
  <c r="BA138" i="57" s="1"/>
  <c r="BA140" i="57" s="1"/>
  <c r="AS136" i="57"/>
  <c r="AS138" i="57" s="1"/>
  <c r="AS140" i="57" s="1"/>
  <c r="AK136" i="57"/>
  <c r="AK138" i="57" s="1"/>
  <c r="AK140" i="57" s="1"/>
  <c r="AC136" i="57"/>
  <c r="AC138" i="57" s="1"/>
  <c r="AC140" i="57" s="1"/>
  <c r="U136" i="57"/>
  <c r="U138" i="57" s="1"/>
  <c r="U140" i="57" s="1"/>
  <c r="M136" i="57"/>
  <c r="M138" i="57" s="1"/>
  <c r="M140" i="57" s="1"/>
  <c r="E136" i="57"/>
  <c r="E138" i="57" s="1"/>
  <c r="E140" i="57" s="1"/>
  <c r="AZ136" i="57"/>
  <c r="AZ138" i="57" s="1"/>
  <c r="AZ140" i="57" s="1"/>
  <c r="AR136" i="57"/>
  <c r="AR138" i="57" s="1"/>
  <c r="AR140" i="57" s="1"/>
  <c r="AJ136" i="57"/>
  <c r="AJ138" i="57" s="1"/>
  <c r="AJ140" i="57" s="1"/>
  <c r="AB136" i="57"/>
  <c r="AB138" i="57" s="1"/>
  <c r="AB140" i="57" s="1"/>
  <c r="T136" i="57"/>
  <c r="T138" i="57" s="1"/>
  <c r="T140" i="57" s="1"/>
  <c r="L136" i="57"/>
  <c r="L138" i="57" s="1"/>
  <c r="L140" i="57" s="1"/>
  <c r="AY136" i="57"/>
  <c r="AY138" i="57" s="1"/>
  <c r="AY140" i="57" s="1"/>
  <c r="AQ136" i="57"/>
  <c r="AQ138" i="57" s="1"/>
  <c r="AQ140" i="57" s="1"/>
  <c r="AI136" i="57"/>
  <c r="AI138" i="57" s="1"/>
  <c r="AI140" i="57" s="1"/>
  <c r="AA136" i="57"/>
  <c r="AA138" i="57" s="1"/>
  <c r="AA140" i="57" s="1"/>
  <c r="S136" i="57"/>
  <c r="S138" i="57" s="1"/>
  <c r="S140" i="57" s="1"/>
  <c r="K136" i="57"/>
  <c r="K138" i="57" s="1"/>
  <c r="K140" i="57" s="1"/>
  <c r="AX136" i="57"/>
  <c r="AX138" i="57" s="1"/>
  <c r="AX140" i="57" s="1"/>
  <c r="AP136" i="57"/>
  <c r="AP138" i="57" s="1"/>
  <c r="AP140" i="57" s="1"/>
  <c r="AH136" i="57"/>
  <c r="AH138" i="57" s="1"/>
  <c r="AH140" i="57" s="1"/>
  <c r="Z136" i="57"/>
  <c r="Z138" i="57" s="1"/>
  <c r="Z140" i="57" s="1"/>
  <c r="R136" i="57"/>
  <c r="R138" i="57" s="1"/>
  <c r="R140" i="57" s="1"/>
  <c r="J136" i="57"/>
  <c r="J138" i="57" s="1"/>
  <c r="J140" i="57" s="1"/>
  <c r="AW136" i="57"/>
  <c r="AW138" i="57" s="1"/>
  <c r="AW140" i="57" s="1"/>
  <c r="AO136" i="57"/>
  <c r="AO138" i="57" s="1"/>
  <c r="AO140" i="57" s="1"/>
  <c r="AG136" i="57"/>
  <c r="AG138" i="57" s="1"/>
  <c r="AG140" i="57" s="1"/>
  <c r="Y136" i="57"/>
  <c r="Y138" i="57" s="1"/>
  <c r="Y140" i="57" s="1"/>
  <c r="Q136" i="57"/>
  <c r="Q138" i="57" s="1"/>
  <c r="Q140" i="57" s="1"/>
  <c r="I136" i="57"/>
  <c r="I138" i="57" s="1"/>
  <c r="I140" i="57" s="1"/>
  <c r="AV136" i="57"/>
  <c r="AV138" i="57" s="1"/>
  <c r="AV140" i="57" s="1"/>
  <c r="AN136" i="57"/>
  <c r="AN138" i="57" s="1"/>
  <c r="AN140" i="57" s="1"/>
  <c r="AF136" i="57"/>
  <c r="AF138" i="57" s="1"/>
  <c r="AF140" i="57" s="1"/>
  <c r="X136" i="57"/>
  <c r="X138" i="57" s="1"/>
  <c r="X140" i="57" s="1"/>
  <c r="P136" i="57"/>
  <c r="P138" i="57" s="1"/>
  <c r="P140" i="57" s="1"/>
  <c r="H136" i="57"/>
  <c r="H138" i="57" s="1"/>
  <c r="H140" i="57" s="1"/>
  <c r="AU136" i="57"/>
  <c r="AU138" i="57" s="1"/>
  <c r="AU140" i="57" s="1"/>
  <c r="AM136" i="57"/>
  <c r="AM138" i="57" s="1"/>
  <c r="AM140" i="57" s="1"/>
  <c r="AE136" i="57"/>
  <c r="AE138" i="57" s="1"/>
  <c r="AE140" i="57" s="1"/>
  <c r="W136" i="57"/>
  <c r="W138" i="57" s="1"/>
  <c r="W140" i="57" s="1"/>
  <c r="O136" i="57"/>
  <c r="O138" i="57" s="1"/>
  <c r="O140" i="57" s="1"/>
  <c r="G136" i="57"/>
  <c r="G138" i="57" s="1"/>
  <c r="G140" i="57" s="1"/>
  <c r="AY128" i="56"/>
  <c r="AY130" i="56" s="1"/>
  <c r="AY132" i="56" s="1"/>
  <c r="AQ128" i="56"/>
  <c r="AQ130" i="56" s="1"/>
  <c r="AQ132" i="56" s="1"/>
  <c r="AI128" i="56"/>
  <c r="AI130" i="56" s="1"/>
  <c r="AI132" i="56" s="1"/>
  <c r="AA128" i="56"/>
  <c r="AA130" i="56" s="1"/>
  <c r="AA132" i="56" s="1"/>
  <c r="S128" i="56"/>
  <c r="S130" i="56" s="1"/>
  <c r="S132" i="56" s="1"/>
  <c r="K128" i="56"/>
  <c r="K130" i="56" s="1"/>
  <c r="K132" i="56" s="1"/>
  <c r="AL128" i="56"/>
  <c r="AL130" i="56" s="1"/>
  <c r="AL132" i="56" s="1"/>
  <c r="AX128" i="56"/>
  <c r="AX130" i="56" s="1"/>
  <c r="AX132" i="56" s="1"/>
  <c r="AP128" i="56"/>
  <c r="AP130" i="56" s="1"/>
  <c r="AP132" i="56" s="1"/>
  <c r="AH128" i="56"/>
  <c r="AH130" i="56" s="1"/>
  <c r="AH132" i="56" s="1"/>
  <c r="Z128" i="56"/>
  <c r="Z130" i="56" s="1"/>
  <c r="Z132" i="56" s="1"/>
  <c r="R128" i="56"/>
  <c r="R130" i="56" s="1"/>
  <c r="R132" i="56" s="1"/>
  <c r="J128" i="56"/>
  <c r="J130" i="56" s="1"/>
  <c r="J132" i="56" s="1"/>
  <c r="N128" i="56"/>
  <c r="N130" i="56" s="1"/>
  <c r="N132" i="56" s="1"/>
  <c r="AW128" i="56"/>
  <c r="AW130" i="56" s="1"/>
  <c r="AW132" i="56" s="1"/>
  <c r="AO128" i="56"/>
  <c r="AO130" i="56" s="1"/>
  <c r="AO132" i="56" s="1"/>
  <c r="AG128" i="56"/>
  <c r="AG130" i="56" s="1"/>
  <c r="AG132" i="56" s="1"/>
  <c r="Y128" i="56"/>
  <c r="Y130" i="56" s="1"/>
  <c r="Y132" i="56" s="1"/>
  <c r="Q128" i="56"/>
  <c r="Q130" i="56" s="1"/>
  <c r="Q132" i="56" s="1"/>
  <c r="I128" i="56"/>
  <c r="I130" i="56" s="1"/>
  <c r="I132" i="56" s="1"/>
  <c r="AD128" i="56"/>
  <c r="AD130" i="56" s="1"/>
  <c r="AD132" i="56" s="1"/>
  <c r="AV128" i="56"/>
  <c r="AV130" i="56" s="1"/>
  <c r="AV132" i="56" s="1"/>
  <c r="AN128" i="56"/>
  <c r="AN130" i="56" s="1"/>
  <c r="AN132" i="56" s="1"/>
  <c r="AF128" i="56"/>
  <c r="AF130" i="56" s="1"/>
  <c r="AF132" i="56" s="1"/>
  <c r="X128" i="56"/>
  <c r="X130" i="56" s="1"/>
  <c r="X132" i="56" s="1"/>
  <c r="P128" i="56"/>
  <c r="P130" i="56" s="1"/>
  <c r="P132" i="56" s="1"/>
  <c r="H128" i="56"/>
  <c r="H130" i="56" s="1"/>
  <c r="H132" i="56" s="1"/>
  <c r="BB128" i="56"/>
  <c r="BB130" i="56" s="1"/>
  <c r="BB132" i="56" s="1"/>
  <c r="F128" i="56"/>
  <c r="F130" i="56" s="1"/>
  <c r="F132" i="56" s="1"/>
  <c r="AU128" i="56"/>
  <c r="AU130" i="56" s="1"/>
  <c r="AU132" i="56" s="1"/>
  <c r="AM128" i="56"/>
  <c r="AM130" i="56" s="1"/>
  <c r="AM132" i="56" s="1"/>
  <c r="AE128" i="56"/>
  <c r="AE130" i="56" s="1"/>
  <c r="AE132" i="56" s="1"/>
  <c r="W128" i="56"/>
  <c r="W130" i="56" s="1"/>
  <c r="W132" i="56" s="1"/>
  <c r="O128" i="56"/>
  <c r="O130" i="56" s="1"/>
  <c r="O132" i="56" s="1"/>
  <c r="G128" i="56"/>
  <c r="G130" i="56" s="1"/>
  <c r="G132" i="56" s="1"/>
  <c r="V128" i="56"/>
  <c r="V130" i="56" s="1"/>
  <c r="V132" i="56" s="1"/>
  <c r="BA128" i="56"/>
  <c r="BA130" i="56" s="1"/>
  <c r="BA132" i="56" s="1"/>
  <c r="AS128" i="56"/>
  <c r="AS130" i="56" s="1"/>
  <c r="AS132" i="56" s="1"/>
  <c r="AK128" i="56"/>
  <c r="AK130" i="56" s="1"/>
  <c r="AK132" i="56" s="1"/>
  <c r="AC128" i="56"/>
  <c r="AC130" i="56" s="1"/>
  <c r="AC132" i="56" s="1"/>
  <c r="U128" i="56"/>
  <c r="U130" i="56" s="1"/>
  <c r="U132" i="56" s="1"/>
  <c r="M128" i="56"/>
  <c r="M130" i="56" s="1"/>
  <c r="M132" i="56" s="1"/>
  <c r="E128" i="56"/>
  <c r="E130" i="56" s="1"/>
  <c r="E132" i="56" s="1"/>
  <c r="AT128" i="56"/>
  <c r="AT130" i="56" s="1"/>
  <c r="AT132" i="56" s="1"/>
  <c r="AZ128" i="56"/>
  <c r="AZ130" i="56" s="1"/>
  <c r="AZ132" i="56" s="1"/>
  <c r="AR128" i="56"/>
  <c r="AR130" i="56" s="1"/>
  <c r="AR132" i="56" s="1"/>
  <c r="AJ128" i="56"/>
  <c r="AJ130" i="56" s="1"/>
  <c r="AJ132" i="56" s="1"/>
  <c r="AB128" i="56"/>
  <c r="AB130" i="56" s="1"/>
  <c r="AB132" i="56" s="1"/>
  <c r="T128" i="56"/>
  <c r="T130" i="56" s="1"/>
  <c r="T132" i="56" s="1"/>
  <c r="L128" i="56"/>
  <c r="L130" i="56" s="1"/>
  <c r="L132" i="56" s="1"/>
  <c r="O15" i="28"/>
  <c r="P15" i="28" s="1"/>
  <c r="Q15" i="28" s="1"/>
  <c r="O16" i="28"/>
  <c r="P16" i="28" s="1"/>
  <c r="Q16" i="28" s="1"/>
  <c r="H136" i="29"/>
  <c r="L136" i="29"/>
  <c r="P136" i="29"/>
  <c r="T136" i="29"/>
  <c r="X136" i="29"/>
  <c r="AB136" i="29"/>
  <c r="AF136" i="29"/>
  <c r="AJ136" i="29"/>
  <c r="AN136" i="29"/>
  <c r="AR136" i="29"/>
  <c r="AV136" i="29"/>
  <c r="AZ136" i="29"/>
  <c r="I136" i="29"/>
  <c r="M136" i="29"/>
  <c r="Q136" i="29"/>
  <c r="U136" i="29"/>
  <c r="Y136" i="29"/>
  <c r="AC136" i="29"/>
  <c r="AG136" i="29"/>
  <c r="AK136" i="29"/>
  <c r="AO136" i="29"/>
  <c r="AS136" i="29"/>
  <c r="AW136" i="29"/>
  <c r="BA136" i="29"/>
  <c r="E136" i="29"/>
  <c r="F136" i="29"/>
  <c r="J136" i="29"/>
  <c r="N136" i="29"/>
  <c r="R136" i="29"/>
  <c r="V136" i="29"/>
  <c r="Z136" i="29"/>
  <c r="AD136" i="29"/>
  <c r="AH136" i="29"/>
  <c r="AL136" i="29"/>
  <c r="AP136" i="29"/>
  <c r="AT136" i="29"/>
  <c r="AX136" i="29"/>
  <c r="BB136" i="29"/>
  <c r="G136" i="29"/>
  <c r="K136" i="29"/>
  <c r="O136" i="29"/>
  <c r="S136" i="29"/>
  <c r="W136" i="29"/>
  <c r="AA136" i="29"/>
  <c r="AE136" i="29"/>
  <c r="AI136" i="29"/>
  <c r="AM136" i="29"/>
  <c r="AQ136" i="29"/>
  <c r="AU136" i="29"/>
  <c r="AY136" i="29"/>
  <c r="O14" i="28"/>
  <c r="P14" i="28" s="1"/>
  <c r="Q14" i="28" s="1"/>
  <c r="O11" i="28"/>
  <c r="P11" i="28" s="1"/>
  <c r="Q11" i="28" s="1"/>
  <c r="G3" i="12"/>
  <c r="G8" i="12" s="1"/>
  <c r="B4" i="7"/>
  <c r="D4" i="7" s="1"/>
  <c r="B4" i="71" s="1"/>
  <c r="D4" i="71" s="1"/>
  <c r="E3" i="7"/>
  <c r="E5" i="7"/>
  <c r="E6" i="7"/>
  <c r="E2" i="7"/>
  <c r="C3" i="7"/>
  <c r="C5" i="7"/>
  <c r="C6" i="7"/>
  <c r="C2" i="7"/>
  <c r="B4" i="3"/>
  <c r="AV88" i="57" l="1"/>
  <c r="AV90" i="57" s="1"/>
  <c r="AV92" i="57" s="1"/>
  <c r="AF88" i="57"/>
  <c r="AF90" i="57" s="1"/>
  <c r="AF92" i="57" s="1"/>
  <c r="P88" i="57"/>
  <c r="P90" i="57" s="1"/>
  <c r="P92" i="57" s="1"/>
  <c r="AO88" i="56"/>
  <c r="AO90" i="56" s="1"/>
  <c r="AO92" i="56" s="1"/>
  <c r="Y88" i="56"/>
  <c r="Y90" i="56" s="1"/>
  <c r="Y92" i="56" s="1"/>
  <c r="I88" i="56"/>
  <c r="I90" i="56" s="1"/>
  <c r="I92" i="56" s="1"/>
  <c r="AQ88" i="57"/>
  <c r="AQ90" i="57" s="1"/>
  <c r="AQ92" i="57" s="1"/>
  <c r="AB88" i="56"/>
  <c r="AB90" i="56" s="1"/>
  <c r="AB92" i="56" s="1"/>
  <c r="AU88" i="57"/>
  <c r="AU90" i="57" s="1"/>
  <c r="AU92" i="57" s="1"/>
  <c r="AE88" i="57"/>
  <c r="AE90" i="57" s="1"/>
  <c r="AE92" i="57" s="1"/>
  <c r="O88" i="57"/>
  <c r="O90" i="57" s="1"/>
  <c r="O92" i="57" s="1"/>
  <c r="AN88" i="56"/>
  <c r="AN90" i="56" s="1"/>
  <c r="AN92" i="56" s="1"/>
  <c r="X88" i="56"/>
  <c r="X90" i="56" s="1"/>
  <c r="X92" i="56" s="1"/>
  <c r="H88" i="56"/>
  <c r="H90" i="56" s="1"/>
  <c r="H92" i="56" s="1"/>
  <c r="AJ88" i="56"/>
  <c r="AJ90" i="56" s="1"/>
  <c r="AJ92" i="56" s="1"/>
  <c r="AT88" i="57"/>
  <c r="AT90" i="57" s="1"/>
  <c r="AT92" i="57" s="1"/>
  <c r="AD88" i="57"/>
  <c r="AD90" i="57" s="1"/>
  <c r="AD92" i="57" s="1"/>
  <c r="N88" i="57"/>
  <c r="N90" i="57" s="1"/>
  <c r="N92" i="57" s="1"/>
  <c r="AM88" i="56"/>
  <c r="AM90" i="56" s="1"/>
  <c r="AM92" i="56" s="1"/>
  <c r="W88" i="56"/>
  <c r="W90" i="56" s="1"/>
  <c r="W92" i="56" s="1"/>
  <c r="G88" i="56"/>
  <c r="G90" i="56" s="1"/>
  <c r="G92" i="56" s="1"/>
  <c r="T88" i="56"/>
  <c r="T90" i="56" s="1"/>
  <c r="T92" i="56" s="1"/>
  <c r="K88" i="56"/>
  <c r="K90" i="56" s="1"/>
  <c r="K92" i="56" s="1"/>
  <c r="AS88" i="57"/>
  <c r="AS90" i="57" s="1"/>
  <c r="AS92" i="57" s="1"/>
  <c r="AC88" i="57"/>
  <c r="AC90" i="57" s="1"/>
  <c r="AC92" i="57" s="1"/>
  <c r="M88" i="57"/>
  <c r="M90" i="57" s="1"/>
  <c r="M92" i="57" s="1"/>
  <c r="BB88" i="56"/>
  <c r="BB90" i="56" s="1"/>
  <c r="BB92" i="56" s="1"/>
  <c r="AL88" i="56"/>
  <c r="AL90" i="56" s="1"/>
  <c r="AL92" i="56" s="1"/>
  <c r="V88" i="56"/>
  <c r="V90" i="56" s="1"/>
  <c r="V92" i="56" s="1"/>
  <c r="F88" i="56"/>
  <c r="F90" i="56" s="1"/>
  <c r="F92" i="56" s="1"/>
  <c r="H88" i="57"/>
  <c r="H90" i="57" s="1"/>
  <c r="H92" i="57" s="1"/>
  <c r="AR88" i="56"/>
  <c r="AR90" i="56" s="1"/>
  <c r="AR92" i="56" s="1"/>
  <c r="AR88" i="57"/>
  <c r="AR90" i="57" s="1"/>
  <c r="AR92" i="57" s="1"/>
  <c r="AB88" i="57"/>
  <c r="AB90" i="57" s="1"/>
  <c r="AB92" i="57" s="1"/>
  <c r="L88" i="57"/>
  <c r="L90" i="57" s="1"/>
  <c r="L92" i="57" s="1"/>
  <c r="BA88" i="56"/>
  <c r="BA90" i="56" s="1"/>
  <c r="BA92" i="56" s="1"/>
  <c r="AK88" i="56"/>
  <c r="AK90" i="56" s="1"/>
  <c r="AK92" i="56" s="1"/>
  <c r="U88" i="56"/>
  <c r="U90" i="56" s="1"/>
  <c r="U92" i="56" s="1"/>
  <c r="E88" i="56"/>
  <c r="E90" i="56" s="1"/>
  <c r="E92" i="56" s="1"/>
  <c r="AA88" i="57"/>
  <c r="AA90" i="57" s="1"/>
  <c r="AA92" i="57" s="1"/>
  <c r="AQ88" i="56"/>
  <c r="AQ90" i="56" s="1"/>
  <c r="AQ92" i="56" s="1"/>
  <c r="K88" i="57"/>
  <c r="K90" i="57" s="1"/>
  <c r="K92" i="57" s="1"/>
  <c r="AZ88" i="56"/>
  <c r="AZ90" i="56" s="1"/>
  <c r="AZ92" i="56" s="1"/>
  <c r="AN88" i="57"/>
  <c r="AN90" i="57" s="1"/>
  <c r="AN92" i="57" s="1"/>
  <c r="L88" i="56"/>
  <c r="L90" i="56" s="1"/>
  <c r="L92" i="56" s="1"/>
  <c r="AP88" i="57"/>
  <c r="AP90" i="57" s="1"/>
  <c r="AP92" i="57" s="1"/>
  <c r="Z88" i="57"/>
  <c r="Z90" i="57" s="1"/>
  <c r="Z92" i="57" s="1"/>
  <c r="J88" i="57"/>
  <c r="J90" i="57" s="1"/>
  <c r="J92" i="57" s="1"/>
  <c r="AY88" i="56"/>
  <c r="AY90" i="56" s="1"/>
  <c r="AY92" i="56" s="1"/>
  <c r="AI88" i="56"/>
  <c r="AI90" i="56" s="1"/>
  <c r="AI92" i="56" s="1"/>
  <c r="S88" i="56"/>
  <c r="S90" i="56" s="1"/>
  <c r="S92" i="56" s="1"/>
  <c r="AG88" i="56"/>
  <c r="AG90" i="56" s="1"/>
  <c r="AG92" i="56" s="1"/>
  <c r="AA88" i="56"/>
  <c r="AA90" i="56" s="1"/>
  <c r="AA92" i="56" s="1"/>
  <c r="AO88" i="57"/>
  <c r="AO90" i="57" s="1"/>
  <c r="AO92" i="57" s="1"/>
  <c r="Y88" i="57"/>
  <c r="Y90" i="57" s="1"/>
  <c r="Y92" i="57" s="1"/>
  <c r="I88" i="57"/>
  <c r="I90" i="57" s="1"/>
  <c r="I92" i="57" s="1"/>
  <c r="AX88" i="56"/>
  <c r="AX90" i="56" s="1"/>
  <c r="AX92" i="56" s="1"/>
  <c r="AH88" i="56"/>
  <c r="AH90" i="56" s="1"/>
  <c r="AH92" i="56" s="1"/>
  <c r="R88" i="56"/>
  <c r="R90" i="56" s="1"/>
  <c r="R92" i="56" s="1"/>
  <c r="Q88" i="56"/>
  <c r="Q90" i="56" s="1"/>
  <c r="Q92" i="56" s="1"/>
  <c r="S88" i="57"/>
  <c r="S90" i="57" s="1"/>
  <c r="S92" i="57" s="1"/>
  <c r="X88" i="57"/>
  <c r="X90" i="57" s="1"/>
  <c r="X92" i="57" s="1"/>
  <c r="AW88" i="56"/>
  <c r="AW90" i="56" s="1"/>
  <c r="AW92" i="56" s="1"/>
  <c r="AM88" i="57"/>
  <c r="AM90" i="57" s="1"/>
  <c r="AM92" i="57" s="1"/>
  <c r="W88" i="57"/>
  <c r="W90" i="57" s="1"/>
  <c r="W92" i="57" s="1"/>
  <c r="G88" i="57"/>
  <c r="G90" i="57" s="1"/>
  <c r="G92" i="57" s="1"/>
  <c r="AV88" i="56"/>
  <c r="AV90" i="56" s="1"/>
  <c r="AV92" i="56" s="1"/>
  <c r="AF88" i="56"/>
  <c r="AF90" i="56" s="1"/>
  <c r="AF92" i="56" s="1"/>
  <c r="P88" i="56"/>
  <c r="P90" i="56" s="1"/>
  <c r="P92" i="56" s="1"/>
  <c r="BB88" i="57"/>
  <c r="BB90" i="57" s="1"/>
  <c r="BB92" i="57" s="1"/>
  <c r="AL88" i="57"/>
  <c r="AL90" i="57" s="1"/>
  <c r="AL92" i="57" s="1"/>
  <c r="V88" i="57"/>
  <c r="V90" i="57" s="1"/>
  <c r="V92" i="57" s="1"/>
  <c r="F88" i="57"/>
  <c r="F90" i="57" s="1"/>
  <c r="F92" i="57" s="1"/>
  <c r="AU88" i="56"/>
  <c r="AU90" i="56" s="1"/>
  <c r="AU92" i="56" s="1"/>
  <c r="AE88" i="56"/>
  <c r="AE90" i="56" s="1"/>
  <c r="AE92" i="56" s="1"/>
  <c r="O88" i="56"/>
  <c r="O90" i="56" s="1"/>
  <c r="O92" i="56" s="1"/>
  <c r="AY88" i="57"/>
  <c r="AY90" i="57" s="1"/>
  <c r="AY92" i="57" s="1"/>
  <c r="BA88" i="57"/>
  <c r="BA90" i="57" s="1"/>
  <c r="BA92" i="57" s="1"/>
  <c r="AK88" i="57"/>
  <c r="AK90" i="57" s="1"/>
  <c r="AK92" i="57" s="1"/>
  <c r="U88" i="57"/>
  <c r="U90" i="57" s="1"/>
  <c r="U92" i="57" s="1"/>
  <c r="E88" i="57"/>
  <c r="E90" i="57" s="1"/>
  <c r="E92" i="57" s="1"/>
  <c r="AT88" i="56"/>
  <c r="AT90" i="56" s="1"/>
  <c r="AT92" i="56" s="1"/>
  <c r="AD88" i="56"/>
  <c r="AD90" i="56" s="1"/>
  <c r="AD92" i="56" s="1"/>
  <c r="N88" i="56"/>
  <c r="N90" i="56" s="1"/>
  <c r="N92" i="56" s="1"/>
  <c r="AS88" i="56"/>
  <c r="AS90" i="56" s="1"/>
  <c r="AS92" i="56" s="1"/>
  <c r="AC88" i="56"/>
  <c r="AC90" i="56" s="1"/>
  <c r="AC92" i="56" s="1"/>
  <c r="M88" i="56"/>
  <c r="M90" i="56" s="1"/>
  <c r="M92" i="56" s="1"/>
  <c r="AZ88" i="57"/>
  <c r="AZ90" i="57" s="1"/>
  <c r="AZ92" i="57" s="1"/>
  <c r="AJ88" i="57"/>
  <c r="AJ90" i="57" s="1"/>
  <c r="AJ92" i="57" s="1"/>
  <c r="T88" i="57"/>
  <c r="T90" i="57" s="1"/>
  <c r="T92" i="57" s="1"/>
  <c r="AI88" i="57"/>
  <c r="AI90" i="57" s="1"/>
  <c r="AI92" i="57" s="1"/>
  <c r="AX88" i="57"/>
  <c r="AX90" i="57" s="1"/>
  <c r="AX92" i="57" s="1"/>
  <c r="AH88" i="57"/>
  <c r="AH90" i="57" s="1"/>
  <c r="AH92" i="57" s="1"/>
  <c r="R88" i="57"/>
  <c r="R90" i="57" s="1"/>
  <c r="R92" i="57" s="1"/>
  <c r="AW88" i="57"/>
  <c r="AW90" i="57" s="1"/>
  <c r="AW92" i="57" s="1"/>
  <c r="AG88" i="57"/>
  <c r="AG90" i="57" s="1"/>
  <c r="AG92" i="57" s="1"/>
  <c r="Q88" i="57"/>
  <c r="Q90" i="57" s="1"/>
  <c r="Q92" i="57" s="1"/>
  <c r="AP88" i="56"/>
  <c r="AP90" i="56" s="1"/>
  <c r="AP92" i="56" s="1"/>
  <c r="Z88" i="56"/>
  <c r="Z90" i="56" s="1"/>
  <c r="Z92" i="56" s="1"/>
  <c r="J88" i="56"/>
  <c r="J90" i="56" s="1"/>
  <c r="J92" i="56" s="1"/>
  <c r="AT56" i="57"/>
  <c r="AT58" i="57" s="1"/>
  <c r="AT60" i="57" s="1"/>
  <c r="AD56" i="57"/>
  <c r="AD58" i="57" s="1"/>
  <c r="AD60" i="57" s="1"/>
  <c r="N56" i="57"/>
  <c r="N58" i="57" s="1"/>
  <c r="N60" i="57" s="1"/>
  <c r="BA56" i="56"/>
  <c r="BA58" i="56" s="1"/>
  <c r="BA60" i="56" s="1"/>
  <c r="AK56" i="56"/>
  <c r="AK58" i="56" s="1"/>
  <c r="AK60" i="56" s="1"/>
  <c r="U56" i="56"/>
  <c r="U58" i="56" s="1"/>
  <c r="U60" i="56" s="1"/>
  <c r="E56" i="56"/>
  <c r="E58" i="56" s="1"/>
  <c r="E60" i="56" s="1"/>
  <c r="AG56" i="57"/>
  <c r="AG58" i="57" s="1"/>
  <c r="AG60" i="57" s="1"/>
  <c r="AS56" i="57"/>
  <c r="AS58" i="57" s="1"/>
  <c r="AS60" i="57" s="1"/>
  <c r="AC56" i="57"/>
  <c r="AC58" i="57" s="1"/>
  <c r="AC60" i="57" s="1"/>
  <c r="M56" i="57"/>
  <c r="M58" i="57" s="1"/>
  <c r="M60" i="57" s="1"/>
  <c r="AZ56" i="56"/>
  <c r="AZ58" i="56" s="1"/>
  <c r="AZ60" i="56" s="1"/>
  <c r="AJ56" i="56"/>
  <c r="AJ58" i="56" s="1"/>
  <c r="AJ60" i="56" s="1"/>
  <c r="T56" i="56"/>
  <c r="T58" i="56" s="1"/>
  <c r="T60" i="56" s="1"/>
  <c r="I56" i="57"/>
  <c r="I58" i="57" s="1"/>
  <c r="I60" i="57" s="1"/>
  <c r="X56" i="56"/>
  <c r="X58" i="56" s="1"/>
  <c r="X60" i="56" s="1"/>
  <c r="AF56" i="57"/>
  <c r="AF58" i="57" s="1"/>
  <c r="AF60" i="57" s="1"/>
  <c r="AM56" i="56"/>
  <c r="AM58" i="56" s="1"/>
  <c r="AM60" i="56" s="1"/>
  <c r="AR56" i="57"/>
  <c r="AR58" i="57" s="1"/>
  <c r="AR60" i="57" s="1"/>
  <c r="AB56" i="57"/>
  <c r="AB58" i="57" s="1"/>
  <c r="AB60" i="57" s="1"/>
  <c r="L56" i="57"/>
  <c r="L58" i="57" s="1"/>
  <c r="L60" i="57" s="1"/>
  <c r="AY56" i="56"/>
  <c r="AY58" i="56" s="1"/>
  <c r="AY60" i="56" s="1"/>
  <c r="AI56" i="56"/>
  <c r="AI58" i="56" s="1"/>
  <c r="AI60" i="56" s="1"/>
  <c r="S56" i="56"/>
  <c r="S58" i="56" s="1"/>
  <c r="S60" i="56" s="1"/>
  <c r="AO56" i="57"/>
  <c r="AO58" i="57" s="1"/>
  <c r="AO60" i="57" s="1"/>
  <c r="AF56" i="56"/>
  <c r="AF58" i="56" s="1"/>
  <c r="AF60" i="56" s="1"/>
  <c r="BB56" i="57"/>
  <c r="BB58" i="57" s="1"/>
  <c r="BB60" i="57" s="1"/>
  <c r="AQ56" i="57"/>
  <c r="AQ58" i="57" s="1"/>
  <c r="AQ60" i="57" s="1"/>
  <c r="AA56" i="57"/>
  <c r="AA58" i="57" s="1"/>
  <c r="AA60" i="57" s="1"/>
  <c r="K56" i="57"/>
  <c r="K58" i="57" s="1"/>
  <c r="K60" i="57" s="1"/>
  <c r="AX56" i="56"/>
  <c r="AX58" i="56" s="1"/>
  <c r="AX60" i="56" s="1"/>
  <c r="AH56" i="56"/>
  <c r="AH58" i="56" s="1"/>
  <c r="AH60" i="56" s="1"/>
  <c r="R56" i="56"/>
  <c r="R58" i="56" s="1"/>
  <c r="R60" i="56" s="1"/>
  <c r="P56" i="56"/>
  <c r="P58" i="56" s="1"/>
  <c r="P60" i="56" s="1"/>
  <c r="AW56" i="57"/>
  <c r="AW58" i="57" s="1"/>
  <c r="AW60" i="57" s="1"/>
  <c r="AP56" i="57"/>
  <c r="AP58" i="57" s="1"/>
  <c r="AP60" i="57" s="1"/>
  <c r="Z56" i="57"/>
  <c r="Z58" i="57" s="1"/>
  <c r="Z60" i="57" s="1"/>
  <c r="J56" i="57"/>
  <c r="J58" i="57" s="1"/>
  <c r="J60" i="57" s="1"/>
  <c r="AW56" i="56"/>
  <c r="AW58" i="56" s="1"/>
  <c r="AW60" i="56" s="1"/>
  <c r="AG56" i="56"/>
  <c r="AG58" i="56" s="1"/>
  <c r="AG60" i="56" s="1"/>
  <c r="Q56" i="56"/>
  <c r="Q58" i="56" s="1"/>
  <c r="Q60" i="56" s="1"/>
  <c r="AV56" i="56"/>
  <c r="AV58" i="56" s="1"/>
  <c r="AV60" i="56" s="1"/>
  <c r="AL56" i="57"/>
  <c r="AL58" i="57" s="1"/>
  <c r="AL60" i="57" s="1"/>
  <c r="G56" i="56"/>
  <c r="G58" i="56" s="1"/>
  <c r="G60" i="56" s="1"/>
  <c r="Y56" i="57"/>
  <c r="Y58" i="57" s="1"/>
  <c r="Y60" i="57" s="1"/>
  <c r="AS56" i="56"/>
  <c r="AS58" i="56" s="1"/>
  <c r="AS60" i="56" s="1"/>
  <c r="P56" i="57"/>
  <c r="P58" i="57" s="1"/>
  <c r="P60" i="57" s="1"/>
  <c r="AN56" i="57"/>
  <c r="AN58" i="57" s="1"/>
  <c r="AN60" i="57" s="1"/>
  <c r="X56" i="57"/>
  <c r="X58" i="57" s="1"/>
  <c r="X60" i="57" s="1"/>
  <c r="H56" i="57"/>
  <c r="H58" i="57" s="1"/>
  <c r="H60" i="57" s="1"/>
  <c r="AU56" i="56"/>
  <c r="AU58" i="56" s="1"/>
  <c r="AU60" i="56" s="1"/>
  <c r="AE56" i="56"/>
  <c r="AE58" i="56" s="1"/>
  <c r="AE60" i="56" s="1"/>
  <c r="O56" i="56"/>
  <c r="O58" i="56" s="1"/>
  <c r="O60" i="56" s="1"/>
  <c r="F56" i="57"/>
  <c r="F58" i="57" s="1"/>
  <c r="F60" i="57" s="1"/>
  <c r="AC56" i="56"/>
  <c r="AC58" i="56" s="1"/>
  <c r="AC60" i="56" s="1"/>
  <c r="AM56" i="57"/>
  <c r="AM58" i="57" s="1"/>
  <c r="AM60" i="57" s="1"/>
  <c r="W56" i="57"/>
  <c r="W58" i="57" s="1"/>
  <c r="W60" i="57" s="1"/>
  <c r="G56" i="57"/>
  <c r="G58" i="57" s="1"/>
  <c r="G60" i="57" s="1"/>
  <c r="AT56" i="56"/>
  <c r="AT58" i="56" s="1"/>
  <c r="AT60" i="56" s="1"/>
  <c r="AD56" i="56"/>
  <c r="AD58" i="56" s="1"/>
  <c r="AD60" i="56" s="1"/>
  <c r="N56" i="56"/>
  <c r="N58" i="56" s="1"/>
  <c r="N60" i="56" s="1"/>
  <c r="M56" i="56"/>
  <c r="M58" i="56" s="1"/>
  <c r="M60" i="56" s="1"/>
  <c r="V56" i="57"/>
  <c r="V58" i="57" s="1"/>
  <c r="V60" i="57" s="1"/>
  <c r="BA56" i="57"/>
  <c r="BA58" i="57" s="1"/>
  <c r="BA60" i="57" s="1"/>
  <c r="AK56" i="57"/>
  <c r="AK58" i="57" s="1"/>
  <c r="AK60" i="57" s="1"/>
  <c r="U56" i="57"/>
  <c r="U58" i="57" s="1"/>
  <c r="U60" i="57" s="1"/>
  <c r="E56" i="57"/>
  <c r="E58" i="57" s="1"/>
  <c r="E60" i="57" s="1"/>
  <c r="E61" i="57" s="1"/>
  <c r="AR56" i="56"/>
  <c r="AR58" i="56" s="1"/>
  <c r="AR60" i="56" s="1"/>
  <c r="AB56" i="56"/>
  <c r="AB58" i="56" s="1"/>
  <c r="AB60" i="56" s="1"/>
  <c r="L56" i="56"/>
  <c r="L58" i="56" s="1"/>
  <c r="L60" i="56" s="1"/>
  <c r="AV56" i="57"/>
  <c r="AV58" i="57" s="1"/>
  <c r="AV60" i="57" s="1"/>
  <c r="W56" i="56"/>
  <c r="W58" i="56" s="1"/>
  <c r="W60" i="56" s="1"/>
  <c r="AZ56" i="57"/>
  <c r="AZ58" i="57" s="1"/>
  <c r="AZ60" i="57" s="1"/>
  <c r="AJ56" i="57"/>
  <c r="AJ58" i="57" s="1"/>
  <c r="AJ60" i="57" s="1"/>
  <c r="T56" i="57"/>
  <c r="T58" i="57" s="1"/>
  <c r="T60" i="57" s="1"/>
  <c r="AQ56" i="56"/>
  <c r="AQ58" i="56" s="1"/>
  <c r="AQ60" i="56" s="1"/>
  <c r="AA56" i="56"/>
  <c r="AA58" i="56" s="1"/>
  <c r="AA60" i="56" s="1"/>
  <c r="K56" i="56"/>
  <c r="K58" i="56" s="1"/>
  <c r="K60" i="56" s="1"/>
  <c r="AH56" i="57"/>
  <c r="AH58" i="57" s="1"/>
  <c r="AH60" i="57" s="1"/>
  <c r="Y56" i="56"/>
  <c r="Y58" i="56" s="1"/>
  <c r="Y60" i="56" s="1"/>
  <c r="AN56" i="56"/>
  <c r="AN58" i="56" s="1"/>
  <c r="AN60" i="56" s="1"/>
  <c r="AY56" i="57"/>
  <c r="AY58" i="57" s="1"/>
  <c r="AY60" i="57" s="1"/>
  <c r="AI56" i="57"/>
  <c r="AI58" i="57" s="1"/>
  <c r="AI60" i="57" s="1"/>
  <c r="S56" i="57"/>
  <c r="S58" i="57" s="1"/>
  <c r="S60" i="57" s="1"/>
  <c r="AP56" i="56"/>
  <c r="AP58" i="56" s="1"/>
  <c r="AP60" i="56" s="1"/>
  <c r="Z56" i="56"/>
  <c r="Z58" i="56" s="1"/>
  <c r="Z60" i="56" s="1"/>
  <c r="J56" i="56"/>
  <c r="J58" i="56" s="1"/>
  <c r="J60" i="56" s="1"/>
  <c r="AX56" i="57"/>
  <c r="AX58" i="57" s="1"/>
  <c r="AX60" i="57" s="1"/>
  <c r="R56" i="57"/>
  <c r="R58" i="57" s="1"/>
  <c r="R60" i="57" s="1"/>
  <c r="AO56" i="56"/>
  <c r="AO58" i="56" s="1"/>
  <c r="AO60" i="56" s="1"/>
  <c r="I56" i="56"/>
  <c r="I58" i="56" s="1"/>
  <c r="I60" i="56" s="1"/>
  <c r="Q56" i="57"/>
  <c r="Q58" i="57" s="1"/>
  <c r="Q60" i="57" s="1"/>
  <c r="H56" i="56"/>
  <c r="H58" i="56" s="1"/>
  <c r="H60" i="56" s="1"/>
  <c r="AU56" i="57"/>
  <c r="AU58" i="57" s="1"/>
  <c r="AU60" i="57" s="1"/>
  <c r="AE56" i="57"/>
  <c r="AE58" i="57" s="1"/>
  <c r="AE60" i="57" s="1"/>
  <c r="O56" i="57"/>
  <c r="O58" i="57" s="1"/>
  <c r="O60" i="57" s="1"/>
  <c r="BB56" i="56"/>
  <c r="BB58" i="56" s="1"/>
  <c r="BB60" i="56" s="1"/>
  <c r="AL56" i="56"/>
  <c r="AL58" i="56" s="1"/>
  <c r="AL60" i="56" s="1"/>
  <c r="V56" i="56"/>
  <c r="V58" i="56" s="1"/>
  <c r="V60" i="56" s="1"/>
  <c r="F56" i="56"/>
  <c r="F58" i="56" s="1"/>
  <c r="F60" i="56" s="1"/>
  <c r="Q37" i="56"/>
  <c r="AH56" i="29"/>
  <c r="AH58" i="29" s="1"/>
  <c r="AH60" i="29" s="1"/>
  <c r="F56" i="29"/>
  <c r="F58" i="29" s="1"/>
  <c r="F60" i="29" s="1"/>
  <c r="BA56" i="29"/>
  <c r="BA58" i="29" s="1"/>
  <c r="BA60" i="29" s="1"/>
  <c r="AO56" i="29"/>
  <c r="AO58" i="29" s="1"/>
  <c r="AO60" i="29" s="1"/>
  <c r="AG56" i="29"/>
  <c r="AG58" i="29" s="1"/>
  <c r="AG60" i="29" s="1"/>
  <c r="Y56" i="29"/>
  <c r="Y58" i="29" s="1"/>
  <c r="Y60" i="29" s="1"/>
  <c r="Q56" i="29"/>
  <c r="Q58" i="29" s="1"/>
  <c r="Q60" i="29" s="1"/>
  <c r="I56" i="29"/>
  <c r="I58" i="29" s="1"/>
  <c r="I60" i="29" s="1"/>
  <c r="AV56" i="29"/>
  <c r="AV58" i="29" s="1"/>
  <c r="AV60" i="29" s="1"/>
  <c r="AN56" i="29"/>
  <c r="AN58" i="29" s="1"/>
  <c r="AN60" i="29" s="1"/>
  <c r="AB56" i="29"/>
  <c r="AB58" i="29" s="1"/>
  <c r="AB60" i="29" s="1"/>
  <c r="T56" i="29"/>
  <c r="T58" i="29" s="1"/>
  <c r="T60" i="29" s="1"/>
  <c r="H56" i="29"/>
  <c r="H58" i="29" s="1"/>
  <c r="H60" i="29" s="1"/>
  <c r="P56" i="29"/>
  <c r="P58" i="29" s="1"/>
  <c r="P60" i="29" s="1"/>
  <c r="AJ56" i="29"/>
  <c r="AJ58" i="29" s="1"/>
  <c r="AJ60" i="29" s="1"/>
  <c r="AY56" i="29"/>
  <c r="AY58" i="29" s="1"/>
  <c r="AY60" i="29" s="1"/>
  <c r="AU56" i="29"/>
  <c r="AU58" i="29" s="1"/>
  <c r="AU60" i="29" s="1"/>
  <c r="AQ56" i="29"/>
  <c r="AQ58" i="29" s="1"/>
  <c r="AQ60" i="29" s="1"/>
  <c r="AM56" i="29"/>
  <c r="AM58" i="29" s="1"/>
  <c r="AM60" i="29" s="1"/>
  <c r="AI56" i="29"/>
  <c r="AI58" i="29" s="1"/>
  <c r="AI60" i="29" s="1"/>
  <c r="AE56" i="29"/>
  <c r="AE58" i="29" s="1"/>
  <c r="AE60" i="29" s="1"/>
  <c r="AA56" i="29"/>
  <c r="AA58" i="29" s="1"/>
  <c r="AA60" i="29" s="1"/>
  <c r="W56" i="29"/>
  <c r="W58" i="29" s="1"/>
  <c r="W60" i="29" s="1"/>
  <c r="S56" i="29"/>
  <c r="S58" i="29" s="1"/>
  <c r="S60" i="29" s="1"/>
  <c r="O56" i="29"/>
  <c r="O58" i="29" s="1"/>
  <c r="O60" i="29" s="1"/>
  <c r="K56" i="29"/>
  <c r="K58" i="29" s="1"/>
  <c r="K60" i="29" s="1"/>
  <c r="G56" i="29"/>
  <c r="G58" i="29" s="1"/>
  <c r="G60" i="29" s="1"/>
  <c r="BB56" i="29"/>
  <c r="BB58" i="29" s="1"/>
  <c r="BB60" i="29" s="1"/>
  <c r="AX56" i="29"/>
  <c r="AX58" i="29" s="1"/>
  <c r="AX60" i="29" s="1"/>
  <c r="AT56" i="29"/>
  <c r="AT58" i="29" s="1"/>
  <c r="AT60" i="29" s="1"/>
  <c r="AP56" i="29"/>
  <c r="AP58" i="29" s="1"/>
  <c r="AP60" i="29" s="1"/>
  <c r="AL56" i="29"/>
  <c r="AL58" i="29" s="1"/>
  <c r="AL60" i="29" s="1"/>
  <c r="AD56" i="29"/>
  <c r="AD58" i="29" s="1"/>
  <c r="AD60" i="29" s="1"/>
  <c r="Z56" i="29"/>
  <c r="Z58" i="29" s="1"/>
  <c r="Z60" i="29" s="1"/>
  <c r="V56" i="29"/>
  <c r="V58" i="29" s="1"/>
  <c r="V60" i="29" s="1"/>
  <c r="R56" i="29"/>
  <c r="R58" i="29" s="1"/>
  <c r="R60" i="29" s="1"/>
  <c r="N56" i="29"/>
  <c r="N58" i="29" s="1"/>
  <c r="N60" i="29" s="1"/>
  <c r="J56" i="29"/>
  <c r="J58" i="29" s="1"/>
  <c r="J60" i="29" s="1"/>
  <c r="AW56" i="29"/>
  <c r="AW58" i="29" s="1"/>
  <c r="AW60" i="29" s="1"/>
  <c r="AS56" i="29"/>
  <c r="AS58" i="29" s="1"/>
  <c r="AS60" i="29" s="1"/>
  <c r="AK56" i="29"/>
  <c r="AK58" i="29" s="1"/>
  <c r="AK60" i="29" s="1"/>
  <c r="AC56" i="29"/>
  <c r="AC58" i="29" s="1"/>
  <c r="AC60" i="29" s="1"/>
  <c r="U56" i="29"/>
  <c r="U58" i="29" s="1"/>
  <c r="U60" i="29" s="1"/>
  <c r="M56" i="29"/>
  <c r="M58" i="29" s="1"/>
  <c r="M60" i="29" s="1"/>
  <c r="E56" i="29"/>
  <c r="E58" i="29" s="1"/>
  <c r="E60" i="29" s="1"/>
  <c r="AZ56" i="29"/>
  <c r="AZ58" i="29" s="1"/>
  <c r="AZ60" i="29" s="1"/>
  <c r="AR56" i="29"/>
  <c r="AR58" i="29" s="1"/>
  <c r="AR60" i="29" s="1"/>
  <c r="AF56" i="29"/>
  <c r="AF58" i="29" s="1"/>
  <c r="AF60" i="29" s="1"/>
  <c r="X56" i="29"/>
  <c r="X58" i="29" s="1"/>
  <c r="X60" i="29" s="1"/>
  <c r="L56" i="29"/>
  <c r="L58" i="29" s="1"/>
  <c r="L60" i="29" s="1"/>
  <c r="AX88" i="29"/>
  <c r="AX90" i="29" s="1"/>
  <c r="AX92" i="29" s="1"/>
  <c r="E88" i="29"/>
  <c r="E90" i="29" s="1"/>
  <c r="E92" i="29" s="1"/>
  <c r="BA88" i="29"/>
  <c r="BA90" i="29" s="1"/>
  <c r="BA92" i="29" s="1"/>
  <c r="AW88" i="29"/>
  <c r="AW90" i="29" s="1"/>
  <c r="AW92" i="29" s="1"/>
  <c r="AS88" i="29"/>
  <c r="AS90" i="29" s="1"/>
  <c r="AS92" i="29" s="1"/>
  <c r="AO88" i="29"/>
  <c r="AO90" i="29" s="1"/>
  <c r="AO92" i="29" s="1"/>
  <c r="AK88" i="29"/>
  <c r="AK90" i="29" s="1"/>
  <c r="AK92" i="29" s="1"/>
  <c r="AG88" i="29"/>
  <c r="AG90" i="29" s="1"/>
  <c r="AG92" i="29" s="1"/>
  <c r="AC88" i="29"/>
  <c r="AC90" i="29" s="1"/>
  <c r="AC92" i="29" s="1"/>
  <c r="Y88" i="29"/>
  <c r="Y90" i="29" s="1"/>
  <c r="Y92" i="29" s="1"/>
  <c r="U88" i="29"/>
  <c r="U90" i="29" s="1"/>
  <c r="U92" i="29" s="1"/>
  <c r="Q88" i="29"/>
  <c r="Q90" i="29" s="1"/>
  <c r="Q92" i="29" s="1"/>
  <c r="I88" i="29"/>
  <c r="I90" i="29" s="1"/>
  <c r="I92" i="29" s="1"/>
  <c r="AZ88" i="29"/>
  <c r="AZ90" i="29" s="1"/>
  <c r="AZ92" i="29" s="1"/>
  <c r="AV88" i="29"/>
  <c r="AV90" i="29" s="1"/>
  <c r="AV92" i="29" s="1"/>
  <c r="AR88" i="29"/>
  <c r="AR90" i="29" s="1"/>
  <c r="AR92" i="29" s="1"/>
  <c r="AN88" i="29"/>
  <c r="AN90" i="29" s="1"/>
  <c r="AN92" i="29" s="1"/>
  <c r="AJ88" i="29"/>
  <c r="AJ90" i="29" s="1"/>
  <c r="AJ92" i="29" s="1"/>
  <c r="AF88" i="29"/>
  <c r="AF90" i="29" s="1"/>
  <c r="AF92" i="29" s="1"/>
  <c r="AB88" i="29"/>
  <c r="AB90" i="29" s="1"/>
  <c r="AB92" i="29" s="1"/>
  <c r="X88" i="29"/>
  <c r="X90" i="29" s="1"/>
  <c r="X92" i="29" s="1"/>
  <c r="T88" i="29"/>
  <c r="T90" i="29" s="1"/>
  <c r="T92" i="29" s="1"/>
  <c r="P88" i="29"/>
  <c r="P90" i="29" s="1"/>
  <c r="P92" i="29" s="1"/>
  <c r="L88" i="29"/>
  <c r="L90" i="29" s="1"/>
  <c r="L92" i="29" s="1"/>
  <c r="H88" i="29"/>
  <c r="H90" i="29" s="1"/>
  <c r="H92" i="29" s="1"/>
  <c r="AY88" i="29"/>
  <c r="AY90" i="29" s="1"/>
  <c r="AY92" i="29" s="1"/>
  <c r="AU88" i="29"/>
  <c r="AU90" i="29" s="1"/>
  <c r="AU92" i="29" s="1"/>
  <c r="AQ88" i="29"/>
  <c r="AQ90" i="29" s="1"/>
  <c r="AQ92" i="29" s="1"/>
  <c r="AM88" i="29"/>
  <c r="AM90" i="29" s="1"/>
  <c r="AM92" i="29" s="1"/>
  <c r="AI88" i="29"/>
  <c r="AI90" i="29" s="1"/>
  <c r="AI92" i="29" s="1"/>
  <c r="AE88" i="29"/>
  <c r="AE90" i="29" s="1"/>
  <c r="AE92" i="29" s="1"/>
  <c r="AA88" i="29"/>
  <c r="AA90" i="29" s="1"/>
  <c r="AA92" i="29" s="1"/>
  <c r="W88" i="29"/>
  <c r="W90" i="29" s="1"/>
  <c r="W92" i="29" s="1"/>
  <c r="S88" i="29"/>
  <c r="S90" i="29" s="1"/>
  <c r="S92" i="29" s="1"/>
  <c r="O88" i="29"/>
  <c r="O90" i="29" s="1"/>
  <c r="O92" i="29" s="1"/>
  <c r="K88" i="29"/>
  <c r="K90" i="29" s="1"/>
  <c r="K92" i="29" s="1"/>
  <c r="G88" i="29"/>
  <c r="G90" i="29" s="1"/>
  <c r="G92" i="29" s="1"/>
  <c r="BB88" i="29"/>
  <c r="BB90" i="29" s="1"/>
  <c r="BB92" i="29" s="1"/>
  <c r="AT88" i="29"/>
  <c r="AT90" i="29" s="1"/>
  <c r="AT92" i="29" s="1"/>
  <c r="AP88" i="29"/>
  <c r="AP90" i="29" s="1"/>
  <c r="AP92" i="29" s="1"/>
  <c r="AL88" i="29"/>
  <c r="AL90" i="29" s="1"/>
  <c r="AL92" i="29" s="1"/>
  <c r="AH88" i="29"/>
  <c r="AH90" i="29" s="1"/>
  <c r="AH92" i="29" s="1"/>
  <c r="AD88" i="29"/>
  <c r="AD90" i="29" s="1"/>
  <c r="AD92" i="29" s="1"/>
  <c r="Z88" i="29"/>
  <c r="Z90" i="29" s="1"/>
  <c r="Z92" i="29" s="1"/>
  <c r="V88" i="29"/>
  <c r="V90" i="29" s="1"/>
  <c r="V92" i="29" s="1"/>
  <c r="R88" i="29"/>
  <c r="R90" i="29" s="1"/>
  <c r="R92" i="29" s="1"/>
  <c r="N88" i="29"/>
  <c r="N90" i="29" s="1"/>
  <c r="N92" i="29" s="1"/>
  <c r="J88" i="29"/>
  <c r="J90" i="29" s="1"/>
  <c r="J92" i="29" s="1"/>
  <c r="F88" i="29"/>
  <c r="F90" i="29" s="1"/>
  <c r="F92" i="29" s="1"/>
  <c r="M88" i="29"/>
  <c r="M90" i="29" s="1"/>
  <c r="M92" i="29" s="1"/>
  <c r="AM64" i="56"/>
  <c r="AM66" i="56" s="1"/>
  <c r="AM68" i="56" s="1"/>
  <c r="W138" i="29"/>
  <c r="W140" i="29" s="1"/>
  <c r="W145" i="29"/>
  <c r="W147" i="29" s="1"/>
  <c r="J138" i="29"/>
  <c r="J140" i="29" s="1"/>
  <c r="J145" i="29"/>
  <c r="J147" i="29" s="1"/>
  <c r="AZ138" i="29"/>
  <c r="AZ140" i="29" s="1"/>
  <c r="AZ145" i="29"/>
  <c r="AZ147" i="29" s="1"/>
  <c r="AJ138" i="29"/>
  <c r="AJ140" i="29" s="1"/>
  <c r="AJ145" i="29"/>
  <c r="AJ147" i="29" s="1"/>
  <c r="AW138" i="29"/>
  <c r="AW140" i="29" s="1"/>
  <c r="AW145" i="29"/>
  <c r="AW147" i="29" s="1"/>
  <c r="AN138" i="29"/>
  <c r="AN140" i="29" s="1"/>
  <c r="AN145" i="29"/>
  <c r="AN147" i="29" s="1"/>
  <c r="AV138" i="29"/>
  <c r="AV140" i="29" s="1"/>
  <c r="AV145" i="29"/>
  <c r="AV147" i="29" s="1"/>
  <c r="O138" i="29"/>
  <c r="O140" i="29" s="1"/>
  <c r="O145" i="29"/>
  <c r="O147" i="29" s="1"/>
  <c r="AB138" i="29"/>
  <c r="AB140" i="29" s="1"/>
  <c r="AB145" i="29"/>
  <c r="AB147" i="29" s="1"/>
  <c r="X138" i="29"/>
  <c r="X140" i="29" s="1"/>
  <c r="X145" i="29"/>
  <c r="X147" i="29" s="1"/>
  <c r="E138" i="29"/>
  <c r="E140" i="29" s="1"/>
  <c r="E141" i="29" s="1"/>
  <c r="E148" i="29" s="1"/>
  <c r="E145" i="29"/>
  <c r="E147" i="29" s="1"/>
  <c r="AS138" i="29"/>
  <c r="AS140" i="29" s="1"/>
  <c r="AS145" i="29"/>
  <c r="AS147" i="29" s="1"/>
  <c r="AK138" i="29"/>
  <c r="AK140" i="29" s="1"/>
  <c r="AK145" i="29"/>
  <c r="AK147" i="29" s="1"/>
  <c r="T138" i="29"/>
  <c r="T140" i="29" s="1"/>
  <c r="T145" i="29"/>
  <c r="T147" i="29" s="1"/>
  <c r="R138" i="29"/>
  <c r="R140" i="29" s="1"/>
  <c r="R145" i="29"/>
  <c r="R147" i="29" s="1"/>
  <c r="F138" i="29"/>
  <c r="F140" i="29" s="1"/>
  <c r="F145" i="29"/>
  <c r="F147" i="29" s="1"/>
  <c r="AF138" i="29"/>
  <c r="AF140" i="29" s="1"/>
  <c r="AF145" i="29"/>
  <c r="AF147" i="29" s="1"/>
  <c r="AG138" i="29"/>
  <c r="AG140" i="29" s="1"/>
  <c r="AG145" i="29"/>
  <c r="AG147" i="29" s="1"/>
  <c r="P138" i="29"/>
  <c r="P140" i="29" s="1"/>
  <c r="P145" i="29"/>
  <c r="P147" i="29" s="1"/>
  <c r="I138" i="29"/>
  <c r="I140" i="29" s="1"/>
  <c r="I145" i="29"/>
  <c r="I147" i="29" s="1"/>
  <c r="AR138" i="29"/>
  <c r="AR140" i="29" s="1"/>
  <c r="AR145" i="29"/>
  <c r="AR147" i="29" s="1"/>
  <c r="AL138" i="29"/>
  <c r="AL140" i="29" s="1"/>
  <c r="AL145" i="29"/>
  <c r="AL147" i="29" s="1"/>
  <c r="L138" i="29"/>
  <c r="L140" i="29" s="1"/>
  <c r="L145" i="29"/>
  <c r="L147" i="29" s="1"/>
  <c r="K138" i="29"/>
  <c r="K140" i="29" s="1"/>
  <c r="K145" i="29"/>
  <c r="K147" i="29" s="1"/>
  <c r="BB138" i="29"/>
  <c r="BB140" i="29" s="1"/>
  <c r="BB145" i="29"/>
  <c r="BB147" i="29" s="1"/>
  <c r="AX138" i="29"/>
  <c r="AX140" i="29" s="1"/>
  <c r="AX145" i="29"/>
  <c r="AX147" i="29" s="1"/>
  <c r="AH138" i="29"/>
  <c r="AH140" i="29" s="1"/>
  <c r="AH145" i="29"/>
  <c r="AH147" i="29" s="1"/>
  <c r="H138" i="29"/>
  <c r="H140" i="29" s="1"/>
  <c r="H145" i="29"/>
  <c r="H147" i="29" s="1"/>
  <c r="N138" i="29"/>
  <c r="N140" i="29" s="1"/>
  <c r="N145" i="29"/>
  <c r="N147" i="29" s="1"/>
  <c r="S138" i="29"/>
  <c r="S140" i="29" s="1"/>
  <c r="S145" i="29"/>
  <c r="S147" i="29" s="1"/>
  <c r="G138" i="29"/>
  <c r="G140" i="29" s="1"/>
  <c r="G145" i="29"/>
  <c r="G147" i="29" s="1"/>
  <c r="AO138" i="29"/>
  <c r="AO140" i="29" s="1"/>
  <c r="AO145" i="29"/>
  <c r="AO147" i="29" s="1"/>
  <c r="AY138" i="29"/>
  <c r="AY140" i="29" s="1"/>
  <c r="AY145" i="29"/>
  <c r="AY147" i="29" s="1"/>
  <c r="AU138" i="29"/>
  <c r="AU140" i="29" s="1"/>
  <c r="AU145" i="29"/>
  <c r="AU147" i="29" s="1"/>
  <c r="AQ138" i="29"/>
  <c r="AQ140" i="29" s="1"/>
  <c r="AQ145" i="29"/>
  <c r="AQ147" i="29" s="1"/>
  <c r="U138" i="29"/>
  <c r="U140" i="29" s="1"/>
  <c r="U145" i="29"/>
  <c r="U147" i="29" s="1"/>
  <c r="AA138" i="29"/>
  <c r="AA140" i="29" s="1"/>
  <c r="AA145" i="29"/>
  <c r="AA147" i="29" s="1"/>
  <c r="AP138" i="29"/>
  <c r="AP140" i="29" s="1"/>
  <c r="AP145" i="29"/>
  <c r="AP147" i="29" s="1"/>
  <c r="Y138" i="29"/>
  <c r="Y140" i="29" s="1"/>
  <c r="Y145" i="29"/>
  <c r="Y147" i="29" s="1"/>
  <c r="AM138" i="29"/>
  <c r="AM140" i="29" s="1"/>
  <c r="AM145" i="29"/>
  <c r="AM147" i="29" s="1"/>
  <c r="Z138" i="29"/>
  <c r="Z140" i="29" s="1"/>
  <c r="Z145" i="29"/>
  <c r="Z147" i="29" s="1"/>
  <c r="Q138" i="29"/>
  <c r="Q140" i="29" s="1"/>
  <c r="Q145" i="29"/>
  <c r="Q147" i="29" s="1"/>
  <c r="AE138" i="29"/>
  <c r="AE140" i="29" s="1"/>
  <c r="AE145" i="29"/>
  <c r="AE147" i="29" s="1"/>
  <c r="BA138" i="29"/>
  <c r="BA140" i="29" s="1"/>
  <c r="BA145" i="29"/>
  <c r="BA147" i="29" s="1"/>
  <c r="AT138" i="29"/>
  <c r="AT140" i="29" s="1"/>
  <c r="AT145" i="29"/>
  <c r="AT147" i="29" s="1"/>
  <c r="AC138" i="29"/>
  <c r="AC140" i="29" s="1"/>
  <c r="AC145" i="29"/>
  <c r="AC147" i="29" s="1"/>
  <c r="AD138" i="29"/>
  <c r="AD140" i="29" s="1"/>
  <c r="AD145" i="29"/>
  <c r="AD147" i="29" s="1"/>
  <c r="AI138" i="29"/>
  <c r="AI140" i="29" s="1"/>
  <c r="AI145" i="29"/>
  <c r="AI147" i="29" s="1"/>
  <c r="V138" i="29"/>
  <c r="V140" i="29" s="1"/>
  <c r="V145" i="29"/>
  <c r="V147" i="29" s="1"/>
  <c r="M138" i="29"/>
  <c r="M140" i="29" s="1"/>
  <c r="M145" i="29"/>
  <c r="M147" i="29" s="1"/>
  <c r="AG64" i="56"/>
  <c r="AG66" i="56" s="1"/>
  <c r="AG68" i="56" s="1"/>
  <c r="V64" i="56"/>
  <c r="V66" i="56" s="1"/>
  <c r="V68" i="56" s="1"/>
  <c r="K64" i="56"/>
  <c r="K66" i="56" s="1"/>
  <c r="K68" i="56" s="1"/>
  <c r="AW64" i="56"/>
  <c r="AW66" i="56" s="1"/>
  <c r="AW68" i="56" s="1"/>
  <c r="T64" i="56"/>
  <c r="T66" i="56" s="1"/>
  <c r="T68" i="56" s="1"/>
  <c r="O21" i="28"/>
  <c r="P21" i="28" s="1"/>
  <c r="Q21" i="28" s="1"/>
  <c r="H64" i="56"/>
  <c r="H66" i="56" s="1"/>
  <c r="H68" i="56" s="1"/>
  <c r="N64" i="29"/>
  <c r="N66" i="29" s="1"/>
  <c r="N68" i="29" s="1"/>
  <c r="Q64" i="29"/>
  <c r="Q66" i="29" s="1"/>
  <c r="Q68" i="29" s="1"/>
  <c r="J64" i="29"/>
  <c r="AZ64" i="56"/>
  <c r="AZ66" i="56" s="1"/>
  <c r="AZ68" i="56" s="1"/>
  <c r="AN64" i="29"/>
  <c r="AN66" i="29" s="1"/>
  <c r="AN68" i="29" s="1"/>
  <c r="X64" i="57"/>
  <c r="X66" i="57" s="1"/>
  <c r="X68" i="57" s="1"/>
  <c r="R37" i="29"/>
  <c r="O22" i="28"/>
  <c r="P22" i="28" s="1"/>
  <c r="Q22" i="28" s="1"/>
  <c r="AU64" i="29"/>
  <c r="AU66" i="29" s="1"/>
  <c r="AU68" i="29" s="1"/>
  <c r="AD64" i="57"/>
  <c r="AD66" i="57" s="1"/>
  <c r="AD68" i="57" s="1"/>
  <c r="AM64" i="57"/>
  <c r="AM66" i="57" s="1"/>
  <c r="AM68" i="57" s="1"/>
  <c r="AX64" i="57"/>
  <c r="AX66" i="57" s="1"/>
  <c r="AX68" i="57" s="1"/>
  <c r="L64" i="56"/>
  <c r="L66" i="56" s="1"/>
  <c r="L68" i="56" s="1"/>
  <c r="M64" i="56"/>
  <c r="M66" i="56" s="1"/>
  <c r="M68" i="56" s="1"/>
  <c r="AW64" i="29"/>
  <c r="AW66" i="29" s="1"/>
  <c r="AW68" i="29" s="1"/>
  <c r="F64" i="56"/>
  <c r="F66" i="56" s="1"/>
  <c r="F68" i="56" s="1"/>
  <c r="U64" i="57"/>
  <c r="U66" i="57" s="1"/>
  <c r="U68" i="57" s="1"/>
  <c r="M64" i="29"/>
  <c r="M66" i="29" s="1"/>
  <c r="M68" i="29" s="1"/>
  <c r="T64" i="29"/>
  <c r="AY64" i="29"/>
  <c r="AY66" i="29" s="1"/>
  <c r="AY68" i="29" s="1"/>
  <c r="S64" i="29"/>
  <c r="S66" i="29" s="1"/>
  <c r="S68" i="29" s="1"/>
  <c r="N64" i="56"/>
  <c r="N66" i="56" s="1"/>
  <c r="N68" i="56" s="1"/>
  <c r="AG64" i="57"/>
  <c r="AG66" i="57" s="1"/>
  <c r="AG68" i="57" s="1"/>
  <c r="Y64" i="56"/>
  <c r="Y66" i="56" s="1"/>
  <c r="Y68" i="56" s="1"/>
  <c r="T64" i="57"/>
  <c r="T66" i="57" s="1"/>
  <c r="T68" i="57" s="1"/>
  <c r="Z64" i="57"/>
  <c r="Z66" i="57" s="1"/>
  <c r="Z68" i="57" s="1"/>
  <c r="BB64" i="29"/>
  <c r="BB66" i="29" s="1"/>
  <c r="BB68" i="29" s="1"/>
  <c r="E10" i="47"/>
  <c r="R64" i="56"/>
  <c r="R66" i="56" s="1"/>
  <c r="R68" i="56" s="1"/>
  <c r="BB64" i="56"/>
  <c r="BB66" i="56" s="1"/>
  <c r="BB68" i="56" s="1"/>
  <c r="F64" i="29"/>
  <c r="AF64" i="29"/>
  <c r="AF66" i="29" s="1"/>
  <c r="AF68" i="29" s="1"/>
  <c r="AC64" i="57"/>
  <c r="AC66" i="57" s="1"/>
  <c r="AC68" i="57" s="1"/>
  <c r="AO64" i="57"/>
  <c r="AO66" i="57" s="1"/>
  <c r="AO68" i="57" s="1"/>
  <c r="U64" i="56"/>
  <c r="U66" i="56" s="1"/>
  <c r="U68" i="56" s="1"/>
  <c r="S64" i="56"/>
  <c r="S66" i="56" s="1"/>
  <c r="S68" i="56" s="1"/>
  <c r="AU64" i="56"/>
  <c r="AU66" i="56" s="1"/>
  <c r="AU68" i="56" s="1"/>
  <c r="AI64" i="56"/>
  <c r="AI66" i="56" s="1"/>
  <c r="AI68" i="56" s="1"/>
  <c r="P64" i="56"/>
  <c r="P66" i="56" s="1"/>
  <c r="P68" i="56" s="1"/>
  <c r="BA64" i="29"/>
  <c r="BA66" i="29" s="1"/>
  <c r="BA68" i="29" s="1"/>
  <c r="AM64" i="29"/>
  <c r="AM66" i="29" s="1"/>
  <c r="AM68" i="29" s="1"/>
  <c r="AL64" i="57"/>
  <c r="AL66" i="57" s="1"/>
  <c r="AL68" i="57" s="1"/>
  <c r="K64" i="57"/>
  <c r="K66" i="57" s="1"/>
  <c r="K68" i="57" s="1"/>
  <c r="AF64" i="57"/>
  <c r="AF66" i="57" s="1"/>
  <c r="AF68" i="57" s="1"/>
  <c r="AB64" i="56"/>
  <c r="AB66" i="56" s="1"/>
  <c r="AB68" i="56" s="1"/>
  <c r="I64" i="56"/>
  <c r="I66" i="56" s="1"/>
  <c r="I68" i="56" s="1"/>
  <c r="AR64" i="56"/>
  <c r="AR66" i="56" s="1"/>
  <c r="AR68" i="56" s="1"/>
  <c r="AO64" i="56"/>
  <c r="AO66" i="56" s="1"/>
  <c r="AO68" i="56" s="1"/>
  <c r="Y64" i="29"/>
  <c r="Y66" i="29" s="1"/>
  <c r="Y68" i="29" s="1"/>
  <c r="AG64" i="29"/>
  <c r="AU64" i="57"/>
  <c r="AU66" i="57" s="1"/>
  <c r="AU68" i="57" s="1"/>
  <c r="AB64" i="57"/>
  <c r="AB66" i="57" s="1"/>
  <c r="AB68" i="57" s="1"/>
  <c r="AW64" i="57"/>
  <c r="AW66" i="57" s="1"/>
  <c r="AW68" i="57" s="1"/>
  <c r="AC64" i="56"/>
  <c r="AC66" i="56" s="1"/>
  <c r="AC68" i="56" s="1"/>
  <c r="J64" i="56"/>
  <c r="J66" i="56" s="1"/>
  <c r="J68" i="56" s="1"/>
  <c r="AS64" i="56"/>
  <c r="AS66" i="56" s="1"/>
  <c r="AS68" i="56" s="1"/>
  <c r="Z64" i="56"/>
  <c r="Z66" i="56" s="1"/>
  <c r="Z68" i="56" s="1"/>
  <c r="G64" i="56"/>
  <c r="G66" i="56" s="1"/>
  <c r="G68" i="56" s="1"/>
  <c r="AS64" i="29"/>
  <c r="X64" i="29"/>
  <c r="X66" i="29" s="1"/>
  <c r="X68" i="29" s="1"/>
  <c r="AK64" i="57"/>
  <c r="AK66" i="57" s="1"/>
  <c r="AK68" i="57" s="1"/>
  <c r="S64" i="57"/>
  <c r="S66" i="57" s="1"/>
  <c r="S68" i="57" s="1"/>
  <c r="AN64" i="57"/>
  <c r="AN66" i="57" s="1"/>
  <c r="AN68" i="57" s="1"/>
  <c r="AA64" i="56"/>
  <c r="AA66" i="56" s="1"/>
  <c r="AA68" i="56" s="1"/>
  <c r="I64" i="57"/>
  <c r="I66" i="57" s="1"/>
  <c r="I68" i="57" s="1"/>
  <c r="AQ64" i="56"/>
  <c r="AQ66" i="56" s="1"/>
  <c r="AQ68" i="56" s="1"/>
  <c r="X64" i="56"/>
  <c r="X66" i="56" s="1"/>
  <c r="X68" i="56" s="1"/>
  <c r="AZ64" i="29"/>
  <c r="AZ66" i="29" s="1"/>
  <c r="AZ68" i="29" s="1"/>
  <c r="AE64" i="29"/>
  <c r="AE66" i="29" s="1"/>
  <c r="AE68" i="29" s="1"/>
  <c r="AT64" i="57"/>
  <c r="AT66" i="57" s="1"/>
  <c r="AT68" i="57" s="1"/>
  <c r="AJ64" i="57"/>
  <c r="AJ66" i="57" s="1"/>
  <c r="AJ68" i="57" s="1"/>
  <c r="J64" i="57"/>
  <c r="J66" i="57" s="1"/>
  <c r="J68" i="57" s="1"/>
  <c r="AJ64" i="56"/>
  <c r="AJ66" i="56" s="1"/>
  <c r="AJ68" i="56" s="1"/>
  <c r="P64" i="29"/>
  <c r="P66" i="29" s="1"/>
  <c r="P68" i="29" s="1"/>
  <c r="AS64" i="57"/>
  <c r="AS66" i="57" s="1"/>
  <c r="AS68" i="57" s="1"/>
  <c r="AA64" i="57"/>
  <c r="AA66" i="57" s="1"/>
  <c r="AA68" i="57" s="1"/>
  <c r="AK64" i="56"/>
  <c r="AK66" i="56" s="1"/>
  <c r="AK68" i="56" s="1"/>
  <c r="I64" i="29"/>
  <c r="AQ64" i="57"/>
  <c r="AQ66" i="57" s="1"/>
  <c r="AQ68" i="57" s="1"/>
  <c r="BA64" i="56"/>
  <c r="BA66" i="56" s="1"/>
  <c r="BA68" i="56" s="1"/>
  <c r="AH64" i="56"/>
  <c r="AH66" i="56" s="1"/>
  <c r="AH68" i="56" s="1"/>
  <c r="O64" i="56"/>
  <c r="O66" i="56" s="1"/>
  <c r="O68" i="56" s="1"/>
  <c r="AK64" i="29"/>
  <c r="AK66" i="29" s="1"/>
  <c r="AK68" i="29" s="1"/>
  <c r="W64" i="29"/>
  <c r="W66" i="29" s="1"/>
  <c r="W68" i="29" s="1"/>
  <c r="BB64" i="57"/>
  <c r="BB66" i="57" s="1"/>
  <c r="BB68" i="57" s="1"/>
  <c r="AR64" i="57"/>
  <c r="AR66" i="57" s="1"/>
  <c r="AR68" i="57" s="1"/>
  <c r="AV64" i="57"/>
  <c r="AV66" i="57" s="1"/>
  <c r="AV68" i="57" s="1"/>
  <c r="AO64" i="29"/>
  <c r="AO66" i="29" s="1"/>
  <c r="AO68" i="29" s="1"/>
  <c r="E64" i="57"/>
  <c r="E66" i="57" s="1"/>
  <c r="E68" i="57" s="1"/>
  <c r="Q64" i="57"/>
  <c r="Q66" i="57" s="1"/>
  <c r="Q68" i="57" s="1"/>
  <c r="AY64" i="56"/>
  <c r="AY66" i="56" s="1"/>
  <c r="AY68" i="56" s="1"/>
  <c r="AF64" i="56"/>
  <c r="AF66" i="56" s="1"/>
  <c r="AF68" i="56" s="1"/>
  <c r="AR64" i="29"/>
  <c r="AR66" i="29" s="1"/>
  <c r="AR68" i="29" s="1"/>
  <c r="AT64" i="29"/>
  <c r="AT66" i="29" s="1"/>
  <c r="AT68" i="29" s="1"/>
  <c r="H64" i="29"/>
  <c r="H66" i="29" s="1"/>
  <c r="H68" i="29" s="1"/>
  <c r="BA64" i="57"/>
  <c r="BA66" i="57" s="1"/>
  <c r="BA68" i="57" s="1"/>
  <c r="R64" i="57"/>
  <c r="R66" i="57" s="1"/>
  <c r="R68" i="57" s="1"/>
  <c r="AX64" i="29"/>
  <c r="N64" i="57"/>
  <c r="N66" i="57" s="1"/>
  <c r="N68" i="57" s="1"/>
  <c r="AH64" i="57"/>
  <c r="AH66" i="57" s="1"/>
  <c r="AH68" i="57" s="1"/>
  <c r="AL64" i="56"/>
  <c r="AL66" i="56" s="1"/>
  <c r="AL68" i="56" s="1"/>
  <c r="AT64" i="56"/>
  <c r="AT66" i="56" s="1"/>
  <c r="AT68" i="56" s="1"/>
  <c r="AQ64" i="29"/>
  <c r="AQ66" i="29" s="1"/>
  <c r="AQ68" i="29" s="1"/>
  <c r="AC64" i="29"/>
  <c r="AC66" i="29" s="1"/>
  <c r="AC68" i="29" s="1"/>
  <c r="O64" i="29"/>
  <c r="O66" i="29" s="1"/>
  <c r="O68" i="29" s="1"/>
  <c r="G64" i="57"/>
  <c r="G66" i="57" s="1"/>
  <c r="G68" i="57" s="1"/>
  <c r="AI64" i="57"/>
  <c r="AI66" i="57" s="1"/>
  <c r="AI68" i="57" s="1"/>
  <c r="V64" i="29"/>
  <c r="V66" i="29" s="1"/>
  <c r="V68" i="29" s="1"/>
  <c r="W64" i="57"/>
  <c r="W66" i="57" s="1"/>
  <c r="W68" i="57" s="1"/>
  <c r="AY64" i="57"/>
  <c r="AY66" i="57" s="1"/>
  <c r="AY68" i="57" s="1"/>
  <c r="H64" i="57"/>
  <c r="H66" i="57" s="1"/>
  <c r="H68" i="57" s="1"/>
  <c r="AP64" i="56"/>
  <c r="AP66" i="56" s="1"/>
  <c r="AP68" i="56" s="1"/>
  <c r="W64" i="56"/>
  <c r="W66" i="56" s="1"/>
  <c r="W68" i="56" s="1"/>
  <c r="AJ64" i="29"/>
  <c r="AL64" i="29"/>
  <c r="AL66" i="29" s="1"/>
  <c r="AL68" i="29" s="1"/>
  <c r="AH64" i="29"/>
  <c r="AH66" i="29" s="1"/>
  <c r="AH68" i="29" s="1"/>
  <c r="AZ64" i="57"/>
  <c r="AZ66" i="57" s="1"/>
  <c r="AZ68" i="57" s="1"/>
  <c r="AP64" i="29"/>
  <c r="AP66" i="29" s="1"/>
  <c r="AP68" i="29" s="1"/>
  <c r="AV64" i="29"/>
  <c r="AV66" i="29" s="1"/>
  <c r="AV68" i="29" s="1"/>
  <c r="M64" i="57"/>
  <c r="M66" i="57" s="1"/>
  <c r="M68" i="57" s="1"/>
  <c r="Y64" i="57"/>
  <c r="Y66" i="57" s="1"/>
  <c r="Y68" i="57" s="1"/>
  <c r="AD64" i="56"/>
  <c r="AD66" i="56" s="1"/>
  <c r="AD68" i="56" s="1"/>
  <c r="AN64" i="56"/>
  <c r="AN66" i="56" s="1"/>
  <c r="AN68" i="56" s="1"/>
  <c r="AI64" i="29"/>
  <c r="AI66" i="29" s="1"/>
  <c r="AI68" i="29" s="1"/>
  <c r="U64" i="29"/>
  <c r="U66" i="29" s="1"/>
  <c r="U68" i="29" s="1"/>
  <c r="Z64" i="29"/>
  <c r="Z66" i="29" s="1"/>
  <c r="Z68" i="29" s="1"/>
  <c r="F64" i="57"/>
  <c r="F66" i="57" s="1"/>
  <c r="F68" i="57" s="1"/>
  <c r="L64" i="29"/>
  <c r="L66" i="29" s="1"/>
  <c r="L68" i="29" s="1"/>
  <c r="E64" i="29"/>
  <c r="E66" i="29" s="1"/>
  <c r="E68" i="29" s="1"/>
  <c r="E69" i="29" s="1"/>
  <c r="V64" i="57"/>
  <c r="V66" i="57" s="1"/>
  <c r="V68" i="57" s="1"/>
  <c r="AP64" i="57"/>
  <c r="AP66" i="57" s="1"/>
  <c r="AP68" i="57" s="1"/>
  <c r="E64" i="56"/>
  <c r="E66" i="56" s="1"/>
  <c r="E68" i="56" s="1"/>
  <c r="E69" i="56" s="1"/>
  <c r="Q64" i="56"/>
  <c r="Q66" i="56" s="1"/>
  <c r="Q68" i="56" s="1"/>
  <c r="AE64" i="56"/>
  <c r="AE66" i="56" s="1"/>
  <c r="AE68" i="56" s="1"/>
  <c r="AB64" i="29"/>
  <c r="AB66" i="29" s="1"/>
  <c r="AB68" i="29" s="1"/>
  <c r="G64" i="29"/>
  <c r="G66" i="29" s="1"/>
  <c r="G68" i="29" s="1"/>
  <c r="O64" i="57"/>
  <c r="O66" i="57" s="1"/>
  <c r="O68" i="57" s="1"/>
  <c r="K64" i="29"/>
  <c r="K66" i="29" s="1"/>
  <c r="K68" i="29" s="1"/>
  <c r="R64" i="29"/>
  <c r="AE64" i="57"/>
  <c r="AE66" i="57" s="1"/>
  <c r="AE68" i="57" s="1"/>
  <c r="L64" i="57"/>
  <c r="L66" i="57" s="1"/>
  <c r="L68" i="57" s="1"/>
  <c r="P64" i="57"/>
  <c r="P66" i="57" s="1"/>
  <c r="P68" i="57" s="1"/>
  <c r="AX64" i="56"/>
  <c r="AX66" i="56" s="1"/>
  <c r="AX68" i="56" s="1"/>
  <c r="AV64" i="56"/>
  <c r="AV66" i="56" s="1"/>
  <c r="AV68" i="56" s="1"/>
  <c r="AA64" i="29"/>
  <c r="AA66" i="29" s="1"/>
  <c r="AA68" i="29" s="1"/>
  <c r="AZ72" i="57"/>
  <c r="AZ74" i="57" s="1"/>
  <c r="AZ76" i="57" s="1"/>
  <c r="AI72" i="57"/>
  <c r="AI74" i="57" s="1"/>
  <c r="AI76" i="57" s="1"/>
  <c r="R72" i="57"/>
  <c r="R74" i="57" s="1"/>
  <c r="R76" i="57" s="1"/>
  <c r="AV72" i="57"/>
  <c r="AV74" i="57" s="1"/>
  <c r="AV76" i="57" s="1"/>
  <c r="AE72" i="57"/>
  <c r="AE74" i="57" s="1"/>
  <c r="AE76" i="57" s="1"/>
  <c r="V72" i="57"/>
  <c r="V74" i="57" s="1"/>
  <c r="V76" i="57" s="1"/>
  <c r="M72" i="57"/>
  <c r="M74" i="57" s="1"/>
  <c r="M76" i="57" s="1"/>
  <c r="I72" i="56"/>
  <c r="I74" i="56" s="1"/>
  <c r="I76" i="56" s="1"/>
  <c r="BB72" i="56"/>
  <c r="BB74" i="56" s="1"/>
  <c r="BB76" i="56" s="1"/>
  <c r="AS72" i="56"/>
  <c r="AS74" i="56" s="1"/>
  <c r="AS76" i="56" s="1"/>
  <c r="AZ72" i="56"/>
  <c r="AZ74" i="56" s="1"/>
  <c r="AZ76" i="56" s="1"/>
  <c r="AI72" i="56"/>
  <c r="AI74" i="56" s="1"/>
  <c r="AI76" i="56" s="1"/>
  <c r="Z72" i="56"/>
  <c r="Z74" i="56" s="1"/>
  <c r="Z76" i="56" s="1"/>
  <c r="AI72" i="29"/>
  <c r="AI74" i="29" s="1"/>
  <c r="AI76" i="29" s="1"/>
  <c r="L72" i="29"/>
  <c r="L74" i="29" s="1"/>
  <c r="L76" i="29" s="1"/>
  <c r="AS72" i="29"/>
  <c r="AS74" i="29" s="1"/>
  <c r="AS76" i="29" s="1"/>
  <c r="AT72" i="29"/>
  <c r="AT74" i="29" s="1"/>
  <c r="AT76" i="29" s="1"/>
  <c r="AF72" i="29"/>
  <c r="AF74" i="29" s="1"/>
  <c r="AF76" i="29" s="1"/>
  <c r="H72" i="29"/>
  <c r="H74" i="29" s="1"/>
  <c r="H76" i="29" s="1"/>
  <c r="AR72" i="57"/>
  <c r="AR74" i="57" s="1"/>
  <c r="AR76" i="57" s="1"/>
  <c r="AA72" i="57"/>
  <c r="AA74" i="57" s="1"/>
  <c r="AA76" i="57" s="1"/>
  <c r="J72" i="57"/>
  <c r="J74" i="57" s="1"/>
  <c r="J76" i="57" s="1"/>
  <c r="AN72" i="57"/>
  <c r="AN74" i="57" s="1"/>
  <c r="AN76" i="57" s="1"/>
  <c r="W72" i="57"/>
  <c r="W74" i="57" s="1"/>
  <c r="W76" i="57" s="1"/>
  <c r="N72" i="57"/>
  <c r="N74" i="57" s="1"/>
  <c r="N76" i="57" s="1"/>
  <c r="E72" i="57"/>
  <c r="E74" i="57" s="1"/>
  <c r="E76" i="57" s="1"/>
  <c r="AU72" i="56"/>
  <c r="AU74" i="56" s="1"/>
  <c r="AU76" i="56" s="1"/>
  <c r="AT72" i="56"/>
  <c r="AT74" i="56" s="1"/>
  <c r="AT76" i="56" s="1"/>
  <c r="AK72" i="56"/>
  <c r="AK74" i="56" s="1"/>
  <c r="AK76" i="56" s="1"/>
  <c r="AR72" i="56"/>
  <c r="AR74" i="56" s="1"/>
  <c r="AR76" i="56" s="1"/>
  <c r="AA72" i="56"/>
  <c r="AA74" i="56" s="1"/>
  <c r="AA76" i="56" s="1"/>
  <c r="R72" i="56"/>
  <c r="R74" i="56" s="1"/>
  <c r="R76" i="56" s="1"/>
  <c r="AQ72" i="29"/>
  <c r="AQ74" i="29" s="1"/>
  <c r="AQ76" i="29" s="1"/>
  <c r="V72" i="29"/>
  <c r="V74" i="29" s="1"/>
  <c r="V76" i="29" s="1"/>
  <c r="BB72" i="29"/>
  <c r="BB74" i="29" s="1"/>
  <c r="BB76" i="29" s="1"/>
  <c r="E72" i="29"/>
  <c r="E74" i="29" s="1"/>
  <c r="E76" i="29" s="1"/>
  <c r="F72" i="29"/>
  <c r="F74" i="29" s="1"/>
  <c r="F76" i="29" s="1"/>
  <c r="R72" i="29"/>
  <c r="R74" i="29" s="1"/>
  <c r="R76" i="29" s="1"/>
  <c r="AJ72" i="57"/>
  <c r="AJ74" i="57" s="1"/>
  <c r="AJ76" i="57" s="1"/>
  <c r="S72" i="57"/>
  <c r="S74" i="57" s="1"/>
  <c r="S76" i="57" s="1"/>
  <c r="AW72" i="57"/>
  <c r="AW74" i="57" s="1"/>
  <c r="AW76" i="57" s="1"/>
  <c r="AF72" i="57"/>
  <c r="AF74" i="57" s="1"/>
  <c r="AF76" i="57" s="1"/>
  <c r="O72" i="57"/>
  <c r="O74" i="57" s="1"/>
  <c r="O76" i="57" s="1"/>
  <c r="F72" i="57"/>
  <c r="F74" i="57" s="1"/>
  <c r="F76" i="57" s="1"/>
  <c r="AV72" i="56"/>
  <c r="AV74" i="56" s="1"/>
  <c r="AV76" i="56" s="1"/>
  <c r="AM72" i="56"/>
  <c r="AM74" i="56" s="1"/>
  <c r="AM76" i="56" s="1"/>
  <c r="AL72" i="56"/>
  <c r="AL74" i="56" s="1"/>
  <c r="AL76" i="56" s="1"/>
  <c r="AC72" i="56"/>
  <c r="AC74" i="56" s="1"/>
  <c r="AC76" i="56" s="1"/>
  <c r="AJ72" i="56"/>
  <c r="AJ74" i="56" s="1"/>
  <c r="AJ76" i="56" s="1"/>
  <c r="S72" i="56"/>
  <c r="S74" i="56" s="1"/>
  <c r="S76" i="56" s="1"/>
  <c r="J72" i="56"/>
  <c r="J74" i="56" s="1"/>
  <c r="J76" i="56" s="1"/>
  <c r="AY72" i="29"/>
  <c r="AY74" i="29" s="1"/>
  <c r="AY76" i="29" s="1"/>
  <c r="AG72" i="29"/>
  <c r="AG74" i="29" s="1"/>
  <c r="AG76" i="29" s="1"/>
  <c r="AD72" i="29"/>
  <c r="AD74" i="29" s="1"/>
  <c r="AD76" i="29" s="1"/>
  <c r="AX72" i="29"/>
  <c r="AX74" i="29" s="1"/>
  <c r="AX76" i="29" s="1"/>
  <c r="Q72" i="29"/>
  <c r="Q74" i="29" s="1"/>
  <c r="Q76" i="29" s="1"/>
  <c r="AC72" i="29"/>
  <c r="AC74" i="29" s="1"/>
  <c r="AC76" i="29" s="1"/>
  <c r="AB72" i="57"/>
  <c r="AB74" i="57" s="1"/>
  <c r="AB76" i="57" s="1"/>
  <c r="K72" i="57"/>
  <c r="K74" i="57" s="1"/>
  <c r="K76" i="57" s="1"/>
  <c r="AO72" i="57"/>
  <c r="AO74" i="57" s="1"/>
  <c r="AO76" i="57" s="1"/>
  <c r="X72" i="57"/>
  <c r="X74" i="57" s="1"/>
  <c r="X76" i="57" s="1"/>
  <c r="G72" i="57"/>
  <c r="G74" i="57" s="1"/>
  <c r="G76" i="57" s="1"/>
  <c r="BA72" i="57"/>
  <c r="BA74" i="57" s="1"/>
  <c r="BA76" i="57" s="1"/>
  <c r="AN72" i="56"/>
  <c r="AN74" i="56" s="1"/>
  <c r="AN76" i="56" s="1"/>
  <c r="AE72" i="56"/>
  <c r="AE74" i="56" s="1"/>
  <c r="AE76" i="56" s="1"/>
  <c r="AD72" i="56"/>
  <c r="AD74" i="56" s="1"/>
  <c r="AD76" i="56" s="1"/>
  <c r="U72" i="56"/>
  <c r="U74" i="56" s="1"/>
  <c r="U76" i="56" s="1"/>
  <c r="AB72" i="56"/>
  <c r="AB74" i="56" s="1"/>
  <c r="AB76" i="56" s="1"/>
  <c r="K72" i="56"/>
  <c r="K74" i="56" s="1"/>
  <c r="K76" i="56" s="1"/>
  <c r="AW72" i="56"/>
  <c r="AW74" i="56" s="1"/>
  <c r="AW76" i="56" s="1"/>
  <c r="G72" i="29"/>
  <c r="G74" i="29" s="1"/>
  <c r="G76" i="29" s="1"/>
  <c r="AR72" i="29"/>
  <c r="AR74" i="29" s="1"/>
  <c r="AR76" i="29" s="1"/>
  <c r="J72" i="29"/>
  <c r="J74" i="29" s="1"/>
  <c r="J76" i="29" s="1"/>
  <c r="P72" i="29"/>
  <c r="P74" i="29" s="1"/>
  <c r="P76" i="29" s="1"/>
  <c r="AB72" i="29"/>
  <c r="AB74" i="29" s="1"/>
  <c r="AB76" i="29" s="1"/>
  <c r="AN72" i="29"/>
  <c r="AN74" i="29" s="1"/>
  <c r="AN76" i="29" s="1"/>
  <c r="T72" i="57"/>
  <c r="T74" i="57" s="1"/>
  <c r="T76" i="57" s="1"/>
  <c r="AX72" i="57"/>
  <c r="AX74" i="57" s="1"/>
  <c r="AX76" i="57" s="1"/>
  <c r="AG72" i="57"/>
  <c r="AG74" i="57" s="1"/>
  <c r="AG76" i="57" s="1"/>
  <c r="P72" i="57"/>
  <c r="P74" i="57" s="1"/>
  <c r="P76" i="57" s="1"/>
  <c r="BB72" i="57"/>
  <c r="BB74" i="57" s="1"/>
  <c r="BB76" i="57" s="1"/>
  <c r="AS72" i="57"/>
  <c r="AS74" i="57" s="1"/>
  <c r="AS76" i="57" s="1"/>
  <c r="AF72" i="56"/>
  <c r="AF74" i="56" s="1"/>
  <c r="AF76" i="56" s="1"/>
  <c r="W72" i="56"/>
  <c r="W74" i="56" s="1"/>
  <c r="W76" i="56" s="1"/>
  <c r="V72" i="56"/>
  <c r="V74" i="56" s="1"/>
  <c r="V76" i="56" s="1"/>
  <c r="M72" i="56"/>
  <c r="M74" i="56" s="1"/>
  <c r="M76" i="56" s="1"/>
  <c r="L72" i="56"/>
  <c r="L74" i="56" s="1"/>
  <c r="L76" i="56" s="1"/>
  <c r="Y72" i="56"/>
  <c r="Y74" i="56" s="1"/>
  <c r="Y76" i="56" s="1"/>
  <c r="O72" i="29"/>
  <c r="O74" i="29" s="1"/>
  <c r="O76" i="29" s="1"/>
  <c r="BA72" i="29"/>
  <c r="BA74" i="29" s="1"/>
  <c r="BA76" i="29" s="1"/>
  <c r="AZ72" i="29"/>
  <c r="AZ74" i="29" s="1"/>
  <c r="AZ76" i="29" s="1"/>
  <c r="Z72" i="29"/>
  <c r="Z74" i="29" s="1"/>
  <c r="Z76" i="29" s="1"/>
  <c r="AL72" i="29"/>
  <c r="AW72" i="29"/>
  <c r="AW74" i="29" s="1"/>
  <c r="AW76" i="29" s="1"/>
  <c r="L72" i="57"/>
  <c r="L74" i="57" s="1"/>
  <c r="L76" i="57" s="1"/>
  <c r="AP72" i="57"/>
  <c r="AP74" i="57" s="1"/>
  <c r="AP76" i="57" s="1"/>
  <c r="Y72" i="57"/>
  <c r="Y74" i="57" s="1"/>
  <c r="Y76" i="57" s="1"/>
  <c r="H72" i="57"/>
  <c r="H74" i="57" s="1"/>
  <c r="H76" i="57" s="1"/>
  <c r="AT72" i="57"/>
  <c r="AT74" i="57" s="1"/>
  <c r="AT76" i="57" s="1"/>
  <c r="AK72" i="57"/>
  <c r="AK74" i="57" s="1"/>
  <c r="AK76" i="57" s="1"/>
  <c r="X72" i="56"/>
  <c r="X74" i="56" s="1"/>
  <c r="X76" i="56" s="1"/>
  <c r="O72" i="56"/>
  <c r="O74" i="56" s="1"/>
  <c r="O76" i="56" s="1"/>
  <c r="N72" i="56"/>
  <c r="N74" i="56" s="1"/>
  <c r="N76" i="56" s="1"/>
  <c r="E72" i="56"/>
  <c r="E74" i="56" s="1"/>
  <c r="E76" i="56" s="1"/>
  <c r="AO72" i="56"/>
  <c r="AO74" i="56" s="1"/>
  <c r="AO76" i="56" s="1"/>
  <c r="AX72" i="56"/>
  <c r="AX74" i="56" s="1"/>
  <c r="AX76" i="56" s="1"/>
  <c r="K72" i="29"/>
  <c r="K74" i="29" s="1"/>
  <c r="K76" i="29" s="1"/>
  <c r="W72" i="29"/>
  <c r="W74" i="29" s="1"/>
  <c r="W76" i="29" s="1"/>
  <c r="M72" i="29"/>
  <c r="N72" i="29"/>
  <c r="N74" i="29" s="1"/>
  <c r="N76" i="29" s="1"/>
  <c r="AK72" i="29"/>
  <c r="AK74" i="29" s="1"/>
  <c r="AK76" i="29" s="1"/>
  <c r="AV72" i="29"/>
  <c r="AV74" i="29" s="1"/>
  <c r="AV76" i="29" s="1"/>
  <c r="T72" i="29"/>
  <c r="T74" i="29" s="1"/>
  <c r="T76" i="29" s="1"/>
  <c r="AY72" i="57"/>
  <c r="AY74" i="57" s="1"/>
  <c r="AY76" i="57" s="1"/>
  <c r="AH72" i="57"/>
  <c r="AH74" i="57" s="1"/>
  <c r="AH76" i="57" s="1"/>
  <c r="Q72" i="57"/>
  <c r="Q74" i="57" s="1"/>
  <c r="Q76" i="57" s="1"/>
  <c r="AU72" i="57"/>
  <c r="AU74" i="57" s="1"/>
  <c r="AU76" i="57" s="1"/>
  <c r="AL72" i="57"/>
  <c r="AL74" i="57" s="1"/>
  <c r="AL76" i="57" s="1"/>
  <c r="AC72" i="57"/>
  <c r="AC74" i="57" s="1"/>
  <c r="AC76" i="57" s="1"/>
  <c r="P72" i="56"/>
  <c r="P74" i="56" s="1"/>
  <c r="P76" i="56" s="1"/>
  <c r="G72" i="56"/>
  <c r="G74" i="56" s="1"/>
  <c r="G76" i="56" s="1"/>
  <c r="F72" i="56"/>
  <c r="F74" i="56" s="1"/>
  <c r="F76" i="56" s="1"/>
  <c r="T72" i="56"/>
  <c r="T74" i="56" s="1"/>
  <c r="T76" i="56" s="1"/>
  <c r="AY72" i="56"/>
  <c r="AY74" i="56" s="1"/>
  <c r="AY76" i="56" s="1"/>
  <c r="AP72" i="56"/>
  <c r="AP74" i="56" s="1"/>
  <c r="AP76" i="56" s="1"/>
  <c r="S72" i="29"/>
  <c r="S74" i="29" s="1"/>
  <c r="S76" i="29" s="1"/>
  <c r="AE72" i="29"/>
  <c r="AE74" i="29" s="1"/>
  <c r="AE76" i="29" s="1"/>
  <c r="X72" i="29"/>
  <c r="X74" i="29" s="1"/>
  <c r="X76" i="29" s="1"/>
  <c r="Y72" i="29"/>
  <c r="Y74" i="29" s="1"/>
  <c r="Y76" i="29" s="1"/>
  <c r="AU72" i="29"/>
  <c r="AU74" i="29" s="1"/>
  <c r="AU76" i="29" s="1"/>
  <c r="I72" i="29"/>
  <c r="I74" i="29" s="1"/>
  <c r="I76" i="29" s="1"/>
  <c r="AP72" i="29"/>
  <c r="AP74" i="29" s="1"/>
  <c r="AP76" i="29" s="1"/>
  <c r="AQ72" i="57"/>
  <c r="AQ74" i="57" s="1"/>
  <c r="AQ76" i="57" s="1"/>
  <c r="Z72" i="57"/>
  <c r="Z74" i="57" s="1"/>
  <c r="Z76" i="57" s="1"/>
  <c r="I72" i="57"/>
  <c r="I74" i="57" s="1"/>
  <c r="I76" i="57" s="1"/>
  <c r="AM72" i="57"/>
  <c r="AM74" i="57" s="1"/>
  <c r="AM76" i="57" s="1"/>
  <c r="AD72" i="57"/>
  <c r="AD74" i="57" s="1"/>
  <c r="AD76" i="57" s="1"/>
  <c r="U72" i="57"/>
  <c r="U74" i="57" s="1"/>
  <c r="U76" i="57" s="1"/>
  <c r="H72" i="56"/>
  <c r="H74" i="56" s="1"/>
  <c r="H76" i="56" s="1"/>
  <c r="Q72" i="56"/>
  <c r="Q74" i="56" s="1"/>
  <c r="Q76" i="56" s="1"/>
  <c r="BA72" i="56"/>
  <c r="BA74" i="56" s="1"/>
  <c r="BA76" i="56" s="1"/>
  <c r="AG72" i="56"/>
  <c r="AG74" i="56" s="1"/>
  <c r="AG76" i="56" s="1"/>
  <c r="AQ72" i="56"/>
  <c r="AQ74" i="56" s="1"/>
  <c r="AQ76" i="56" s="1"/>
  <c r="AH72" i="56"/>
  <c r="AH74" i="56" s="1"/>
  <c r="AH76" i="56" s="1"/>
  <c r="AA72" i="29"/>
  <c r="AA74" i="29" s="1"/>
  <c r="AA76" i="29" s="1"/>
  <c r="AM72" i="29"/>
  <c r="AM74" i="29" s="1"/>
  <c r="AM76" i="29" s="1"/>
  <c r="AH72" i="29"/>
  <c r="AH74" i="29" s="1"/>
  <c r="AH76" i="29" s="1"/>
  <c r="AJ72" i="29"/>
  <c r="AJ74" i="29" s="1"/>
  <c r="AJ76" i="29" s="1"/>
  <c r="AO72" i="29"/>
  <c r="AO74" i="29" s="1"/>
  <c r="AO76" i="29" s="1"/>
  <c r="U72" i="29"/>
  <c r="U74" i="29" s="1"/>
  <c r="U76" i="29" s="1"/>
  <c r="AX48" i="57"/>
  <c r="AX50" i="57" s="1"/>
  <c r="AX52" i="57" s="1"/>
  <c r="AP48" i="57"/>
  <c r="AP50" i="57" s="1"/>
  <c r="AP52" i="57" s="1"/>
  <c r="AH48" i="57"/>
  <c r="AH50" i="57" s="1"/>
  <c r="AH52" i="57" s="1"/>
  <c r="Z48" i="57"/>
  <c r="Z50" i="57" s="1"/>
  <c r="Z52" i="57" s="1"/>
  <c r="R48" i="57"/>
  <c r="R50" i="57" s="1"/>
  <c r="R52" i="57" s="1"/>
  <c r="J48" i="57"/>
  <c r="J50" i="57" s="1"/>
  <c r="J52" i="57" s="1"/>
  <c r="AW48" i="57"/>
  <c r="AW50" i="57" s="1"/>
  <c r="AW52" i="57" s="1"/>
  <c r="AO48" i="57"/>
  <c r="AO50" i="57" s="1"/>
  <c r="AO52" i="57" s="1"/>
  <c r="AG48" i="57"/>
  <c r="AG50" i="57" s="1"/>
  <c r="AG52" i="57" s="1"/>
  <c r="Y48" i="57"/>
  <c r="Y50" i="57" s="1"/>
  <c r="Y52" i="57" s="1"/>
  <c r="Q48" i="57"/>
  <c r="Q50" i="57" s="1"/>
  <c r="Q52" i="57" s="1"/>
  <c r="I48" i="57"/>
  <c r="I50" i="57" s="1"/>
  <c r="I52" i="57" s="1"/>
  <c r="AV48" i="57"/>
  <c r="AV50" i="57" s="1"/>
  <c r="AV52" i="57" s="1"/>
  <c r="AN48" i="57"/>
  <c r="AN50" i="57" s="1"/>
  <c r="AN52" i="57" s="1"/>
  <c r="AF48" i="57"/>
  <c r="AF50" i="57" s="1"/>
  <c r="AF52" i="57" s="1"/>
  <c r="X48" i="57"/>
  <c r="X50" i="57" s="1"/>
  <c r="X52" i="57" s="1"/>
  <c r="P48" i="57"/>
  <c r="P50" i="57" s="1"/>
  <c r="P52" i="57" s="1"/>
  <c r="H48" i="57"/>
  <c r="H50" i="57" s="1"/>
  <c r="H52" i="57" s="1"/>
  <c r="AU48" i="57"/>
  <c r="AU50" i="57" s="1"/>
  <c r="AU52" i="57" s="1"/>
  <c r="AM48" i="57"/>
  <c r="AM50" i="57" s="1"/>
  <c r="AM52" i="57" s="1"/>
  <c r="AE48" i="57"/>
  <c r="AE50" i="57" s="1"/>
  <c r="AE52" i="57" s="1"/>
  <c r="W48" i="57"/>
  <c r="W50" i="57" s="1"/>
  <c r="W52" i="57" s="1"/>
  <c r="O48" i="57"/>
  <c r="O50" i="57" s="1"/>
  <c r="O52" i="57" s="1"/>
  <c r="G48" i="57"/>
  <c r="G50" i="57" s="1"/>
  <c r="G52" i="57" s="1"/>
  <c r="BB48" i="57"/>
  <c r="BB50" i="57" s="1"/>
  <c r="BB52" i="57" s="1"/>
  <c r="AT48" i="57"/>
  <c r="AT50" i="57" s="1"/>
  <c r="AT52" i="57" s="1"/>
  <c r="AL48" i="57"/>
  <c r="AL50" i="57" s="1"/>
  <c r="AL52" i="57" s="1"/>
  <c r="AD48" i="57"/>
  <c r="AD50" i="57" s="1"/>
  <c r="AD52" i="57" s="1"/>
  <c r="V48" i="57"/>
  <c r="V50" i="57" s="1"/>
  <c r="V52" i="57" s="1"/>
  <c r="N48" i="57"/>
  <c r="N50" i="57" s="1"/>
  <c r="N52" i="57" s="1"/>
  <c r="F48" i="57"/>
  <c r="F50" i="57" s="1"/>
  <c r="F52" i="57" s="1"/>
  <c r="BA48" i="57"/>
  <c r="BA50" i="57" s="1"/>
  <c r="BA52" i="57" s="1"/>
  <c r="AS48" i="57"/>
  <c r="AS50" i="57" s="1"/>
  <c r="AS52" i="57" s="1"/>
  <c r="AK48" i="57"/>
  <c r="AK50" i="57" s="1"/>
  <c r="AK52" i="57" s="1"/>
  <c r="AC48" i="57"/>
  <c r="AC50" i="57" s="1"/>
  <c r="AC52" i="57" s="1"/>
  <c r="U48" i="57"/>
  <c r="U50" i="57" s="1"/>
  <c r="U52" i="57" s="1"/>
  <c r="M48" i="57"/>
  <c r="M50" i="57" s="1"/>
  <c r="M52" i="57" s="1"/>
  <c r="E48" i="57"/>
  <c r="E50" i="57" s="1"/>
  <c r="E52" i="57" s="1"/>
  <c r="AZ48" i="57"/>
  <c r="AZ50" i="57" s="1"/>
  <c r="AZ52" i="57" s="1"/>
  <c r="AR48" i="57"/>
  <c r="AR50" i="57" s="1"/>
  <c r="AR52" i="57" s="1"/>
  <c r="AJ48" i="57"/>
  <c r="AJ50" i="57" s="1"/>
  <c r="AJ52" i="57" s="1"/>
  <c r="AB48" i="57"/>
  <c r="AB50" i="57" s="1"/>
  <c r="AB52" i="57" s="1"/>
  <c r="T48" i="57"/>
  <c r="T50" i="57" s="1"/>
  <c r="T52" i="57" s="1"/>
  <c r="L48" i="57"/>
  <c r="L50" i="57" s="1"/>
  <c r="L52" i="57" s="1"/>
  <c r="AY48" i="57"/>
  <c r="AY50" i="57" s="1"/>
  <c r="AY52" i="57" s="1"/>
  <c r="AQ48" i="57"/>
  <c r="AQ50" i="57" s="1"/>
  <c r="AQ52" i="57" s="1"/>
  <c r="AI48" i="57"/>
  <c r="AI50" i="57" s="1"/>
  <c r="AI52" i="57" s="1"/>
  <c r="AA48" i="57"/>
  <c r="AA50" i="57" s="1"/>
  <c r="AA52" i="57" s="1"/>
  <c r="S48" i="57"/>
  <c r="S50" i="57" s="1"/>
  <c r="S52" i="57" s="1"/>
  <c r="K48" i="57"/>
  <c r="K50" i="57" s="1"/>
  <c r="K52" i="57" s="1"/>
  <c r="AV48" i="56"/>
  <c r="AV50" i="56" s="1"/>
  <c r="AV52" i="56" s="1"/>
  <c r="AN48" i="56"/>
  <c r="AN50" i="56" s="1"/>
  <c r="AN52" i="56" s="1"/>
  <c r="AF48" i="56"/>
  <c r="AF50" i="56" s="1"/>
  <c r="AF52" i="56" s="1"/>
  <c r="X48" i="56"/>
  <c r="X50" i="56" s="1"/>
  <c r="X52" i="56" s="1"/>
  <c r="P48" i="56"/>
  <c r="P50" i="56" s="1"/>
  <c r="P52" i="56" s="1"/>
  <c r="H48" i="56"/>
  <c r="H50" i="56" s="1"/>
  <c r="H52" i="56" s="1"/>
  <c r="AU48" i="56"/>
  <c r="AU50" i="56" s="1"/>
  <c r="AU52" i="56" s="1"/>
  <c r="AM48" i="56"/>
  <c r="AM50" i="56" s="1"/>
  <c r="AM52" i="56" s="1"/>
  <c r="AE48" i="56"/>
  <c r="AE50" i="56" s="1"/>
  <c r="AE52" i="56" s="1"/>
  <c r="W48" i="56"/>
  <c r="W50" i="56" s="1"/>
  <c r="W52" i="56" s="1"/>
  <c r="O48" i="56"/>
  <c r="O50" i="56" s="1"/>
  <c r="O52" i="56" s="1"/>
  <c r="G48" i="56"/>
  <c r="G50" i="56" s="1"/>
  <c r="G52" i="56" s="1"/>
  <c r="AW48" i="56"/>
  <c r="AW50" i="56" s="1"/>
  <c r="AW52" i="56" s="1"/>
  <c r="Q48" i="56"/>
  <c r="Q50" i="56" s="1"/>
  <c r="Q52" i="56" s="1"/>
  <c r="BB48" i="56"/>
  <c r="BB50" i="56" s="1"/>
  <c r="BB52" i="56" s="1"/>
  <c r="AT48" i="56"/>
  <c r="AT50" i="56" s="1"/>
  <c r="AT52" i="56" s="1"/>
  <c r="AL48" i="56"/>
  <c r="AL50" i="56" s="1"/>
  <c r="AL52" i="56" s="1"/>
  <c r="AD48" i="56"/>
  <c r="AD50" i="56" s="1"/>
  <c r="AD52" i="56" s="1"/>
  <c r="V48" i="56"/>
  <c r="V50" i="56" s="1"/>
  <c r="V52" i="56" s="1"/>
  <c r="N48" i="56"/>
  <c r="N50" i="56" s="1"/>
  <c r="N52" i="56" s="1"/>
  <c r="F48" i="56"/>
  <c r="F50" i="56" s="1"/>
  <c r="F52" i="56" s="1"/>
  <c r="AG48" i="56"/>
  <c r="AG50" i="56" s="1"/>
  <c r="AG52" i="56" s="1"/>
  <c r="BA48" i="56"/>
  <c r="BA50" i="56" s="1"/>
  <c r="BA52" i="56" s="1"/>
  <c r="AS48" i="56"/>
  <c r="AS50" i="56" s="1"/>
  <c r="AS52" i="56" s="1"/>
  <c r="AK48" i="56"/>
  <c r="AK50" i="56" s="1"/>
  <c r="AK52" i="56" s="1"/>
  <c r="AC48" i="56"/>
  <c r="AC50" i="56" s="1"/>
  <c r="AC52" i="56" s="1"/>
  <c r="U48" i="56"/>
  <c r="U50" i="56" s="1"/>
  <c r="U52" i="56" s="1"/>
  <c r="M48" i="56"/>
  <c r="M50" i="56" s="1"/>
  <c r="M52" i="56" s="1"/>
  <c r="E48" i="56"/>
  <c r="E50" i="56" s="1"/>
  <c r="E52" i="56" s="1"/>
  <c r="AB48" i="56"/>
  <c r="AB50" i="56" s="1"/>
  <c r="AB52" i="56" s="1"/>
  <c r="L48" i="56"/>
  <c r="L50" i="56" s="1"/>
  <c r="L52" i="56" s="1"/>
  <c r="Y48" i="56"/>
  <c r="Y50" i="56" s="1"/>
  <c r="Y52" i="56" s="1"/>
  <c r="AZ48" i="56"/>
  <c r="AZ50" i="56" s="1"/>
  <c r="AZ52" i="56" s="1"/>
  <c r="AR48" i="56"/>
  <c r="AR50" i="56" s="1"/>
  <c r="AR52" i="56" s="1"/>
  <c r="AJ48" i="56"/>
  <c r="AJ50" i="56" s="1"/>
  <c r="AJ52" i="56" s="1"/>
  <c r="T48" i="56"/>
  <c r="T50" i="56" s="1"/>
  <c r="T52" i="56" s="1"/>
  <c r="AO48" i="56"/>
  <c r="AO50" i="56" s="1"/>
  <c r="AO52" i="56" s="1"/>
  <c r="AY48" i="56"/>
  <c r="AY50" i="56" s="1"/>
  <c r="AY52" i="56" s="1"/>
  <c r="AQ48" i="56"/>
  <c r="AQ50" i="56" s="1"/>
  <c r="AQ52" i="56" s="1"/>
  <c r="AI48" i="56"/>
  <c r="AI50" i="56" s="1"/>
  <c r="AI52" i="56" s="1"/>
  <c r="AA48" i="56"/>
  <c r="AA50" i="56" s="1"/>
  <c r="AA52" i="56" s="1"/>
  <c r="S48" i="56"/>
  <c r="S50" i="56" s="1"/>
  <c r="S52" i="56" s="1"/>
  <c r="K48" i="56"/>
  <c r="K50" i="56" s="1"/>
  <c r="K52" i="56" s="1"/>
  <c r="AX48" i="56"/>
  <c r="AX50" i="56" s="1"/>
  <c r="AX52" i="56" s="1"/>
  <c r="AP48" i="56"/>
  <c r="AP50" i="56" s="1"/>
  <c r="AP52" i="56" s="1"/>
  <c r="AH48" i="56"/>
  <c r="AH50" i="56" s="1"/>
  <c r="AH52" i="56" s="1"/>
  <c r="Z48" i="56"/>
  <c r="Z50" i="56" s="1"/>
  <c r="Z52" i="56" s="1"/>
  <c r="R48" i="56"/>
  <c r="R50" i="56" s="1"/>
  <c r="R52" i="56" s="1"/>
  <c r="J48" i="56"/>
  <c r="J50" i="56" s="1"/>
  <c r="J52" i="56" s="1"/>
  <c r="I48" i="56"/>
  <c r="I50" i="56" s="1"/>
  <c r="I52" i="56" s="1"/>
  <c r="D142" i="57"/>
  <c r="I4" i="58" s="1"/>
  <c r="E141" i="57"/>
  <c r="E144" i="57" s="1"/>
  <c r="BA80" i="57"/>
  <c r="BA82" i="57" s="1"/>
  <c r="BA84" i="57" s="1"/>
  <c r="AS80" i="57"/>
  <c r="AS82" i="57" s="1"/>
  <c r="AS84" i="57" s="1"/>
  <c r="AK80" i="57"/>
  <c r="AK82" i="57" s="1"/>
  <c r="AK84" i="57" s="1"/>
  <c r="AC80" i="57"/>
  <c r="AC82" i="57" s="1"/>
  <c r="AC84" i="57" s="1"/>
  <c r="U80" i="57"/>
  <c r="U82" i="57" s="1"/>
  <c r="U84" i="57" s="1"/>
  <c r="M80" i="57"/>
  <c r="M82" i="57" s="1"/>
  <c r="M84" i="57" s="1"/>
  <c r="E80" i="57"/>
  <c r="E82" i="57" s="1"/>
  <c r="E84" i="57" s="1"/>
  <c r="AZ80" i="57"/>
  <c r="AZ82" i="57" s="1"/>
  <c r="AZ84" i="57" s="1"/>
  <c r="AR80" i="57"/>
  <c r="AR82" i="57" s="1"/>
  <c r="AR84" i="57" s="1"/>
  <c r="AJ80" i="57"/>
  <c r="AJ82" i="57" s="1"/>
  <c r="AJ84" i="57" s="1"/>
  <c r="AB80" i="57"/>
  <c r="AB82" i="57" s="1"/>
  <c r="AB84" i="57" s="1"/>
  <c r="T80" i="57"/>
  <c r="T82" i="57" s="1"/>
  <c r="T84" i="57" s="1"/>
  <c r="L80" i="57"/>
  <c r="L82" i="57" s="1"/>
  <c r="L84" i="57" s="1"/>
  <c r="AY80" i="57"/>
  <c r="AY82" i="57" s="1"/>
  <c r="AY84" i="57" s="1"/>
  <c r="AQ80" i="57"/>
  <c r="AQ82" i="57" s="1"/>
  <c r="AQ84" i="57" s="1"/>
  <c r="AI80" i="57"/>
  <c r="AI82" i="57" s="1"/>
  <c r="AI84" i="57" s="1"/>
  <c r="AA80" i="57"/>
  <c r="AA82" i="57" s="1"/>
  <c r="AA84" i="57" s="1"/>
  <c r="S80" i="57"/>
  <c r="S82" i="57" s="1"/>
  <c r="S84" i="57" s="1"/>
  <c r="K80" i="57"/>
  <c r="K82" i="57" s="1"/>
  <c r="K84" i="57" s="1"/>
  <c r="AX80" i="57"/>
  <c r="AX82" i="57" s="1"/>
  <c r="AX84" i="57" s="1"/>
  <c r="AP80" i="57"/>
  <c r="AP82" i="57" s="1"/>
  <c r="AP84" i="57" s="1"/>
  <c r="AH80" i="57"/>
  <c r="AH82" i="57" s="1"/>
  <c r="AH84" i="57" s="1"/>
  <c r="Z80" i="57"/>
  <c r="Z82" i="57" s="1"/>
  <c r="Z84" i="57" s="1"/>
  <c r="R80" i="57"/>
  <c r="R82" i="57" s="1"/>
  <c r="R84" i="57" s="1"/>
  <c r="J80" i="57"/>
  <c r="J82" i="57" s="1"/>
  <c r="J84" i="57" s="1"/>
  <c r="AW80" i="57"/>
  <c r="AW82" i="57" s="1"/>
  <c r="AW84" i="57" s="1"/>
  <c r="AO80" i="57"/>
  <c r="AO82" i="57" s="1"/>
  <c r="AO84" i="57" s="1"/>
  <c r="AG80" i="57"/>
  <c r="AG82" i="57" s="1"/>
  <c r="AG84" i="57" s="1"/>
  <c r="Y80" i="57"/>
  <c r="Y82" i="57" s="1"/>
  <c r="Y84" i="57" s="1"/>
  <c r="Q80" i="57"/>
  <c r="Q82" i="57" s="1"/>
  <c r="Q84" i="57" s="1"/>
  <c r="I80" i="57"/>
  <c r="I82" i="57" s="1"/>
  <c r="I84" i="57" s="1"/>
  <c r="AV80" i="57"/>
  <c r="AV82" i="57" s="1"/>
  <c r="AV84" i="57" s="1"/>
  <c r="AN80" i="57"/>
  <c r="AN82" i="57" s="1"/>
  <c r="AN84" i="57" s="1"/>
  <c r="AF80" i="57"/>
  <c r="AF82" i="57" s="1"/>
  <c r="AF84" i="57" s="1"/>
  <c r="X80" i="57"/>
  <c r="X82" i="57" s="1"/>
  <c r="X84" i="57" s="1"/>
  <c r="P80" i="57"/>
  <c r="P82" i="57" s="1"/>
  <c r="P84" i="57" s="1"/>
  <c r="H80" i="57"/>
  <c r="H82" i="57" s="1"/>
  <c r="H84" i="57" s="1"/>
  <c r="AU80" i="57"/>
  <c r="AU82" i="57" s="1"/>
  <c r="AU84" i="57" s="1"/>
  <c r="AM80" i="57"/>
  <c r="AM82" i="57" s="1"/>
  <c r="AM84" i="57" s="1"/>
  <c r="AE80" i="57"/>
  <c r="AE82" i="57" s="1"/>
  <c r="AE84" i="57" s="1"/>
  <c r="W80" i="57"/>
  <c r="W82" i="57" s="1"/>
  <c r="W84" i="57" s="1"/>
  <c r="O80" i="57"/>
  <c r="O82" i="57" s="1"/>
  <c r="O84" i="57" s="1"/>
  <c r="G80" i="57"/>
  <c r="G82" i="57" s="1"/>
  <c r="G84" i="57" s="1"/>
  <c r="BB80" i="57"/>
  <c r="BB82" i="57" s="1"/>
  <c r="BB84" i="57" s="1"/>
  <c r="AT80" i="57"/>
  <c r="AT82" i="57" s="1"/>
  <c r="AT84" i="57" s="1"/>
  <c r="AL80" i="57"/>
  <c r="AL82" i="57" s="1"/>
  <c r="AL84" i="57" s="1"/>
  <c r="AD80" i="57"/>
  <c r="AD82" i="57" s="1"/>
  <c r="AD84" i="57" s="1"/>
  <c r="V80" i="57"/>
  <c r="V82" i="57" s="1"/>
  <c r="V84" i="57" s="1"/>
  <c r="N80" i="57"/>
  <c r="N82" i="57" s="1"/>
  <c r="N84" i="57" s="1"/>
  <c r="F80" i="57"/>
  <c r="F82" i="57" s="1"/>
  <c r="F84" i="57" s="1"/>
  <c r="AV80" i="56"/>
  <c r="AV82" i="56" s="1"/>
  <c r="AV84" i="56" s="1"/>
  <c r="AN80" i="56"/>
  <c r="AN82" i="56" s="1"/>
  <c r="AN84" i="56" s="1"/>
  <c r="AF80" i="56"/>
  <c r="AF82" i="56" s="1"/>
  <c r="AF84" i="56" s="1"/>
  <c r="X80" i="56"/>
  <c r="X82" i="56" s="1"/>
  <c r="X84" i="56" s="1"/>
  <c r="P80" i="56"/>
  <c r="P82" i="56" s="1"/>
  <c r="P84" i="56" s="1"/>
  <c r="H80" i="56"/>
  <c r="H82" i="56" s="1"/>
  <c r="H84" i="56" s="1"/>
  <c r="S80" i="56"/>
  <c r="S82" i="56" s="1"/>
  <c r="S84" i="56" s="1"/>
  <c r="AU80" i="56"/>
  <c r="AU82" i="56" s="1"/>
  <c r="AU84" i="56" s="1"/>
  <c r="AM80" i="56"/>
  <c r="AM82" i="56" s="1"/>
  <c r="AM84" i="56" s="1"/>
  <c r="AE80" i="56"/>
  <c r="AE82" i="56" s="1"/>
  <c r="AE84" i="56" s="1"/>
  <c r="W80" i="56"/>
  <c r="W82" i="56" s="1"/>
  <c r="W84" i="56" s="1"/>
  <c r="O80" i="56"/>
  <c r="O82" i="56" s="1"/>
  <c r="O84" i="56" s="1"/>
  <c r="G80" i="56"/>
  <c r="G82" i="56" s="1"/>
  <c r="G84" i="56" s="1"/>
  <c r="AI80" i="56"/>
  <c r="AI82" i="56" s="1"/>
  <c r="AI84" i="56" s="1"/>
  <c r="BB80" i="56"/>
  <c r="BB82" i="56" s="1"/>
  <c r="BB84" i="56" s="1"/>
  <c r="AT80" i="56"/>
  <c r="AT82" i="56" s="1"/>
  <c r="AT84" i="56" s="1"/>
  <c r="AL80" i="56"/>
  <c r="AL82" i="56" s="1"/>
  <c r="AL84" i="56" s="1"/>
  <c r="AD80" i="56"/>
  <c r="AD82" i="56" s="1"/>
  <c r="AD84" i="56" s="1"/>
  <c r="V80" i="56"/>
  <c r="V82" i="56" s="1"/>
  <c r="V84" i="56" s="1"/>
  <c r="N80" i="56"/>
  <c r="N82" i="56" s="1"/>
  <c r="N84" i="56" s="1"/>
  <c r="F80" i="56"/>
  <c r="F82" i="56" s="1"/>
  <c r="F84" i="56" s="1"/>
  <c r="AY80" i="56"/>
  <c r="AY82" i="56" s="1"/>
  <c r="AY84" i="56" s="1"/>
  <c r="BA80" i="56"/>
  <c r="BA82" i="56" s="1"/>
  <c r="BA84" i="56" s="1"/>
  <c r="AS80" i="56"/>
  <c r="AS82" i="56" s="1"/>
  <c r="AS84" i="56" s="1"/>
  <c r="AK80" i="56"/>
  <c r="AK82" i="56" s="1"/>
  <c r="AK84" i="56" s="1"/>
  <c r="AC80" i="56"/>
  <c r="AC82" i="56" s="1"/>
  <c r="AC84" i="56" s="1"/>
  <c r="U80" i="56"/>
  <c r="U82" i="56" s="1"/>
  <c r="U84" i="56" s="1"/>
  <c r="M80" i="56"/>
  <c r="M82" i="56" s="1"/>
  <c r="M84" i="56" s="1"/>
  <c r="E80" i="56"/>
  <c r="E82" i="56" s="1"/>
  <c r="E84" i="56" s="1"/>
  <c r="AZ80" i="56"/>
  <c r="AZ82" i="56" s="1"/>
  <c r="AZ84" i="56" s="1"/>
  <c r="AR80" i="56"/>
  <c r="AR82" i="56" s="1"/>
  <c r="AR84" i="56" s="1"/>
  <c r="AJ80" i="56"/>
  <c r="AJ82" i="56" s="1"/>
  <c r="AJ84" i="56" s="1"/>
  <c r="AB80" i="56"/>
  <c r="AB82" i="56" s="1"/>
  <c r="AB84" i="56" s="1"/>
  <c r="T80" i="56"/>
  <c r="T82" i="56" s="1"/>
  <c r="T84" i="56" s="1"/>
  <c r="L80" i="56"/>
  <c r="L82" i="56" s="1"/>
  <c r="L84" i="56" s="1"/>
  <c r="K80" i="56"/>
  <c r="K82" i="56" s="1"/>
  <c r="K84" i="56" s="1"/>
  <c r="AX80" i="56"/>
  <c r="AX82" i="56" s="1"/>
  <c r="AX84" i="56" s="1"/>
  <c r="AP80" i="56"/>
  <c r="AP82" i="56" s="1"/>
  <c r="AP84" i="56" s="1"/>
  <c r="AH80" i="56"/>
  <c r="AH82" i="56" s="1"/>
  <c r="AH84" i="56" s="1"/>
  <c r="Z80" i="56"/>
  <c r="Z82" i="56" s="1"/>
  <c r="Z84" i="56" s="1"/>
  <c r="R80" i="56"/>
  <c r="R82" i="56" s="1"/>
  <c r="R84" i="56" s="1"/>
  <c r="J80" i="56"/>
  <c r="J82" i="56" s="1"/>
  <c r="J84" i="56" s="1"/>
  <c r="AA80" i="56"/>
  <c r="AA82" i="56" s="1"/>
  <c r="AA84" i="56" s="1"/>
  <c r="AW80" i="56"/>
  <c r="AW82" i="56" s="1"/>
  <c r="AW84" i="56" s="1"/>
  <c r="AO80" i="56"/>
  <c r="AO82" i="56" s="1"/>
  <c r="AO84" i="56" s="1"/>
  <c r="AG80" i="56"/>
  <c r="AG82" i="56" s="1"/>
  <c r="AG84" i="56" s="1"/>
  <c r="Y80" i="56"/>
  <c r="Y82" i="56" s="1"/>
  <c r="Y84" i="56" s="1"/>
  <c r="Q80" i="56"/>
  <c r="Q82" i="56" s="1"/>
  <c r="Q84" i="56" s="1"/>
  <c r="I80" i="56"/>
  <c r="I82" i="56" s="1"/>
  <c r="I84" i="56" s="1"/>
  <c r="AQ80" i="56"/>
  <c r="AQ82" i="56" s="1"/>
  <c r="AQ84" i="56" s="1"/>
  <c r="D134" i="56"/>
  <c r="I3" i="58" s="1"/>
  <c r="E133" i="56"/>
  <c r="E136" i="56" s="1"/>
  <c r="AX96" i="57"/>
  <c r="AX98" i="57" s="1"/>
  <c r="AX100" i="57" s="1"/>
  <c r="AP96" i="57"/>
  <c r="AP98" i="57" s="1"/>
  <c r="AP100" i="57" s="1"/>
  <c r="AH96" i="57"/>
  <c r="AH98" i="57" s="1"/>
  <c r="AH100" i="57" s="1"/>
  <c r="Z96" i="57"/>
  <c r="Z98" i="57" s="1"/>
  <c r="Z100" i="57" s="1"/>
  <c r="R96" i="57"/>
  <c r="R98" i="57" s="1"/>
  <c r="R100" i="57" s="1"/>
  <c r="J96" i="57"/>
  <c r="J98" i="57" s="1"/>
  <c r="J100" i="57" s="1"/>
  <c r="AW96" i="57"/>
  <c r="AW98" i="57" s="1"/>
  <c r="AW100" i="57" s="1"/>
  <c r="AO96" i="57"/>
  <c r="AO98" i="57" s="1"/>
  <c r="AO100" i="57" s="1"/>
  <c r="AG96" i="57"/>
  <c r="AG98" i="57" s="1"/>
  <c r="AG100" i="57" s="1"/>
  <c r="Y96" i="57"/>
  <c r="Y98" i="57" s="1"/>
  <c r="Y100" i="57" s="1"/>
  <c r="Q96" i="57"/>
  <c r="Q98" i="57" s="1"/>
  <c r="Q100" i="57" s="1"/>
  <c r="I96" i="57"/>
  <c r="I98" i="57" s="1"/>
  <c r="I100" i="57" s="1"/>
  <c r="AV96" i="57"/>
  <c r="AV98" i="57" s="1"/>
  <c r="AV100" i="57" s="1"/>
  <c r="AN96" i="57"/>
  <c r="AN98" i="57" s="1"/>
  <c r="AN100" i="57" s="1"/>
  <c r="AF96" i="57"/>
  <c r="AF98" i="57" s="1"/>
  <c r="AF100" i="57" s="1"/>
  <c r="X96" i="57"/>
  <c r="X98" i="57" s="1"/>
  <c r="X100" i="57" s="1"/>
  <c r="P96" i="57"/>
  <c r="P98" i="57" s="1"/>
  <c r="P100" i="57" s="1"/>
  <c r="H96" i="57"/>
  <c r="H98" i="57" s="1"/>
  <c r="H100" i="57" s="1"/>
  <c r="AU96" i="57"/>
  <c r="AU98" i="57" s="1"/>
  <c r="AU100" i="57" s="1"/>
  <c r="AM96" i="57"/>
  <c r="AM98" i="57" s="1"/>
  <c r="AM100" i="57" s="1"/>
  <c r="AE96" i="57"/>
  <c r="AE98" i="57" s="1"/>
  <c r="AE100" i="57" s="1"/>
  <c r="W96" i="57"/>
  <c r="W98" i="57" s="1"/>
  <c r="W100" i="57" s="1"/>
  <c r="O96" i="57"/>
  <c r="O98" i="57" s="1"/>
  <c r="O100" i="57" s="1"/>
  <c r="G96" i="57"/>
  <c r="G98" i="57" s="1"/>
  <c r="G100" i="57" s="1"/>
  <c r="BB96" i="57"/>
  <c r="BB98" i="57" s="1"/>
  <c r="BB100" i="57" s="1"/>
  <c r="AT96" i="57"/>
  <c r="AT98" i="57" s="1"/>
  <c r="AT100" i="57" s="1"/>
  <c r="AL96" i="57"/>
  <c r="AL98" i="57" s="1"/>
  <c r="AL100" i="57" s="1"/>
  <c r="AD96" i="57"/>
  <c r="AD98" i="57" s="1"/>
  <c r="AD100" i="57" s="1"/>
  <c r="V96" i="57"/>
  <c r="V98" i="57" s="1"/>
  <c r="V100" i="57" s="1"/>
  <c r="N96" i="57"/>
  <c r="N98" i="57" s="1"/>
  <c r="N100" i="57" s="1"/>
  <c r="F96" i="57"/>
  <c r="F98" i="57" s="1"/>
  <c r="F100" i="57" s="1"/>
  <c r="BA96" i="57"/>
  <c r="BA98" i="57" s="1"/>
  <c r="BA100" i="57" s="1"/>
  <c r="AS96" i="57"/>
  <c r="AS98" i="57" s="1"/>
  <c r="AS100" i="57" s="1"/>
  <c r="AK96" i="57"/>
  <c r="AK98" i="57" s="1"/>
  <c r="AK100" i="57" s="1"/>
  <c r="AC96" i="57"/>
  <c r="AC98" i="57" s="1"/>
  <c r="AC100" i="57" s="1"/>
  <c r="U96" i="57"/>
  <c r="U98" i="57" s="1"/>
  <c r="U100" i="57" s="1"/>
  <c r="M96" i="57"/>
  <c r="M98" i="57" s="1"/>
  <c r="M100" i="57" s="1"/>
  <c r="E96" i="57"/>
  <c r="E98" i="57" s="1"/>
  <c r="E100" i="57" s="1"/>
  <c r="E101" i="57" s="1"/>
  <c r="AZ96" i="57"/>
  <c r="AZ98" i="57" s="1"/>
  <c r="AZ100" i="57" s="1"/>
  <c r="AR96" i="57"/>
  <c r="AR98" i="57" s="1"/>
  <c r="AR100" i="57" s="1"/>
  <c r="AJ96" i="57"/>
  <c r="AJ98" i="57" s="1"/>
  <c r="AJ100" i="57" s="1"/>
  <c r="AB96" i="57"/>
  <c r="AB98" i="57" s="1"/>
  <c r="AB100" i="57" s="1"/>
  <c r="T96" i="57"/>
  <c r="T98" i="57" s="1"/>
  <c r="T100" i="57" s="1"/>
  <c r="L96" i="57"/>
  <c r="L98" i="57" s="1"/>
  <c r="L100" i="57" s="1"/>
  <c r="AY96" i="57"/>
  <c r="AY98" i="57" s="1"/>
  <c r="AY100" i="57" s="1"/>
  <c r="AQ96" i="57"/>
  <c r="AQ98" i="57" s="1"/>
  <c r="AQ100" i="57" s="1"/>
  <c r="AI96" i="57"/>
  <c r="AI98" i="57" s="1"/>
  <c r="AI100" i="57" s="1"/>
  <c r="AA96" i="57"/>
  <c r="AA98" i="57" s="1"/>
  <c r="AA100" i="57" s="1"/>
  <c r="S96" i="57"/>
  <c r="S98" i="57" s="1"/>
  <c r="S100" i="57" s="1"/>
  <c r="K96" i="57"/>
  <c r="K98" i="57" s="1"/>
  <c r="K100" i="57" s="1"/>
  <c r="AX104" i="57"/>
  <c r="AX106" i="57" s="1"/>
  <c r="AX108" i="57" s="1"/>
  <c r="AP104" i="57"/>
  <c r="AP106" i="57" s="1"/>
  <c r="AP108" i="57" s="1"/>
  <c r="AH104" i="57"/>
  <c r="AH106" i="57" s="1"/>
  <c r="AH108" i="57" s="1"/>
  <c r="Z104" i="57"/>
  <c r="Z106" i="57" s="1"/>
  <c r="Z108" i="57" s="1"/>
  <c r="R104" i="57"/>
  <c r="R106" i="57" s="1"/>
  <c r="R108" i="57" s="1"/>
  <c r="J104" i="57"/>
  <c r="J106" i="57" s="1"/>
  <c r="J108" i="57" s="1"/>
  <c r="AW104" i="57"/>
  <c r="AW106" i="57" s="1"/>
  <c r="AW108" i="57" s="1"/>
  <c r="AO104" i="57"/>
  <c r="AO106" i="57" s="1"/>
  <c r="AO108" i="57" s="1"/>
  <c r="AG104" i="57"/>
  <c r="AG106" i="57" s="1"/>
  <c r="AG108" i="57" s="1"/>
  <c r="Y104" i="57"/>
  <c r="Y106" i="57" s="1"/>
  <c r="Y108" i="57" s="1"/>
  <c r="Q104" i="57"/>
  <c r="Q106" i="57" s="1"/>
  <c r="Q108" i="57" s="1"/>
  <c r="I104" i="57"/>
  <c r="I106" i="57" s="1"/>
  <c r="I108" i="57" s="1"/>
  <c r="AV104" i="57"/>
  <c r="AV106" i="57" s="1"/>
  <c r="AV108" i="57" s="1"/>
  <c r="AN104" i="57"/>
  <c r="AN106" i="57" s="1"/>
  <c r="AN108" i="57" s="1"/>
  <c r="AF104" i="57"/>
  <c r="AF106" i="57" s="1"/>
  <c r="AF108" i="57" s="1"/>
  <c r="X104" i="57"/>
  <c r="X106" i="57" s="1"/>
  <c r="X108" i="57" s="1"/>
  <c r="P104" i="57"/>
  <c r="P106" i="57" s="1"/>
  <c r="P108" i="57" s="1"/>
  <c r="H104" i="57"/>
  <c r="H106" i="57" s="1"/>
  <c r="H108" i="57" s="1"/>
  <c r="AU104" i="57"/>
  <c r="AU106" i="57" s="1"/>
  <c r="AU108" i="57" s="1"/>
  <c r="AM104" i="57"/>
  <c r="AM106" i="57" s="1"/>
  <c r="AM108" i="57" s="1"/>
  <c r="AE104" i="57"/>
  <c r="AE106" i="57" s="1"/>
  <c r="AE108" i="57" s="1"/>
  <c r="W104" i="57"/>
  <c r="W106" i="57" s="1"/>
  <c r="W108" i="57" s="1"/>
  <c r="O104" i="57"/>
  <c r="O106" i="57" s="1"/>
  <c r="O108" i="57" s="1"/>
  <c r="G104" i="57"/>
  <c r="G106" i="57" s="1"/>
  <c r="G108" i="57" s="1"/>
  <c r="BB104" i="57"/>
  <c r="BB106" i="57" s="1"/>
  <c r="BB108" i="57" s="1"/>
  <c r="AT104" i="57"/>
  <c r="AT106" i="57" s="1"/>
  <c r="AT108" i="57" s="1"/>
  <c r="AL104" i="57"/>
  <c r="AL106" i="57" s="1"/>
  <c r="AL108" i="57" s="1"/>
  <c r="AD104" i="57"/>
  <c r="AD106" i="57" s="1"/>
  <c r="AD108" i="57" s="1"/>
  <c r="V104" i="57"/>
  <c r="V106" i="57" s="1"/>
  <c r="V108" i="57" s="1"/>
  <c r="N104" i="57"/>
  <c r="N106" i="57" s="1"/>
  <c r="N108" i="57" s="1"/>
  <c r="F104" i="57"/>
  <c r="F106" i="57" s="1"/>
  <c r="F108" i="57" s="1"/>
  <c r="BA104" i="57"/>
  <c r="BA106" i="57" s="1"/>
  <c r="BA108" i="57" s="1"/>
  <c r="AS104" i="57"/>
  <c r="AS106" i="57" s="1"/>
  <c r="AS108" i="57" s="1"/>
  <c r="AK104" i="57"/>
  <c r="AK106" i="57" s="1"/>
  <c r="AK108" i="57" s="1"/>
  <c r="AC104" i="57"/>
  <c r="AC106" i="57" s="1"/>
  <c r="AC108" i="57" s="1"/>
  <c r="U104" i="57"/>
  <c r="U106" i="57" s="1"/>
  <c r="U108" i="57" s="1"/>
  <c r="M104" i="57"/>
  <c r="M106" i="57" s="1"/>
  <c r="M108" i="57" s="1"/>
  <c r="E104" i="57"/>
  <c r="E106" i="57" s="1"/>
  <c r="E108" i="57" s="1"/>
  <c r="AZ104" i="57"/>
  <c r="AZ106" i="57" s="1"/>
  <c r="AZ108" i="57" s="1"/>
  <c r="AR104" i="57"/>
  <c r="AR106" i="57" s="1"/>
  <c r="AR108" i="57" s="1"/>
  <c r="AJ104" i="57"/>
  <c r="AJ106" i="57" s="1"/>
  <c r="AJ108" i="57" s="1"/>
  <c r="AB104" i="57"/>
  <c r="AB106" i="57" s="1"/>
  <c r="AB108" i="57" s="1"/>
  <c r="T104" i="57"/>
  <c r="T106" i="57" s="1"/>
  <c r="T108" i="57" s="1"/>
  <c r="L104" i="57"/>
  <c r="L106" i="57" s="1"/>
  <c r="L108" i="57" s="1"/>
  <c r="AY104" i="57"/>
  <c r="AY106" i="57" s="1"/>
  <c r="AY108" i="57" s="1"/>
  <c r="AQ104" i="57"/>
  <c r="AQ106" i="57" s="1"/>
  <c r="AQ108" i="57" s="1"/>
  <c r="AI104" i="57"/>
  <c r="AI106" i="57" s="1"/>
  <c r="AI108" i="57" s="1"/>
  <c r="AA104" i="57"/>
  <c r="AA106" i="57" s="1"/>
  <c r="AA108" i="57" s="1"/>
  <c r="S104" i="57"/>
  <c r="S106" i="57" s="1"/>
  <c r="S108" i="57" s="1"/>
  <c r="K104" i="57"/>
  <c r="K106" i="57" s="1"/>
  <c r="K108" i="57" s="1"/>
  <c r="BB96" i="56"/>
  <c r="BB98" i="56" s="1"/>
  <c r="BB100" i="56" s="1"/>
  <c r="AT96" i="56"/>
  <c r="AT98" i="56" s="1"/>
  <c r="AT100" i="56" s="1"/>
  <c r="AL96" i="56"/>
  <c r="AL98" i="56" s="1"/>
  <c r="AL100" i="56" s="1"/>
  <c r="AD96" i="56"/>
  <c r="AD98" i="56" s="1"/>
  <c r="AD100" i="56" s="1"/>
  <c r="V96" i="56"/>
  <c r="V98" i="56" s="1"/>
  <c r="V100" i="56" s="1"/>
  <c r="N96" i="56"/>
  <c r="N98" i="56" s="1"/>
  <c r="N100" i="56" s="1"/>
  <c r="F96" i="56"/>
  <c r="F98" i="56" s="1"/>
  <c r="F100" i="56" s="1"/>
  <c r="BA96" i="56"/>
  <c r="BA98" i="56" s="1"/>
  <c r="BA100" i="56" s="1"/>
  <c r="AS96" i="56"/>
  <c r="AS98" i="56" s="1"/>
  <c r="AS100" i="56" s="1"/>
  <c r="AK96" i="56"/>
  <c r="AK98" i="56" s="1"/>
  <c r="AK100" i="56" s="1"/>
  <c r="AC96" i="56"/>
  <c r="AC98" i="56" s="1"/>
  <c r="AC100" i="56" s="1"/>
  <c r="U96" i="56"/>
  <c r="U98" i="56" s="1"/>
  <c r="U100" i="56" s="1"/>
  <c r="M96" i="56"/>
  <c r="M98" i="56" s="1"/>
  <c r="M100" i="56" s="1"/>
  <c r="E96" i="56"/>
  <c r="E98" i="56" s="1"/>
  <c r="E100" i="56" s="1"/>
  <c r="AZ96" i="56"/>
  <c r="AZ98" i="56" s="1"/>
  <c r="AZ100" i="56" s="1"/>
  <c r="AR96" i="56"/>
  <c r="AR98" i="56" s="1"/>
  <c r="AR100" i="56" s="1"/>
  <c r="AJ96" i="56"/>
  <c r="AJ98" i="56" s="1"/>
  <c r="AJ100" i="56" s="1"/>
  <c r="AB96" i="56"/>
  <c r="AB98" i="56" s="1"/>
  <c r="AB100" i="56" s="1"/>
  <c r="T96" i="56"/>
  <c r="T98" i="56" s="1"/>
  <c r="T100" i="56" s="1"/>
  <c r="L96" i="56"/>
  <c r="L98" i="56" s="1"/>
  <c r="L100" i="56" s="1"/>
  <c r="AW96" i="56"/>
  <c r="AW98" i="56" s="1"/>
  <c r="AW100" i="56" s="1"/>
  <c r="I96" i="56"/>
  <c r="I98" i="56" s="1"/>
  <c r="I100" i="56" s="1"/>
  <c r="AY96" i="56"/>
  <c r="AY98" i="56" s="1"/>
  <c r="AY100" i="56" s="1"/>
  <c r="AQ96" i="56"/>
  <c r="AQ98" i="56" s="1"/>
  <c r="AQ100" i="56" s="1"/>
  <c r="AI96" i="56"/>
  <c r="AI98" i="56" s="1"/>
  <c r="AI100" i="56" s="1"/>
  <c r="AA96" i="56"/>
  <c r="AA98" i="56" s="1"/>
  <c r="AA100" i="56" s="1"/>
  <c r="S96" i="56"/>
  <c r="S98" i="56" s="1"/>
  <c r="S100" i="56" s="1"/>
  <c r="K96" i="56"/>
  <c r="K98" i="56" s="1"/>
  <c r="K100" i="56" s="1"/>
  <c r="Y96" i="56"/>
  <c r="Y98" i="56" s="1"/>
  <c r="Y100" i="56" s="1"/>
  <c r="AX96" i="56"/>
  <c r="AX98" i="56" s="1"/>
  <c r="AX100" i="56" s="1"/>
  <c r="AP96" i="56"/>
  <c r="AP98" i="56" s="1"/>
  <c r="AP100" i="56" s="1"/>
  <c r="AH96" i="56"/>
  <c r="AH98" i="56" s="1"/>
  <c r="AH100" i="56" s="1"/>
  <c r="Z96" i="56"/>
  <c r="Z98" i="56" s="1"/>
  <c r="Z100" i="56" s="1"/>
  <c r="R96" i="56"/>
  <c r="R98" i="56" s="1"/>
  <c r="R100" i="56" s="1"/>
  <c r="J96" i="56"/>
  <c r="J98" i="56" s="1"/>
  <c r="J100" i="56" s="1"/>
  <c r="AV96" i="56"/>
  <c r="AV98" i="56" s="1"/>
  <c r="AV100" i="56" s="1"/>
  <c r="AN96" i="56"/>
  <c r="AN98" i="56" s="1"/>
  <c r="AN100" i="56" s="1"/>
  <c r="AF96" i="56"/>
  <c r="AF98" i="56" s="1"/>
  <c r="AF100" i="56" s="1"/>
  <c r="X96" i="56"/>
  <c r="X98" i="56" s="1"/>
  <c r="X100" i="56" s="1"/>
  <c r="P96" i="56"/>
  <c r="P98" i="56" s="1"/>
  <c r="P100" i="56" s="1"/>
  <c r="H96" i="56"/>
  <c r="H98" i="56" s="1"/>
  <c r="H100" i="56" s="1"/>
  <c r="AO96" i="56"/>
  <c r="AO98" i="56" s="1"/>
  <c r="AO100" i="56" s="1"/>
  <c r="Q96" i="56"/>
  <c r="Q98" i="56" s="1"/>
  <c r="Q100" i="56" s="1"/>
  <c r="AU96" i="56"/>
  <c r="AU98" i="56" s="1"/>
  <c r="AU100" i="56" s="1"/>
  <c r="AM96" i="56"/>
  <c r="AM98" i="56" s="1"/>
  <c r="AM100" i="56" s="1"/>
  <c r="AE96" i="56"/>
  <c r="AE98" i="56" s="1"/>
  <c r="AE100" i="56" s="1"/>
  <c r="W96" i="56"/>
  <c r="W98" i="56" s="1"/>
  <c r="W100" i="56" s="1"/>
  <c r="O96" i="56"/>
  <c r="O98" i="56" s="1"/>
  <c r="O100" i="56" s="1"/>
  <c r="G96" i="56"/>
  <c r="G98" i="56" s="1"/>
  <c r="G100" i="56" s="1"/>
  <c r="AG96" i="56"/>
  <c r="AG98" i="56" s="1"/>
  <c r="AG100" i="56" s="1"/>
  <c r="AZ156" i="57"/>
  <c r="AZ158" i="57" s="1"/>
  <c r="AZ160" i="57" s="1"/>
  <c r="AR156" i="57"/>
  <c r="AR158" i="57" s="1"/>
  <c r="AR160" i="57" s="1"/>
  <c r="AJ156" i="57"/>
  <c r="AJ158" i="57" s="1"/>
  <c r="AJ160" i="57" s="1"/>
  <c r="AB156" i="57"/>
  <c r="AB158" i="57" s="1"/>
  <c r="AB160" i="57" s="1"/>
  <c r="T156" i="57"/>
  <c r="T158" i="57" s="1"/>
  <c r="T160" i="57" s="1"/>
  <c r="L156" i="57"/>
  <c r="L158" i="57" s="1"/>
  <c r="L160" i="57" s="1"/>
  <c r="AY156" i="57"/>
  <c r="AY158" i="57" s="1"/>
  <c r="AY160" i="57" s="1"/>
  <c r="AQ156" i="57"/>
  <c r="AQ158" i="57" s="1"/>
  <c r="AQ160" i="57" s="1"/>
  <c r="AI156" i="57"/>
  <c r="AI158" i="57" s="1"/>
  <c r="AI160" i="57" s="1"/>
  <c r="AA156" i="57"/>
  <c r="AA158" i="57" s="1"/>
  <c r="AA160" i="57" s="1"/>
  <c r="S156" i="57"/>
  <c r="S158" i="57" s="1"/>
  <c r="S160" i="57" s="1"/>
  <c r="K156" i="57"/>
  <c r="K158" i="57" s="1"/>
  <c r="K160" i="57" s="1"/>
  <c r="BA148" i="56"/>
  <c r="BA150" i="56" s="1"/>
  <c r="BA152" i="56" s="1"/>
  <c r="AS148" i="56"/>
  <c r="AS150" i="56" s="1"/>
  <c r="AS152" i="56" s="1"/>
  <c r="AK148" i="56"/>
  <c r="AK150" i="56" s="1"/>
  <c r="AK152" i="56" s="1"/>
  <c r="AC148" i="56"/>
  <c r="AC150" i="56" s="1"/>
  <c r="AC152" i="56" s="1"/>
  <c r="U148" i="56"/>
  <c r="U150" i="56" s="1"/>
  <c r="U152" i="56" s="1"/>
  <c r="M148" i="56"/>
  <c r="M150" i="56" s="1"/>
  <c r="M152" i="56" s="1"/>
  <c r="E148" i="56"/>
  <c r="E150" i="56" s="1"/>
  <c r="E152" i="56" s="1"/>
  <c r="AX156" i="57"/>
  <c r="AX158" i="57" s="1"/>
  <c r="AX160" i="57" s="1"/>
  <c r="AP156" i="57"/>
  <c r="AP158" i="57" s="1"/>
  <c r="AP160" i="57" s="1"/>
  <c r="AH156" i="57"/>
  <c r="AH158" i="57" s="1"/>
  <c r="AH160" i="57" s="1"/>
  <c r="Z156" i="57"/>
  <c r="Z158" i="57" s="1"/>
  <c r="Z160" i="57" s="1"/>
  <c r="R156" i="57"/>
  <c r="R158" i="57" s="1"/>
  <c r="R160" i="57" s="1"/>
  <c r="J156" i="57"/>
  <c r="J158" i="57" s="1"/>
  <c r="J160" i="57" s="1"/>
  <c r="AW156" i="57"/>
  <c r="AW158" i="57" s="1"/>
  <c r="AW160" i="57" s="1"/>
  <c r="AO156" i="57"/>
  <c r="AO158" i="57" s="1"/>
  <c r="AO160" i="57" s="1"/>
  <c r="AG156" i="57"/>
  <c r="AG158" i="57" s="1"/>
  <c r="AG160" i="57" s="1"/>
  <c r="Y156" i="57"/>
  <c r="Y158" i="57" s="1"/>
  <c r="Y160" i="57" s="1"/>
  <c r="Q156" i="57"/>
  <c r="Q158" i="57" s="1"/>
  <c r="Q160" i="57" s="1"/>
  <c r="I156" i="57"/>
  <c r="I158" i="57" s="1"/>
  <c r="I160" i="57" s="1"/>
  <c r="AY148" i="56"/>
  <c r="AY150" i="56" s="1"/>
  <c r="AY152" i="56" s="1"/>
  <c r="AQ148" i="56"/>
  <c r="AQ150" i="56" s="1"/>
  <c r="AQ152" i="56" s="1"/>
  <c r="AI148" i="56"/>
  <c r="AI150" i="56" s="1"/>
  <c r="AI152" i="56" s="1"/>
  <c r="AA148" i="56"/>
  <c r="AA150" i="56" s="1"/>
  <c r="AA152" i="56" s="1"/>
  <c r="S148" i="56"/>
  <c r="S150" i="56" s="1"/>
  <c r="S152" i="56" s="1"/>
  <c r="K148" i="56"/>
  <c r="K150" i="56" s="1"/>
  <c r="K152" i="56" s="1"/>
  <c r="AV156" i="57"/>
  <c r="AV158" i="57" s="1"/>
  <c r="AV160" i="57" s="1"/>
  <c r="AN156" i="57"/>
  <c r="AN158" i="57" s="1"/>
  <c r="AN160" i="57" s="1"/>
  <c r="AF156" i="57"/>
  <c r="AF158" i="57" s="1"/>
  <c r="AF160" i="57" s="1"/>
  <c r="X156" i="57"/>
  <c r="X158" i="57" s="1"/>
  <c r="X160" i="57" s="1"/>
  <c r="P156" i="57"/>
  <c r="P158" i="57" s="1"/>
  <c r="P160" i="57" s="1"/>
  <c r="H156" i="57"/>
  <c r="H158" i="57" s="1"/>
  <c r="H160" i="57" s="1"/>
  <c r="AU156" i="57"/>
  <c r="AU158" i="57" s="1"/>
  <c r="AU160" i="57" s="1"/>
  <c r="AM156" i="57"/>
  <c r="AM158" i="57" s="1"/>
  <c r="AM160" i="57" s="1"/>
  <c r="AE156" i="57"/>
  <c r="AE158" i="57" s="1"/>
  <c r="AE160" i="57" s="1"/>
  <c r="W156" i="57"/>
  <c r="W158" i="57" s="1"/>
  <c r="W160" i="57" s="1"/>
  <c r="O156" i="57"/>
  <c r="O158" i="57" s="1"/>
  <c r="O160" i="57" s="1"/>
  <c r="G156" i="57"/>
  <c r="G158" i="57" s="1"/>
  <c r="G160" i="57" s="1"/>
  <c r="AW148" i="56"/>
  <c r="AW150" i="56" s="1"/>
  <c r="AW152" i="56" s="1"/>
  <c r="AO148" i="56"/>
  <c r="AO150" i="56" s="1"/>
  <c r="AO152" i="56" s="1"/>
  <c r="AG148" i="56"/>
  <c r="AG150" i="56" s="1"/>
  <c r="AG152" i="56" s="1"/>
  <c r="Y148" i="56"/>
  <c r="Y150" i="56" s="1"/>
  <c r="Y152" i="56" s="1"/>
  <c r="Q148" i="56"/>
  <c r="Q150" i="56" s="1"/>
  <c r="Q152" i="56" s="1"/>
  <c r="I148" i="56"/>
  <c r="I150" i="56" s="1"/>
  <c r="I152" i="56" s="1"/>
  <c r="BB156" i="57"/>
  <c r="BB158" i="57" s="1"/>
  <c r="BB160" i="57" s="1"/>
  <c r="AT156" i="57"/>
  <c r="AT158" i="57" s="1"/>
  <c r="AT160" i="57" s="1"/>
  <c r="AL156" i="57"/>
  <c r="AL158" i="57" s="1"/>
  <c r="AL160" i="57" s="1"/>
  <c r="AD156" i="57"/>
  <c r="AD158" i="57" s="1"/>
  <c r="AD160" i="57" s="1"/>
  <c r="V156" i="57"/>
  <c r="V158" i="57" s="1"/>
  <c r="V160" i="57" s="1"/>
  <c r="N156" i="57"/>
  <c r="N158" i="57" s="1"/>
  <c r="N160" i="57" s="1"/>
  <c r="F156" i="57"/>
  <c r="F158" i="57" s="1"/>
  <c r="F160" i="57" s="1"/>
  <c r="BA156" i="57"/>
  <c r="BA158" i="57" s="1"/>
  <c r="BA160" i="57" s="1"/>
  <c r="AS156" i="57"/>
  <c r="AS158" i="57" s="1"/>
  <c r="AS160" i="57" s="1"/>
  <c r="AK156" i="57"/>
  <c r="AK158" i="57" s="1"/>
  <c r="AK160" i="57" s="1"/>
  <c r="AC156" i="57"/>
  <c r="AC158" i="57" s="1"/>
  <c r="AC160" i="57" s="1"/>
  <c r="U156" i="57"/>
  <c r="U158" i="57" s="1"/>
  <c r="U160" i="57" s="1"/>
  <c r="M156" i="57"/>
  <c r="M158" i="57" s="1"/>
  <c r="M160" i="57" s="1"/>
  <c r="E156" i="57"/>
  <c r="E158" i="57" s="1"/>
  <c r="E160" i="57" s="1"/>
  <c r="AU148" i="56"/>
  <c r="AU150" i="56" s="1"/>
  <c r="AU152" i="56" s="1"/>
  <c r="AM148" i="56"/>
  <c r="AM150" i="56" s="1"/>
  <c r="AM152" i="56" s="1"/>
  <c r="AE148" i="56"/>
  <c r="AE150" i="56" s="1"/>
  <c r="AE152" i="56" s="1"/>
  <c r="W148" i="56"/>
  <c r="W150" i="56" s="1"/>
  <c r="W152" i="56" s="1"/>
  <c r="O148" i="56"/>
  <c r="O150" i="56" s="1"/>
  <c r="O152" i="56" s="1"/>
  <c r="G148" i="56"/>
  <c r="G150" i="56" s="1"/>
  <c r="G152" i="56" s="1"/>
  <c r="AV148" i="56"/>
  <c r="AV150" i="56" s="1"/>
  <c r="AV152" i="56" s="1"/>
  <c r="AF148" i="56"/>
  <c r="AF150" i="56" s="1"/>
  <c r="AF152" i="56" s="1"/>
  <c r="P148" i="56"/>
  <c r="P150" i="56" s="1"/>
  <c r="P152" i="56" s="1"/>
  <c r="L160" i="29"/>
  <c r="L162" i="29" s="1"/>
  <c r="L164" i="29" s="1"/>
  <c r="T160" i="29"/>
  <c r="T162" i="29" s="1"/>
  <c r="T164" i="29" s="1"/>
  <c r="AB160" i="29"/>
  <c r="AB162" i="29" s="1"/>
  <c r="AB164" i="29" s="1"/>
  <c r="AJ160" i="29"/>
  <c r="AJ162" i="29" s="1"/>
  <c r="AJ164" i="29" s="1"/>
  <c r="AR160" i="29"/>
  <c r="AR162" i="29" s="1"/>
  <c r="AR164" i="29" s="1"/>
  <c r="AZ160" i="29"/>
  <c r="AZ162" i="29" s="1"/>
  <c r="AZ164" i="29" s="1"/>
  <c r="AC160" i="29"/>
  <c r="AC162" i="29" s="1"/>
  <c r="AC164" i="29" s="1"/>
  <c r="F148" i="56"/>
  <c r="F150" i="56" s="1"/>
  <c r="F152" i="56" s="1"/>
  <c r="AT148" i="56"/>
  <c r="AT150" i="56" s="1"/>
  <c r="AT152" i="56" s="1"/>
  <c r="AD148" i="56"/>
  <c r="AD150" i="56" s="1"/>
  <c r="AD152" i="56" s="1"/>
  <c r="N148" i="56"/>
  <c r="N150" i="56" s="1"/>
  <c r="N152" i="56" s="1"/>
  <c r="AK160" i="29"/>
  <c r="AK162" i="29" s="1"/>
  <c r="AK164" i="29" s="1"/>
  <c r="I160" i="29"/>
  <c r="I162" i="29" s="1"/>
  <c r="I164" i="29" s="1"/>
  <c r="AR148" i="56"/>
  <c r="AR150" i="56" s="1"/>
  <c r="AR152" i="56" s="1"/>
  <c r="AB148" i="56"/>
  <c r="AB150" i="56" s="1"/>
  <c r="AB152" i="56" s="1"/>
  <c r="L148" i="56"/>
  <c r="L150" i="56" s="1"/>
  <c r="L152" i="56" s="1"/>
  <c r="F160" i="29"/>
  <c r="F162" i="29" s="1"/>
  <c r="F164" i="29" s="1"/>
  <c r="N160" i="29"/>
  <c r="N162" i="29" s="1"/>
  <c r="N164" i="29" s="1"/>
  <c r="V160" i="29"/>
  <c r="V162" i="29" s="1"/>
  <c r="V164" i="29" s="1"/>
  <c r="AD160" i="29"/>
  <c r="AD162" i="29" s="1"/>
  <c r="AD164" i="29" s="1"/>
  <c r="AL160" i="29"/>
  <c r="AL162" i="29" s="1"/>
  <c r="AL164" i="29" s="1"/>
  <c r="AT160" i="29"/>
  <c r="AT162" i="29" s="1"/>
  <c r="AT164" i="29" s="1"/>
  <c r="BB160" i="29"/>
  <c r="BB162" i="29" s="1"/>
  <c r="BB164" i="29" s="1"/>
  <c r="Y160" i="29"/>
  <c r="Y162" i="29" s="1"/>
  <c r="Y164" i="29" s="1"/>
  <c r="AP148" i="56"/>
  <c r="AP150" i="56" s="1"/>
  <c r="AP152" i="56" s="1"/>
  <c r="Z148" i="56"/>
  <c r="Z150" i="56" s="1"/>
  <c r="Z152" i="56" s="1"/>
  <c r="J148" i="56"/>
  <c r="J150" i="56" s="1"/>
  <c r="J152" i="56" s="1"/>
  <c r="G160" i="29"/>
  <c r="G162" i="29" s="1"/>
  <c r="G164" i="29" s="1"/>
  <c r="O160" i="29"/>
  <c r="O162" i="29" s="1"/>
  <c r="O164" i="29" s="1"/>
  <c r="W160" i="29"/>
  <c r="W162" i="29" s="1"/>
  <c r="W164" i="29" s="1"/>
  <c r="AE160" i="29"/>
  <c r="AE162" i="29" s="1"/>
  <c r="AE164" i="29" s="1"/>
  <c r="AM160" i="29"/>
  <c r="AM162" i="29" s="1"/>
  <c r="AM164" i="29" s="1"/>
  <c r="AU160" i="29"/>
  <c r="AU162" i="29" s="1"/>
  <c r="AU164" i="29" s="1"/>
  <c r="E160" i="29"/>
  <c r="E162" i="29" s="1"/>
  <c r="E164" i="29" s="1"/>
  <c r="AL148" i="56"/>
  <c r="AL150" i="56" s="1"/>
  <c r="AL152" i="56" s="1"/>
  <c r="AN148" i="56"/>
  <c r="AN150" i="56" s="1"/>
  <c r="AN152" i="56" s="1"/>
  <c r="X148" i="56"/>
  <c r="X150" i="56" s="1"/>
  <c r="X152" i="56" s="1"/>
  <c r="H148" i="56"/>
  <c r="H150" i="56" s="1"/>
  <c r="H152" i="56" s="1"/>
  <c r="H160" i="29"/>
  <c r="H162" i="29" s="1"/>
  <c r="H164" i="29" s="1"/>
  <c r="P160" i="29"/>
  <c r="P162" i="29" s="1"/>
  <c r="P164" i="29" s="1"/>
  <c r="X160" i="29"/>
  <c r="X162" i="29" s="1"/>
  <c r="X164" i="29" s="1"/>
  <c r="AF160" i="29"/>
  <c r="AF162" i="29" s="1"/>
  <c r="AF164" i="29" s="1"/>
  <c r="AN160" i="29"/>
  <c r="AN162" i="29" s="1"/>
  <c r="AN164" i="29" s="1"/>
  <c r="AV160" i="29"/>
  <c r="AV162" i="29" s="1"/>
  <c r="AV164" i="29" s="1"/>
  <c r="AG160" i="29"/>
  <c r="AG162" i="29" s="1"/>
  <c r="AG164" i="29" s="1"/>
  <c r="AZ148" i="56"/>
  <c r="AZ150" i="56" s="1"/>
  <c r="AZ152" i="56" s="1"/>
  <c r="AJ148" i="56"/>
  <c r="AJ150" i="56" s="1"/>
  <c r="AJ152" i="56" s="1"/>
  <c r="T148" i="56"/>
  <c r="T150" i="56" s="1"/>
  <c r="T152" i="56" s="1"/>
  <c r="J160" i="29"/>
  <c r="J162" i="29" s="1"/>
  <c r="J164" i="29" s="1"/>
  <c r="R160" i="29"/>
  <c r="R162" i="29" s="1"/>
  <c r="R164" i="29" s="1"/>
  <c r="Z160" i="29"/>
  <c r="Z162" i="29" s="1"/>
  <c r="Z164" i="29" s="1"/>
  <c r="AH160" i="29"/>
  <c r="AH162" i="29" s="1"/>
  <c r="AH164" i="29" s="1"/>
  <c r="AP160" i="29"/>
  <c r="AP162" i="29" s="1"/>
  <c r="AP164" i="29" s="1"/>
  <c r="AX160" i="29"/>
  <c r="AX162" i="29" s="1"/>
  <c r="AX164" i="29" s="1"/>
  <c r="S160" i="29"/>
  <c r="S162" i="29" s="1"/>
  <c r="S164" i="29" s="1"/>
  <c r="U160" i="29"/>
  <c r="U162" i="29" s="1"/>
  <c r="U164" i="29" s="1"/>
  <c r="BA160" i="29"/>
  <c r="BA162" i="29" s="1"/>
  <c r="BA164" i="29" s="1"/>
  <c r="BB148" i="56"/>
  <c r="BB150" i="56" s="1"/>
  <c r="BB152" i="56" s="1"/>
  <c r="Q160" i="29"/>
  <c r="Q162" i="29" s="1"/>
  <c r="Q164" i="29" s="1"/>
  <c r="AW160" i="29"/>
  <c r="AW162" i="29" s="1"/>
  <c r="AW164" i="29" s="1"/>
  <c r="AX148" i="56"/>
  <c r="AX150" i="56" s="1"/>
  <c r="AX152" i="56" s="1"/>
  <c r="AH148" i="56"/>
  <c r="AH150" i="56" s="1"/>
  <c r="AH152" i="56" s="1"/>
  <c r="R148" i="56"/>
  <c r="R150" i="56" s="1"/>
  <c r="R152" i="56" s="1"/>
  <c r="K160" i="29"/>
  <c r="K162" i="29" s="1"/>
  <c r="K164" i="29" s="1"/>
  <c r="AA160" i="29"/>
  <c r="AA162" i="29" s="1"/>
  <c r="AA164" i="29" s="1"/>
  <c r="AI160" i="29"/>
  <c r="AI162" i="29" s="1"/>
  <c r="AI164" i="29" s="1"/>
  <c r="AQ160" i="29"/>
  <c r="AQ162" i="29" s="1"/>
  <c r="AQ164" i="29" s="1"/>
  <c r="AY160" i="29"/>
  <c r="AY162" i="29" s="1"/>
  <c r="AY164" i="29" s="1"/>
  <c r="M160" i="29"/>
  <c r="M162" i="29" s="1"/>
  <c r="M164" i="29" s="1"/>
  <c r="AS160" i="29"/>
  <c r="AS162" i="29" s="1"/>
  <c r="AS164" i="29" s="1"/>
  <c r="V148" i="56"/>
  <c r="V150" i="56" s="1"/>
  <c r="V152" i="56" s="1"/>
  <c r="AO160" i="29"/>
  <c r="AO162" i="29" s="1"/>
  <c r="AO164" i="29" s="1"/>
  <c r="AW146" i="57"/>
  <c r="AW148" i="57" s="1"/>
  <c r="AW150" i="57" s="1"/>
  <c r="AW169" i="57" s="1"/>
  <c r="AW171" i="57" s="1"/>
  <c r="AO146" i="57"/>
  <c r="AO148" i="57" s="1"/>
  <c r="AO150" i="57" s="1"/>
  <c r="AG146" i="57"/>
  <c r="AG148" i="57" s="1"/>
  <c r="AG150" i="57" s="1"/>
  <c r="AG169" i="57" s="1"/>
  <c r="AG171" i="57" s="1"/>
  <c r="Y146" i="57"/>
  <c r="Y148" i="57" s="1"/>
  <c r="Y150" i="57" s="1"/>
  <c r="Y169" i="57" s="1"/>
  <c r="Y171" i="57" s="1"/>
  <c r="Q146" i="57"/>
  <c r="Q148" i="57" s="1"/>
  <c r="Q150" i="57" s="1"/>
  <c r="Q169" i="57" s="1"/>
  <c r="Q171" i="57" s="1"/>
  <c r="I146" i="57"/>
  <c r="I148" i="57" s="1"/>
  <c r="I150" i="57" s="1"/>
  <c r="AV146" i="57"/>
  <c r="AV148" i="57" s="1"/>
  <c r="AV150" i="57" s="1"/>
  <c r="AV169" i="57" s="1"/>
  <c r="AV171" i="57" s="1"/>
  <c r="AN146" i="57"/>
  <c r="AN148" i="57" s="1"/>
  <c r="AN150" i="57" s="1"/>
  <c r="AF146" i="57"/>
  <c r="AF148" i="57" s="1"/>
  <c r="AF150" i="57" s="1"/>
  <c r="AF169" i="57" s="1"/>
  <c r="AF171" i="57" s="1"/>
  <c r="X146" i="57"/>
  <c r="X148" i="57" s="1"/>
  <c r="X150" i="57" s="1"/>
  <c r="X169" i="57" s="1"/>
  <c r="X171" i="57" s="1"/>
  <c r="P146" i="57"/>
  <c r="P148" i="57" s="1"/>
  <c r="P150" i="57" s="1"/>
  <c r="P169" i="57" s="1"/>
  <c r="P171" i="57" s="1"/>
  <c r="H146" i="57"/>
  <c r="H148" i="57" s="1"/>
  <c r="H150" i="57" s="1"/>
  <c r="AX138" i="56"/>
  <c r="AX140" i="56" s="1"/>
  <c r="AX142" i="56" s="1"/>
  <c r="AP138" i="56"/>
  <c r="AP140" i="56" s="1"/>
  <c r="AP142" i="56" s="1"/>
  <c r="AH138" i="56"/>
  <c r="AH140" i="56" s="1"/>
  <c r="AH142" i="56" s="1"/>
  <c r="Z138" i="56"/>
  <c r="Z140" i="56" s="1"/>
  <c r="Z142" i="56" s="1"/>
  <c r="R138" i="56"/>
  <c r="R140" i="56" s="1"/>
  <c r="R142" i="56" s="1"/>
  <c r="J138" i="56"/>
  <c r="J140" i="56" s="1"/>
  <c r="J142" i="56" s="1"/>
  <c r="AU146" i="57"/>
  <c r="AU148" i="57" s="1"/>
  <c r="AU150" i="57" s="1"/>
  <c r="AU169" i="57" s="1"/>
  <c r="AU171" i="57" s="1"/>
  <c r="AM146" i="57"/>
  <c r="AM148" i="57" s="1"/>
  <c r="AM150" i="57" s="1"/>
  <c r="AM169" i="57" s="1"/>
  <c r="AM171" i="57" s="1"/>
  <c r="AE146" i="57"/>
  <c r="AE148" i="57" s="1"/>
  <c r="AE150" i="57" s="1"/>
  <c r="AE169" i="57" s="1"/>
  <c r="AE171" i="57" s="1"/>
  <c r="W146" i="57"/>
  <c r="W148" i="57" s="1"/>
  <c r="W150" i="57" s="1"/>
  <c r="O146" i="57"/>
  <c r="O148" i="57" s="1"/>
  <c r="O150" i="57" s="1"/>
  <c r="O169" i="57" s="1"/>
  <c r="O171" i="57" s="1"/>
  <c r="G146" i="57"/>
  <c r="G148" i="57" s="1"/>
  <c r="G150" i="57" s="1"/>
  <c r="G169" i="57" s="1"/>
  <c r="G171" i="57" s="1"/>
  <c r="BB146" i="57"/>
  <c r="BB148" i="57" s="1"/>
  <c r="BB150" i="57" s="1"/>
  <c r="BB169" i="57" s="1"/>
  <c r="BB171" i="57" s="1"/>
  <c r="AT146" i="57"/>
  <c r="AT148" i="57" s="1"/>
  <c r="AT150" i="57" s="1"/>
  <c r="AT169" i="57" s="1"/>
  <c r="AT171" i="57" s="1"/>
  <c r="AL146" i="57"/>
  <c r="AL148" i="57" s="1"/>
  <c r="AL150" i="57" s="1"/>
  <c r="AL169" i="57" s="1"/>
  <c r="AL171" i="57" s="1"/>
  <c r="AD146" i="57"/>
  <c r="AD148" i="57" s="1"/>
  <c r="AD150" i="57" s="1"/>
  <c r="V146" i="57"/>
  <c r="V148" i="57" s="1"/>
  <c r="V150" i="57" s="1"/>
  <c r="V169" i="57" s="1"/>
  <c r="V171" i="57" s="1"/>
  <c r="N146" i="57"/>
  <c r="N148" i="57" s="1"/>
  <c r="N150" i="57" s="1"/>
  <c r="N169" i="57" s="1"/>
  <c r="N171" i="57" s="1"/>
  <c r="F146" i="57"/>
  <c r="F148" i="57" s="1"/>
  <c r="F150" i="57" s="1"/>
  <c r="F169" i="57" s="1"/>
  <c r="F171" i="57" s="1"/>
  <c r="AV138" i="56"/>
  <c r="AV140" i="56" s="1"/>
  <c r="AV142" i="56" s="1"/>
  <c r="BA146" i="57"/>
  <c r="BA148" i="57" s="1"/>
  <c r="BA150" i="57" s="1"/>
  <c r="BA169" i="57" s="1"/>
  <c r="BA171" i="57" s="1"/>
  <c r="AS146" i="57"/>
  <c r="AS148" i="57" s="1"/>
  <c r="AS150" i="57" s="1"/>
  <c r="AS169" i="57" s="1"/>
  <c r="AS171" i="57" s="1"/>
  <c r="AK146" i="57"/>
  <c r="AK148" i="57" s="1"/>
  <c r="AK150" i="57" s="1"/>
  <c r="AK169" i="57" s="1"/>
  <c r="AK171" i="57" s="1"/>
  <c r="AC146" i="57"/>
  <c r="AC148" i="57" s="1"/>
  <c r="AC150" i="57" s="1"/>
  <c r="AC169" i="57" s="1"/>
  <c r="AC171" i="57" s="1"/>
  <c r="U146" i="57"/>
  <c r="U148" i="57" s="1"/>
  <c r="U150" i="57" s="1"/>
  <c r="U169" i="57" s="1"/>
  <c r="U171" i="57" s="1"/>
  <c r="M146" i="57"/>
  <c r="M148" i="57" s="1"/>
  <c r="M150" i="57" s="1"/>
  <c r="M169" i="57" s="1"/>
  <c r="M171" i="57" s="1"/>
  <c r="E146" i="57"/>
  <c r="E148" i="57" s="1"/>
  <c r="E150" i="57" s="1"/>
  <c r="E169" i="57" s="1"/>
  <c r="E171" i="57" s="1"/>
  <c r="AZ146" i="57"/>
  <c r="AZ148" i="57" s="1"/>
  <c r="AZ150" i="57" s="1"/>
  <c r="AZ169" i="57" s="1"/>
  <c r="AZ171" i="57" s="1"/>
  <c r="AR146" i="57"/>
  <c r="AR148" i="57" s="1"/>
  <c r="AR150" i="57" s="1"/>
  <c r="AR169" i="57" s="1"/>
  <c r="AR171" i="57" s="1"/>
  <c r="AJ146" i="57"/>
  <c r="AJ148" i="57" s="1"/>
  <c r="AJ150" i="57" s="1"/>
  <c r="AB146" i="57"/>
  <c r="AB148" i="57" s="1"/>
  <c r="AB150" i="57" s="1"/>
  <c r="AB169" i="57" s="1"/>
  <c r="AB171" i="57" s="1"/>
  <c r="T146" i="57"/>
  <c r="T148" i="57" s="1"/>
  <c r="T150" i="57" s="1"/>
  <c r="T169" i="57" s="1"/>
  <c r="T171" i="57" s="1"/>
  <c r="L146" i="57"/>
  <c r="L148" i="57" s="1"/>
  <c r="L150" i="57" s="1"/>
  <c r="L169" i="57" s="1"/>
  <c r="L171" i="57" s="1"/>
  <c r="BB138" i="56"/>
  <c r="BB140" i="56" s="1"/>
  <c r="BB142" i="56" s="1"/>
  <c r="AT138" i="56"/>
  <c r="AT140" i="56" s="1"/>
  <c r="AT142" i="56" s="1"/>
  <c r="AL138" i="56"/>
  <c r="AL140" i="56" s="1"/>
  <c r="AL142" i="56" s="1"/>
  <c r="AD138" i="56"/>
  <c r="AD140" i="56" s="1"/>
  <c r="AD142" i="56" s="1"/>
  <c r="V138" i="56"/>
  <c r="V140" i="56" s="1"/>
  <c r="V142" i="56" s="1"/>
  <c r="N138" i="56"/>
  <c r="N140" i="56" s="1"/>
  <c r="N142" i="56" s="1"/>
  <c r="F138" i="56"/>
  <c r="F140" i="56" s="1"/>
  <c r="F142" i="56" s="1"/>
  <c r="AY146" i="57"/>
  <c r="AY148" i="57" s="1"/>
  <c r="AY150" i="57" s="1"/>
  <c r="AY169" i="57" s="1"/>
  <c r="AY171" i="57" s="1"/>
  <c r="AQ146" i="57"/>
  <c r="AQ148" i="57" s="1"/>
  <c r="AQ150" i="57" s="1"/>
  <c r="AQ169" i="57" s="1"/>
  <c r="AQ171" i="57" s="1"/>
  <c r="AI146" i="57"/>
  <c r="AI148" i="57" s="1"/>
  <c r="AI150" i="57" s="1"/>
  <c r="AI169" i="57" s="1"/>
  <c r="AI171" i="57" s="1"/>
  <c r="AA146" i="57"/>
  <c r="AA148" i="57" s="1"/>
  <c r="AA150" i="57" s="1"/>
  <c r="AA169" i="57" s="1"/>
  <c r="AA171" i="57" s="1"/>
  <c r="S146" i="57"/>
  <c r="S148" i="57" s="1"/>
  <c r="S150" i="57" s="1"/>
  <c r="S169" i="57" s="1"/>
  <c r="S171" i="57" s="1"/>
  <c r="K146" i="57"/>
  <c r="K148" i="57" s="1"/>
  <c r="K150" i="57" s="1"/>
  <c r="K169" i="57" s="1"/>
  <c r="K171" i="57" s="1"/>
  <c r="AX146" i="57"/>
  <c r="AX148" i="57" s="1"/>
  <c r="AX150" i="57" s="1"/>
  <c r="AX169" i="57" s="1"/>
  <c r="AX171" i="57" s="1"/>
  <c r="AP146" i="57"/>
  <c r="AP148" i="57" s="1"/>
  <c r="AP150" i="57" s="1"/>
  <c r="AP169" i="57" s="1"/>
  <c r="AP171" i="57" s="1"/>
  <c r="AH146" i="57"/>
  <c r="AH148" i="57" s="1"/>
  <c r="AH150" i="57" s="1"/>
  <c r="AH169" i="57" s="1"/>
  <c r="AH171" i="57" s="1"/>
  <c r="Z146" i="57"/>
  <c r="Z148" i="57" s="1"/>
  <c r="Z150" i="57" s="1"/>
  <c r="R146" i="57"/>
  <c r="R148" i="57" s="1"/>
  <c r="R150" i="57" s="1"/>
  <c r="R169" i="57" s="1"/>
  <c r="R171" i="57" s="1"/>
  <c r="J146" i="57"/>
  <c r="J148" i="57" s="1"/>
  <c r="J150" i="57" s="1"/>
  <c r="J169" i="57" s="1"/>
  <c r="J171" i="57" s="1"/>
  <c r="AZ138" i="56"/>
  <c r="AZ140" i="56" s="1"/>
  <c r="AZ142" i="56" s="1"/>
  <c r="AR138" i="56"/>
  <c r="AR140" i="56" s="1"/>
  <c r="AR142" i="56" s="1"/>
  <c r="AJ138" i="56"/>
  <c r="AJ140" i="56" s="1"/>
  <c r="AJ142" i="56" s="1"/>
  <c r="AN138" i="56"/>
  <c r="AN140" i="56" s="1"/>
  <c r="AN142" i="56" s="1"/>
  <c r="AB138" i="56"/>
  <c r="AB140" i="56" s="1"/>
  <c r="AB142" i="56" s="1"/>
  <c r="Q138" i="56"/>
  <c r="Q140" i="56" s="1"/>
  <c r="Q142" i="56" s="1"/>
  <c r="G138" i="56"/>
  <c r="G140" i="56" s="1"/>
  <c r="G142" i="56" s="1"/>
  <c r="G150" i="29"/>
  <c r="G152" i="29" s="1"/>
  <c r="G154" i="29" s="1"/>
  <c r="O150" i="29"/>
  <c r="O152" i="29" s="1"/>
  <c r="O154" i="29" s="1"/>
  <c r="W150" i="29"/>
  <c r="W152" i="29" s="1"/>
  <c r="W154" i="29" s="1"/>
  <c r="AE150" i="29"/>
  <c r="AE152" i="29" s="1"/>
  <c r="AE154" i="29" s="1"/>
  <c r="AM150" i="29"/>
  <c r="AM152" i="29" s="1"/>
  <c r="AM154" i="29" s="1"/>
  <c r="AU150" i="29"/>
  <c r="AU152" i="29" s="1"/>
  <c r="AU154" i="29" s="1"/>
  <c r="E150" i="29"/>
  <c r="E152" i="29" s="1"/>
  <c r="E154" i="29" s="1"/>
  <c r="P150" i="29"/>
  <c r="P152" i="29" s="1"/>
  <c r="P154" i="29" s="1"/>
  <c r="P170" i="29" s="1"/>
  <c r="AN150" i="29"/>
  <c r="AN152" i="29" s="1"/>
  <c r="AN154" i="29" s="1"/>
  <c r="AF138" i="56"/>
  <c r="AF140" i="56" s="1"/>
  <c r="AF142" i="56" s="1"/>
  <c r="AB150" i="29"/>
  <c r="AB152" i="29" s="1"/>
  <c r="AB154" i="29" s="1"/>
  <c r="BA138" i="56"/>
  <c r="BA140" i="56" s="1"/>
  <c r="BA142" i="56" s="1"/>
  <c r="AM138" i="56"/>
  <c r="AM140" i="56" s="1"/>
  <c r="AM142" i="56" s="1"/>
  <c r="AA138" i="56"/>
  <c r="AA140" i="56" s="1"/>
  <c r="AA142" i="56" s="1"/>
  <c r="P138" i="56"/>
  <c r="P140" i="56" s="1"/>
  <c r="P142" i="56" s="1"/>
  <c r="E138" i="56"/>
  <c r="E140" i="56" s="1"/>
  <c r="E142" i="56" s="1"/>
  <c r="AF150" i="29"/>
  <c r="AF152" i="29" s="1"/>
  <c r="AF154" i="29" s="1"/>
  <c r="AJ150" i="29"/>
  <c r="AJ152" i="29" s="1"/>
  <c r="AJ154" i="29" s="1"/>
  <c r="AY138" i="56"/>
  <c r="AY140" i="56" s="1"/>
  <c r="AY142" i="56" s="1"/>
  <c r="AK138" i="56"/>
  <c r="AK140" i="56" s="1"/>
  <c r="AK142" i="56" s="1"/>
  <c r="Y138" i="56"/>
  <c r="Y140" i="56" s="1"/>
  <c r="Y142" i="56" s="1"/>
  <c r="O138" i="56"/>
  <c r="O140" i="56" s="1"/>
  <c r="O142" i="56" s="1"/>
  <c r="I150" i="29"/>
  <c r="I152" i="29" s="1"/>
  <c r="I154" i="29" s="1"/>
  <c r="Q150" i="29"/>
  <c r="Q152" i="29" s="1"/>
  <c r="Q154" i="29" s="1"/>
  <c r="Y150" i="29"/>
  <c r="Y152" i="29" s="1"/>
  <c r="Y154" i="29" s="1"/>
  <c r="Y170" i="29" s="1"/>
  <c r="AG150" i="29"/>
  <c r="AG152" i="29" s="1"/>
  <c r="AG154" i="29" s="1"/>
  <c r="AO150" i="29"/>
  <c r="AO152" i="29" s="1"/>
  <c r="AO154" i="29" s="1"/>
  <c r="AW150" i="29"/>
  <c r="AW152" i="29" s="1"/>
  <c r="AW154" i="29" s="1"/>
  <c r="K138" i="56"/>
  <c r="K140" i="56" s="1"/>
  <c r="K142" i="56" s="1"/>
  <c r="T150" i="29"/>
  <c r="T152" i="29" s="1"/>
  <c r="T154" i="29" s="1"/>
  <c r="AW138" i="56"/>
  <c r="AW140" i="56" s="1"/>
  <c r="AW142" i="56" s="1"/>
  <c r="AI138" i="56"/>
  <c r="AI140" i="56" s="1"/>
  <c r="AI142" i="56" s="1"/>
  <c r="X138" i="56"/>
  <c r="X140" i="56" s="1"/>
  <c r="X142" i="56" s="1"/>
  <c r="M138" i="56"/>
  <c r="M140" i="56" s="1"/>
  <c r="M142" i="56" s="1"/>
  <c r="J150" i="29"/>
  <c r="J152" i="29" s="1"/>
  <c r="J154" i="29" s="1"/>
  <c r="R150" i="29"/>
  <c r="R152" i="29" s="1"/>
  <c r="R154" i="29" s="1"/>
  <c r="Z150" i="29"/>
  <c r="Z152" i="29" s="1"/>
  <c r="Z154" i="29" s="1"/>
  <c r="AH150" i="29"/>
  <c r="AH152" i="29" s="1"/>
  <c r="AH154" i="29" s="1"/>
  <c r="AP150" i="29"/>
  <c r="AP152" i="29" s="1"/>
  <c r="AP154" i="29" s="1"/>
  <c r="AX150" i="29"/>
  <c r="AX152" i="29" s="1"/>
  <c r="AX154" i="29" s="1"/>
  <c r="AS138" i="56"/>
  <c r="AS140" i="56" s="1"/>
  <c r="AS142" i="56" s="1"/>
  <c r="AZ150" i="29"/>
  <c r="AZ152" i="29" s="1"/>
  <c r="AZ154" i="29" s="1"/>
  <c r="AU138" i="56"/>
  <c r="AU140" i="56" s="1"/>
  <c r="AU142" i="56" s="1"/>
  <c r="AG138" i="56"/>
  <c r="AG140" i="56" s="1"/>
  <c r="AG142" i="56" s="1"/>
  <c r="W138" i="56"/>
  <c r="W140" i="56" s="1"/>
  <c r="W142" i="56" s="1"/>
  <c r="L138" i="56"/>
  <c r="L140" i="56" s="1"/>
  <c r="L142" i="56" s="1"/>
  <c r="K150" i="29"/>
  <c r="K152" i="29" s="1"/>
  <c r="K154" i="29" s="1"/>
  <c r="S150" i="29"/>
  <c r="S152" i="29" s="1"/>
  <c r="S154" i="29" s="1"/>
  <c r="AA150" i="29"/>
  <c r="AA152" i="29" s="1"/>
  <c r="AA154" i="29" s="1"/>
  <c r="AI150" i="29"/>
  <c r="AI152" i="29" s="1"/>
  <c r="AI154" i="29" s="1"/>
  <c r="AQ150" i="29"/>
  <c r="AQ152" i="29" s="1"/>
  <c r="AQ154" i="29" s="1"/>
  <c r="AY150" i="29"/>
  <c r="AY152" i="29" s="1"/>
  <c r="AY154" i="29" s="1"/>
  <c r="L150" i="29"/>
  <c r="L152" i="29" s="1"/>
  <c r="L154" i="29" s="1"/>
  <c r="AQ138" i="56"/>
  <c r="AQ140" i="56" s="1"/>
  <c r="AQ142" i="56" s="1"/>
  <c r="AE138" i="56"/>
  <c r="AE140" i="56" s="1"/>
  <c r="AE142" i="56" s="1"/>
  <c r="T138" i="56"/>
  <c r="T140" i="56" s="1"/>
  <c r="T142" i="56" s="1"/>
  <c r="I138" i="56"/>
  <c r="I140" i="56" s="1"/>
  <c r="I142" i="56" s="1"/>
  <c r="M150" i="29"/>
  <c r="M152" i="29" s="1"/>
  <c r="M154" i="29" s="1"/>
  <c r="U150" i="29"/>
  <c r="U152" i="29" s="1"/>
  <c r="U154" i="29" s="1"/>
  <c r="AC150" i="29"/>
  <c r="AC152" i="29" s="1"/>
  <c r="AC154" i="29" s="1"/>
  <c r="AK150" i="29"/>
  <c r="AK152" i="29" s="1"/>
  <c r="AK154" i="29" s="1"/>
  <c r="AK170" i="29" s="1"/>
  <c r="AS150" i="29"/>
  <c r="AS152" i="29" s="1"/>
  <c r="AS154" i="29" s="1"/>
  <c r="BA150" i="29"/>
  <c r="BA152" i="29" s="1"/>
  <c r="BA154" i="29" s="1"/>
  <c r="AD150" i="29"/>
  <c r="AD152" i="29" s="1"/>
  <c r="AD154" i="29" s="1"/>
  <c r="H150" i="29"/>
  <c r="H152" i="29" s="1"/>
  <c r="H154" i="29" s="1"/>
  <c r="AV150" i="29"/>
  <c r="AV152" i="29" s="1"/>
  <c r="AV154" i="29" s="1"/>
  <c r="AR150" i="29"/>
  <c r="AR152" i="29" s="1"/>
  <c r="AR154" i="29" s="1"/>
  <c r="AO138" i="56"/>
  <c r="AO140" i="56" s="1"/>
  <c r="AO142" i="56" s="1"/>
  <c r="AC138" i="56"/>
  <c r="AC140" i="56" s="1"/>
  <c r="AC142" i="56" s="1"/>
  <c r="S138" i="56"/>
  <c r="S140" i="56" s="1"/>
  <c r="S142" i="56" s="1"/>
  <c r="H138" i="56"/>
  <c r="H140" i="56" s="1"/>
  <c r="H142" i="56" s="1"/>
  <c r="F150" i="29"/>
  <c r="F152" i="29" s="1"/>
  <c r="F154" i="29" s="1"/>
  <c r="N150" i="29"/>
  <c r="N152" i="29" s="1"/>
  <c r="N154" i="29" s="1"/>
  <c r="V150" i="29"/>
  <c r="V152" i="29" s="1"/>
  <c r="V154" i="29" s="1"/>
  <c r="AL150" i="29"/>
  <c r="AL152" i="29" s="1"/>
  <c r="AL154" i="29" s="1"/>
  <c r="AT150" i="29"/>
  <c r="AT152" i="29" s="1"/>
  <c r="AT154" i="29" s="1"/>
  <c r="BB150" i="29"/>
  <c r="BB152" i="29" s="1"/>
  <c r="BB154" i="29" s="1"/>
  <c r="X150" i="29"/>
  <c r="X152" i="29" s="1"/>
  <c r="X154" i="29" s="1"/>
  <c r="U138" i="56"/>
  <c r="U140" i="56" s="1"/>
  <c r="U142" i="56" s="1"/>
  <c r="AS66" i="29"/>
  <c r="AS68" i="29" s="1"/>
  <c r="AJ66" i="29"/>
  <c r="AJ68" i="29" s="1"/>
  <c r="T66" i="29"/>
  <c r="T68" i="29" s="1"/>
  <c r="AX66" i="29"/>
  <c r="AX68" i="29" s="1"/>
  <c r="R66" i="29"/>
  <c r="R68" i="29" s="1"/>
  <c r="J66" i="29"/>
  <c r="J68" i="29" s="1"/>
  <c r="AL74" i="29"/>
  <c r="AL76" i="29" s="1"/>
  <c r="AG66" i="29"/>
  <c r="AG68" i="29" s="1"/>
  <c r="I66" i="29"/>
  <c r="I68" i="29" s="1"/>
  <c r="M74" i="29"/>
  <c r="M76" i="29" s="1"/>
  <c r="AD66" i="29"/>
  <c r="AD68" i="29" s="1"/>
  <c r="F66" i="29"/>
  <c r="F68" i="29" s="1"/>
  <c r="K104" i="29"/>
  <c r="K106" i="29" s="1"/>
  <c r="K108" i="29" s="1"/>
  <c r="S104" i="29"/>
  <c r="S106" i="29" s="1"/>
  <c r="S108" i="29" s="1"/>
  <c r="AA104" i="29"/>
  <c r="AA106" i="29" s="1"/>
  <c r="AA108" i="29" s="1"/>
  <c r="AI104" i="29"/>
  <c r="AI106" i="29" s="1"/>
  <c r="AI108" i="29" s="1"/>
  <c r="AQ104" i="29"/>
  <c r="AQ106" i="29" s="1"/>
  <c r="AQ108" i="29" s="1"/>
  <c r="AY104" i="29"/>
  <c r="AY106" i="29" s="1"/>
  <c r="AY108" i="29" s="1"/>
  <c r="L104" i="29"/>
  <c r="L106" i="29" s="1"/>
  <c r="L108" i="29" s="1"/>
  <c r="T104" i="29"/>
  <c r="T106" i="29" s="1"/>
  <c r="T108" i="29" s="1"/>
  <c r="AB104" i="29"/>
  <c r="AB106" i="29" s="1"/>
  <c r="AB108" i="29" s="1"/>
  <c r="AJ104" i="29"/>
  <c r="AJ106" i="29" s="1"/>
  <c r="AJ108" i="29" s="1"/>
  <c r="AR104" i="29"/>
  <c r="AR106" i="29" s="1"/>
  <c r="AR108" i="29" s="1"/>
  <c r="AZ104" i="29"/>
  <c r="AZ106" i="29" s="1"/>
  <c r="AZ108" i="29" s="1"/>
  <c r="M104" i="29"/>
  <c r="M106" i="29" s="1"/>
  <c r="M108" i="29" s="1"/>
  <c r="U104" i="29"/>
  <c r="U106" i="29" s="1"/>
  <c r="U108" i="29" s="1"/>
  <c r="AC104" i="29"/>
  <c r="AC106" i="29" s="1"/>
  <c r="AC108" i="29" s="1"/>
  <c r="AK104" i="29"/>
  <c r="AK106" i="29" s="1"/>
  <c r="AK108" i="29" s="1"/>
  <c r="AS104" i="29"/>
  <c r="AS106" i="29" s="1"/>
  <c r="AS108" i="29" s="1"/>
  <c r="BA104" i="29"/>
  <c r="BA106" i="29" s="1"/>
  <c r="BA108" i="29" s="1"/>
  <c r="F104" i="29"/>
  <c r="F106" i="29" s="1"/>
  <c r="F108" i="29" s="1"/>
  <c r="N104" i="29"/>
  <c r="N106" i="29" s="1"/>
  <c r="N108" i="29" s="1"/>
  <c r="V104" i="29"/>
  <c r="V106" i="29" s="1"/>
  <c r="V108" i="29" s="1"/>
  <c r="AD104" i="29"/>
  <c r="AD106" i="29" s="1"/>
  <c r="AD108" i="29" s="1"/>
  <c r="AL104" i="29"/>
  <c r="AL106" i="29" s="1"/>
  <c r="AL108" i="29" s="1"/>
  <c r="AT104" i="29"/>
  <c r="AT106" i="29" s="1"/>
  <c r="AT108" i="29" s="1"/>
  <c r="BB104" i="29"/>
  <c r="BB106" i="29" s="1"/>
  <c r="BB108" i="29" s="1"/>
  <c r="G104" i="29"/>
  <c r="G106" i="29" s="1"/>
  <c r="G108" i="29" s="1"/>
  <c r="O104" i="29"/>
  <c r="O106" i="29" s="1"/>
  <c r="O108" i="29" s="1"/>
  <c r="W104" i="29"/>
  <c r="W106" i="29" s="1"/>
  <c r="W108" i="29" s="1"/>
  <c r="AE104" i="29"/>
  <c r="AE106" i="29" s="1"/>
  <c r="AE108" i="29" s="1"/>
  <c r="AM104" i="29"/>
  <c r="AM106" i="29" s="1"/>
  <c r="AM108" i="29" s="1"/>
  <c r="AU104" i="29"/>
  <c r="AU106" i="29" s="1"/>
  <c r="AU108" i="29" s="1"/>
  <c r="E104" i="29"/>
  <c r="E106" i="29" s="1"/>
  <c r="E108" i="29" s="1"/>
  <c r="H104" i="29"/>
  <c r="H106" i="29" s="1"/>
  <c r="H108" i="29" s="1"/>
  <c r="P104" i="29"/>
  <c r="P106" i="29" s="1"/>
  <c r="P108" i="29" s="1"/>
  <c r="X104" i="29"/>
  <c r="X106" i="29" s="1"/>
  <c r="X108" i="29" s="1"/>
  <c r="AF104" i="29"/>
  <c r="AF106" i="29" s="1"/>
  <c r="AF108" i="29" s="1"/>
  <c r="AN104" i="29"/>
  <c r="AN106" i="29" s="1"/>
  <c r="AN108" i="29" s="1"/>
  <c r="AV104" i="29"/>
  <c r="AV106" i="29" s="1"/>
  <c r="AV108" i="29" s="1"/>
  <c r="I104" i="29"/>
  <c r="I106" i="29" s="1"/>
  <c r="I108" i="29" s="1"/>
  <c r="Q104" i="29"/>
  <c r="Q106" i="29" s="1"/>
  <c r="Q108" i="29" s="1"/>
  <c r="Y104" i="29"/>
  <c r="Y106" i="29" s="1"/>
  <c r="Y108" i="29" s="1"/>
  <c r="AG104" i="29"/>
  <c r="AG106" i="29" s="1"/>
  <c r="AG108" i="29" s="1"/>
  <c r="AO104" i="29"/>
  <c r="AO106" i="29" s="1"/>
  <c r="AO108" i="29" s="1"/>
  <c r="AW104" i="29"/>
  <c r="AW106" i="29" s="1"/>
  <c r="AW108" i="29" s="1"/>
  <c r="J104" i="29"/>
  <c r="J106" i="29" s="1"/>
  <c r="J108" i="29" s="1"/>
  <c r="R104" i="29"/>
  <c r="R106" i="29" s="1"/>
  <c r="R108" i="29" s="1"/>
  <c r="Z104" i="29"/>
  <c r="Z106" i="29" s="1"/>
  <c r="Z108" i="29" s="1"/>
  <c r="AH104" i="29"/>
  <c r="AH106" i="29" s="1"/>
  <c r="AH108" i="29" s="1"/>
  <c r="AP104" i="29"/>
  <c r="AP106" i="29" s="1"/>
  <c r="AP108" i="29" s="1"/>
  <c r="AX104" i="29"/>
  <c r="AX106" i="29" s="1"/>
  <c r="AX108" i="29" s="1"/>
  <c r="L96" i="29"/>
  <c r="L98" i="29" s="1"/>
  <c r="L100" i="29" s="1"/>
  <c r="T96" i="29"/>
  <c r="T98" i="29" s="1"/>
  <c r="T100" i="29" s="1"/>
  <c r="AB96" i="29"/>
  <c r="AB98" i="29" s="1"/>
  <c r="AB100" i="29" s="1"/>
  <c r="AJ96" i="29"/>
  <c r="AJ98" i="29" s="1"/>
  <c r="AJ100" i="29" s="1"/>
  <c r="AR96" i="29"/>
  <c r="AR98" i="29" s="1"/>
  <c r="AR100" i="29" s="1"/>
  <c r="AZ96" i="29"/>
  <c r="AZ98" i="29" s="1"/>
  <c r="AZ100" i="29" s="1"/>
  <c r="AY96" i="29"/>
  <c r="AY98" i="29" s="1"/>
  <c r="AY100" i="29" s="1"/>
  <c r="M96" i="29"/>
  <c r="M98" i="29" s="1"/>
  <c r="M100" i="29" s="1"/>
  <c r="U96" i="29"/>
  <c r="U98" i="29" s="1"/>
  <c r="U100" i="29" s="1"/>
  <c r="AC96" i="29"/>
  <c r="AC98" i="29" s="1"/>
  <c r="AC100" i="29" s="1"/>
  <c r="AK96" i="29"/>
  <c r="AK98" i="29" s="1"/>
  <c r="AK100" i="29" s="1"/>
  <c r="AS96" i="29"/>
  <c r="AS98" i="29" s="1"/>
  <c r="AS100" i="29" s="1"/>
  <c r="BA96" i="29"/>
  <c r="BA98" i="29" s="1"/>
  <c r="BA100" i="29" s="1"/>
  <c r="AQ96" i="29"/>
  <c r="AQ98" i="29" s="1"/>
  <c r="AQ100" i="29" s="1"/>
  <c r="F96" i="29"/>
  <c r="F98" i="29" s="1"/>
  <c r="F100" i="29" s="1"/>
  <c r="N96" i="29"/>
  <c r="N98" i="29" s="1"/>
  <c r="N100" i="29" s="1"/>
  <c r="V96" i="29"/>
  <c r="V98" i="29" s="1"/>
  <c r="V100" i="29" s="1"/>
  <c r="AD96" i="29"/>
  <c r="AD98" i="29" s="1"/>
  <c r="AD100" i="29" s="1"/>
  <c r="AL96" i="29"/>
  <c r="AL98" i="29" s="1"/>
  <c r="AL100" i="29" s="1"/>
  <c r="AT96" i="29"/>
  <c r="AT98" i="29" s="1"/>
  <c r="AT100" i="29" s="1"/>
  <c r="BB96" i="29"/>
  <c r="BB98" i="29" s="1"/>
  <c r="BB100" i="29" s="1"/>
  <c r="AI96" i="29"/>
  <c r="AI98" i="29" s="1"/>
  <c r="AI100" i="29" s="1"/>
  <c r="G96" i="29"/>
  <c r="G98" i="29" s="1"/>
  <c r="G100" i="29" s="1"/>
  <c r="O96" i="29"/>
  <c r="O98" i="29" s="1"/>
  <c r="O100" i="29" s="1"/>
  <c r="W96" i="29"/>
  <c r="W98" i="29" s="1"/>
  <c r="W100" i="29" s="1"/>
  <c r="AE96" i="29"/>
  <c r="AE98" i="29" s="1"/>
  <c r="AE100" i="29" s="1"/>
  <c r="AM96" i="29"/>
  <c r="AM98" i="29" s="1"/>
  <c r="AM100" i="29" s="1"/>
  <c r="AU96" i="29"/>
  <c r="AU98" i="29" s="1"/>
  <c r="AU100" i="29" s="1"/>
  <c r="E96" i="29"/>
  <c r="E98" i="29" s="1"/>
  <c r="E100" i="29" s="1"/>
  <c r="K96" i="29"/>
  <c r="K98" i="29" s="1"/>
  <c r="K100" i="29" s="1"/>
  <c r="H96" i="29"/>
  <c r="H98" i="29" s="1"/>
  <c r="H100" i="29" s="1"/>
  <c r="P96" i="29"/>
  <c r="P98" i="29" s="1"/>
  <c r="P100" i="29" s="1"/>
  <c r="X96" i="29"/>
  <c r="X98" i="29" s="1"/>
  <c r="X100" i="29" s="1"/>
  <c r="AF96" i="29"/>
  <c r="AF98" i="29" s="1"/>
  <c r="AF100" i="29" s="1"/>
  <c r="AN96" i="29"/>
  <c r="AN98" i="29" s="1"/>
  <c r="AN100" i="29" s="1"/>
  <c r="AV96" i="29"/>
  <c r="AV98" i="29" s="1"/>
  <c r="AV100" i="29" s="1"/>
  <c r="AA96" i="29"/>
  <c r="AA98" i="29" s="1"/>
  <c r="AA100" i="29" s="1"/>
  <c r="I96" i="29"/>
  <c r="I98" i="29" s="1"/>
  <c r="I100" i="29" s="1"/>
  <c r="Q96" i="29"/>
  <c r="Q98" i="29" s="1"/>
  <c r="Q100" i="29" s="1"/>
  <c r="Y96" i="29"/>
  <c r="Y98" i="29" s="1"/>
  <c r="Y100" i="29" s="1"/>
  <c r="AG96" i="29"/>
  <c r="AG98" i="29" s="1"/>
  <c r="AG100" i="29" s="1"/>
  <c r="AO96" i="29"/>
  <c r="AO98" i="29" s="1"/>
  <c r="AO100" i="29" s="1"/>
  <c r="AW96" i="29"/>
  <c r="AW98" i="29" s="1"/>
  <c r="AW100" i="29" s="1"/>
  <c r="S96" i="29"/>
  <c r="S98" i="29" s="1"/>
  <c r="S100" i="29" s="1"/>
  <c r="J96" i="29"/>
  <c r="J98" i="29" s="1"/>
  <c r="J100" i="29" s="1"/>
  <c r="R96" i="29"/>
  <c r="R98" i="29" s="1"/>
  <c r="R100" i="29" s="1"/>
  <c r="Z96" i="29"/>
  <c r="Z98" i="29" s="1"/>
  <c r="Z100" i="29" s="1"/>
  <c r="AH96" i="29"/>
  <c r="AH98" i="29" s="1"/>
  <c r="AH100" i="29" s="1"/>
  <c r="AP96" i="29"/>
  <c r="AP98" i="29" s="1"/>
  <c r="AP100" i="29" s="1"/>
  <c r="AX96" i="29"/>
  <c r="AX98" i="29" s="1"/>
  <c r="AX100" i="29" s="1"/>
  <c r="B67" i="40"/>
  <c r="B68" i="40" s="1"/>
  <c r="B7" i="7"/>
  <c r="AH114" i="29"/>
  <c r="AH116" i="29" s="1"/>
  <c r="Q114" i="29"/>
  <c r="Q116" i="29" s="1"/>
  <c r="BB114" i="29"/>
  <c r="BB116" i="29" s="1"/>
  <c r="X114" i="29"/>
  <c r="X116" i="29" s="1"/>
  <c r="G48" i="29"/>
  <c r="G50" i="29" s="1"/>
  <c r="G52" i="29" s="1"/>
  <c r="W114" i="29"/>
  <c r="W116" i="29" s="1"/>
  <c r="N48" i="29"/>
  <c r="N50" i="29" s="1"/>
  <c r="N52" i="29" s="1"/>
  <c r="AS114" i="29"/>
  <c r="AS116" i="29" s="1"/>
  <c r="AJ48" i="29"/>
  <c r="AJ50" i="29" s="1"/>
  <c r="AJ52" i="29" s="1"/>
  <c r="AZ114" i="29"/>
  <c r="AZ116" i="29" s="1"/>
  <c r="AI48" i="29"/>
  <c r="AI50" i="29" s="1"/>
  <c r="AI52" i="29" s="1"/>
  <c r="AW48" i="29"/>
  <c r="AW50" i="29" s="1"/>
  <c r="AW52" i="29" s="1"/>
  <c r="K114" i="29"/>
  <c r="K116" i="29" s="1"/>
  <c r="I114" i="29"/>
  <c r="I116" i="29" s="1"/>
  <c r="AD114" i="29"/>
  <c r="AD116" i="29" s="1"/>
  <c r="P114" i="29"/>
  <c r="P116" i="29" s="1"/>
  <c r="AT114" i="29"/>
  <c r="AT116" i="29" s="1"/>
  <c r="O114" i="29"/>
  <c r="O116" i="29" s="1"/>
  <c r="F48" i="29"/>
  <c r="F50" i="29" s="1"/>
  <c r="F52" i="29" s="1"/>
  <c r="AK114" i="29"/>
  <c r="AK116" i="29" s="1"/>
  <c r="AB48" i="29"/>
  <c r="AB50" i="29" s="1"/>
  <c r="AB52" i="29" s="1"/>
  <c r="AR114" i="29"/>
  <c r="AR116" i="29" s="1"/>
  <c r="AA48" i="29"/>
  <c r="AA50" i="29" s="1"/>
  <c r="AA52" i="29" s="1"/>
  <c r="AO48" i="29"/>
  <c r="AO50" i="29" s="1"/>
  <c r="AO52" i="29" s="1"/>
  <c r="AX48" i="29"/>
  <c r="AX50" i="29" s="1"/>
  <c r="AX52" i="29" s="1"/>
  <c r="AV48" i="29"/>
  <c r="AV50" i="29" s="1"/>
  <c r="AV52" i="29" s="1"/>
  <c r="F114" i="29"/>
  <c r="F116" i="29" s="1"/>
  <c r="H114" i="29"/>
  <c r="H116" i="29" s="1"/>
  <c r="V114" i="29"/>
  <c r="V116" i="29" s="1"/>
  <c r="G114" i="29"/>
  <c r="G116" i="29" s="1"/>
  <c r="AL114" i="29"/>
  <c r="AL116" i="29" s="1"/>
  <c r="AC114" i="29"/>
  <c r="AC116" i="29" s="1"/>
  <c r="T48" i="29"/>
  <c r="T50" i="29" s="1"/>
  <c r="T52" i="29" s="1"/>
  <c r="AJ114" i="29"/>
  <c r="AJ116" i="29" s="1"/>
  <c r="S48" i="29"/>
  <c r="S50" i="29" s="1"/>
  <c r="S52" i="29" s="1"/>
  <c r="Q48" i="29"/>
  <c r="Q50" i="29" s="1"/>
  <c r="Q52" i="29" s="1"/>
  <c r="AP48" i="29"/>
  <c r="AP50" i="29" s="1"/>
  <c r="AP52" i="29" s="1"/>
  <c r="V48" i="29"/>
  <c r="V50" i="29" s="1"/>
  <c r="V52" i="29" s="1"/>
  <c r="AN48" i="29"/>
  <c r="AN50" i="29" s="1"/>
  <c r="AN52" i="29" s="1"/>
  <c r="AK48" i="29"/>
  <c r="AK50" i="29" s="1"/>
  <c r="AK52" i="29" s="1"/>
  <c r="AU48" i="29"/>
  <c r="AU50" i="29" s="1"/>
  <c r="AU52" i="29" s="1"/>
  <c r="AS48" i="29"/>
  <c r="AS50" i="29" s="1"/>
  <c r="AS52" i="29" s="1"/>
  <c r="BB48" i="29"/>
  <c r="BB50" i="29" s="1"/>
  <c r="BB52" i="29" s="1"/>
  <c r="N114" i="29"/>
  <c r="N116" i="29" s="1"/>
  <c r="U114" i="29"/>
  <c r="U116" i="29" s="1"/>
  <c r="L48" i="29"/>
  <c r="L50" i="29" s="1"/>
  <c r="L52" i="29" s="1"/>
  <c r="AB114" i="29"/>
  <c r="AB116" i="29" s="1"/>
  <c r="K48" i="29"/>
  <c r="K50" i="29" s="1"/>
  <c r="K52" i="29" s="1"/>
  <c r="AY114" i="29"/>
  <c r="AY116" i="29" s="1"/>
  <c r="AH48" i="29"/>
  <c r="AH50" i="29" s="1"/>
  <c r="AH52" i="29" s="1"/>
  <c r="H48" i="29"/>
  <c r="H50" i="29" s="1"/>
  <c r="H52" i="29" s="1"/>
  <c r="AE114" i="29"/>
  <c r="AE116" i="29" s="1"/>
  <c r="I48" i="29"/>
  <c r="I50" i="29" s="1"/>
  <c r="I52" i="29" s="1"/>
  <c r="S114" i="29"/>
  <c r="S116" i="29" s="1"/>
  <c r="AW114" i="29"/>
  <c r="AW116" i="29" s="1"/>
  <c r="AF48" i="29"/>
  <c r="AF50" i="29" s="1"/>
  <c r="AF52" i="29" s="1"/>
  <c r="M48" i="29"/>
  <c r="M50" i="29" s="1"/>
  <c r="M52" i="29" s="1"/>
  <c r="AM48" i="29"/>
  <c r="AM50" i="29" s="1"/>
  <c r="AM52" i="29" s="1"/>
  <c r="U48" i="29"/>
  <c r="U50" i="29" s="1"/>
  <c r="U52" i="29" s="1"/>
  <c r="AT48" i="29"/>
  <c r="AT50" i="29" s="1"/>
  <c r="AT52" i="29" s="1"/>
  <c r="BA48" i="29"/>
  <c r="BA50" i="29" s="1"/>
  <c r="BA52" i="29" s="1"/>
  <c r="M114" i="29"/>
  <c r="M116" i="29" s="1"/>
  <c r="AP114" i="29"/>
  <c r="AP116" i="29" s="1"/>
  <c r="T114" i="29"/>
  <c r="T116" i="29" s="1"/>
  <c r="AX114" i="29"/>
  <c r="AX116" i="29" s="1"/>
  <c r="AQ114" i="29"/>
  <c r="AQ116" i="29" s="1"/>
  <c r="Z48" i="29"/>
  <c r="Z50" i="29" s="1"/>
  <c r="Z52" i="29" s="1"/>
  <c r="AR48" i="29"/>
  <c r="AR50" i="29" s="1"/>
  <c r="AR52" i="29" s="1"/>
  <c r="AO114" i="29"/>
  <c r="AO116" i="29" s="1"/>
  <c r="X48" i="29"/>
  <c r="X50" i="29" s="1"/>
  <c r="X52" i="29" s="1"/>
  <c r="AV114" i="29"/>
  <c r="AV116" i="29" s="1"/>
  <c r="AE48" i="29"/>
  <c r="AE50" i="29" s="1"/>
  <c r="AE52" i="29" s="1"/>
  <c r="AU114" i="29"/>
  <c r="AU116" i="29" s="1"/>
  <c r="AL48" i="29"/>
  <c r="AL50" i="29" s="1"/>
  <c r="AL52" i="29" s="1"/>
  <c r="AC48" i="29"/>
  <c r="AC50" i="29" s="1"/>
  <c r="AC52" i="29" s="1"/>
  <c r="E114" i="29"/>
  <c r="E116" i="29" s="1"/>
  <c r="E117" i="29" s="1"/>
  <c r="R114" i="29"/>
  <c r="R116" i="29" s="1"/>
  <c r="L114" i="29"/>
  <c r="L116" i="29" s="1"/>
  <c r="AI114" i="29"/>
  <c r="AI116" i="29" s="1"/>
  <c r="R48" i="29"/>
  <c r="R50" i="29" s="1"/>
  <c r="R52" i="29" s="1"/>
  <c r="Y114" i="29"/>
  <c r="Y116" i="29" s="1"/>
  <c r="AQ48" i="29"/>
  <c r="AQ50" i="29" s="1"/>
  <c r="AQ52" i="29" s="1"/>
  <c r="AG114" i="29"/>
  <c r="AG116" i="29" s="1"/>
  <c r="P48" i="29"/>
  <c r="P50" i="29" s="1"/>
  <c r="P52" i="29" s="1"/>
  <c r="AN114" i="29"/>
  <c r="AN116" i="29" s="1"/>
  <c r="W48" i="29"/>
  <c r="W50" i="29" s="1"/>
  <c r="W52" i="29" s="1"/>
  <c r="AM114" i="29"/>
  <c r="AM116" i="29" s="1"/>
  <c r="AD48" i="29"/>
  <c r="AD50" i="29" s="1"/>
  <c r="AD52" i="29" s="1"/>
  <c r="E48" i="29"/>
  <c r="E50" i="29" s="1"/>
  <c r="E52" i="29" s="1"/>
  <c r="AZ48" i="29"/>
  <c r="AZ50" i="29" s="1"/>
  <c r="AZ52" i="29" s="1"/>
  <c r="AG48" i="29"/>
  <c r="AG50" i="29" s="1"/>
  <c r="AG52" i="29" s="1"/>
  <c r="AY48" i="29"/>
  <c r="AY50" i="29" s="1"/>
  <c r="AY52" i="29" s="1"/>
  <c r="Z114" i="29"/>
  <c r="Z116" i="29" s="1"/>
  <c r="AA114" i="29"/>
  <c r="AA116" i="29" s="1"/>
  <c r="J48" i="29"/>
  <c r="J50" i="29" s="1"/>
  <c r="J52" i="29" s="1"/>
  <c r="AF114" i="29"/>
  <c r="AF116" i="29" s="1"/>
  <c r="O48" i="29"/>
  <c r="O50" i="29" s="1"/>
  <c r="O52" i="29" s="1"/>
  <c r="BA114" i="29"/>
  <c r="BA116" i="29" s="1"/>
  <c r="J114" i="29"/>
  <c r="J116" i="29" s="1"/>
  <c r="Y48" i="29"/>
  <c r="Y50" i="29" s="1"/>
  <c r="Y52" i="29" s="1"/>
  <c r="F80" i="29"/>
  <c r="F82" i="29" s="1"/>
  <c r="F84" i="29" s="1"/>
  <c r="AL80" i="29"/>
  <c r="AL82" i="29" s="1"/>
  <c r="AL84" i="29" s="1"/>
  <c r="AF80" i="29"/>
  <c r="AF82" i="29" s="1"/>
  <c r="AF84" i="29" s="1"/>
  <c r="AG80" i="29"/>
  <c r="AG82" i="29" s="1"/>
  <c r="AG84" i="29" s="1"/>
  <c r="W80" i="29"/>
  <c r="W82" i="29" s="1"/>
  <c r="W84" i="29" s="1"/>
  <c r="E80" i="29"/>
  <c r="E82" i="29" s="1"/>
  <c r="E84" i="29" s="1"/>
  <c r="E85" i="29" s="1"/>
  <c r="AO80" i="29"/>
  <c r="AO82" i="29" s="1"/>
  <c r="AO84" i="29" s="1"/>
  <c r="J80" i="29"/>
  <c r="J82" i="29" s="1"/>
  <c r="J84" i="29" s="1"/>
  <c r="AP80" i="29"/>
  <c r="AP82" i="29" s="1"/>
  <c r="AP84" i="29" s="1"/>
  <c r="AN80" i="29"/>
  <c r="AN82" i="29" s="1"/>
  <c r="AN84" i="29" s="1"/>
  <c r="AK80" i="29"/>
  <c r="AK82" i="29" s="1"/>
  <c r="AK84" i="29" s="1"/>
  <c r="AA80" i="29"/>
  <c r="AA82" i="29" s="1"/>
  <c r="AA84" i="29" s="1"/>
  <c r="L80" i="29"/>
  <c r="L82" i="29" s="1"/>
  <c r="L84" i="29" s="1"/>
  <c r="AW80" i="29"/>
  <c r="AW82" i="29" s="1"/>
  <c r="AW84" i="29" s="1"/>
  <c r="N80" i="29"/>
  <c r="N82" i="29" s="1"/>
  <c r="N84" i="29" s="1"/>
  <c r="AT80" i="29"/>
  <c r="AT82" i="29" s="1"/>
  <c r="AT84" i="29" s="1"/>
  <c r="AV80" i="29"/>
  <c r="AV82" i="29" s="1"/>
  <c r="AV84" i="29" s="1"/>
  <c r="AS80" i="29"/>
  <c r="AS82" i="29" s="1"/>
  <c r="AS84" i="29" s="1"/>
  <c r="AE80" i="29"/>
  <c r="AE82" i="29" s="1"/>
  <c r="AE84" i="29" s="1"/>
  <c r="T80" i="29"/>
  <c r="T82" i="29" s="1"/>
  <c r="T84" i="29" s="1"/>
  <c r="X80" i="29"/>
  <c r="X82" i="29" s="1"/>
  <c r="X84" i="29" s="1"/>
  <c r="R80" i="29"/>
  <c r="R82" i="29" s="1"/>
  <c r="R84" i="29" s="1"/>
  <c r="AX80" i="29"/>
  <c r="AX82" i="29" s="1"/>
  <c r="AX84" i="29" s="1"/>
  <c r="I80" i="29"/>
  <c r="I82" i="29" s="1"/>
  <c r="I84" i="29" s="1"/>
  <c r="BA80" i="29"/>
  <c r="BA82" i="29" s="1"/>
  <c r="BA84" i="29" s="1"/>
  <c r="AI80" i="29"/>
  <c r="AI82" i="29" s="1"/>
  <c r="AI84" i="29" s="1"/>
  <c r="AB80" i="29"/>
  <c r="AB82" i="29" s="1"/>
  <c r="AB84" i="29" s="1"/>
  <c r="AH80" i="29"/>
  <c r="AH82" i="29" s="1"/>
  <c r="AH84" i="29" s="1"/>
  <c r="M80" i="29"/>
  <c r="M82" i="29" s="1"/>
  <c r="M84" i="29" s="1"/>
  <c r="V80" i="29"/>
  <c r="V82" i="29" s="1"/>
  <c r="V84" i="29" s="1"/>
  <c r="BB80" i="29"/>
  <c r="BB82" i="29" s="1"/>
  <c r="BB84" i="29" s="1"/>
  <c r="Q80" i="29"/>
  <c r="Q82" i="29" s="1"/>
  <c r="Q84" i="29" s="1"/>
  <c r="G80" i="29"/>
  <c r="G82" i="29" s="1"/>
  <c r="G84" i="29" s="1"/>
  <c r="AM80" i="29"/>
  <c r="AM82" i="29" s="1"/>
  <c r="AM84" i="29" s="1"/>
  <c r="AJ80" i="29"/>
  <c r="AJ82" i="29" s="1"/>
  <c r="AJ84" i="29" s="1"/>
  <c r="AC80" i="29"/>
  <c r="AC82" i="29" s="1"/>
  <c r="AC84" i="29" s="1"/>
  <c r="Z80" i="29"/>
  <c r="Z82" i="29" s="1"/>
  <c r="Z84" i="29" s="1"/>
  <c r="H80" i="29"/>
  <c r="H82" i="29" s="1"/>
  <c r="H84" i="29" s="1"/>
  <c r="U80" i="29"/>
  <c r="U82" i="29" s="1"/>
  <c r="U84" i="29" s="1"/>
  <c r="K80" i="29"/>
  <c r="K82" i="29" s="1"/>
  <c r="K84" i="29" s="1"/>
  <c r="AQ80" i="29"/>
  <c r="AQ82" i="29" s="1"/>
  <c r="AQ84" i="29" s="1"/>
  <c r="AR80" i="29"/>
  <c r="AR82" i="29" s="1"/>
  <c r="AR84" i="29" s="1"/>
  <c r="AY80" i="29"/>
  <c r="AY82" i="29" s="1"/>
  <c r="AY84" i="29" s="1"/>
  <c r="AD80" i="29"/>
  <c r="AD82" i="29" s="1"/>
  <c r="AD84" i="29" s="1"/>
  <c r="P80" i="29"/>
  <c r="P82" i="29" s="1"/>
  <c r="P84" i="29" s="1"/>
  <c r="Y80" i="29"/>
  <c r="Y82" i="29" s="1"/>
  <c r="Y84" i="29" s="1"/>
  <c r="O80" i="29"/>
  <c r="O82" i="29" s="1"/>
  <c r="O84" i="29" s="1"/>
  <c r="AU80" i="29"/>
  <c r="AU82" i="29" s="1"/>
  <c r="AU84" i="29" s="1"/>
  <c r="AZ80" i="29"/>
  <c r="AZ82" i="29" s="1"/>
  <c r="AZ84" i="29" s="1"/>
  <c r="S80" i="29"/>
  <c r="S82" i="29" s="1"/>
  <c r="S84" i="29" s="1"/>
  <c r="E4" i="7"/>
  <c r="E7" i="7" s="1"/>
  <c r="E2" i="40"/>
  <c r="E6" i="40"/>
  <c r="E2" i="27"/>
  <c r="E6" i="27"/>
  <c r="E6" i="17"/>
  <c r="E2" i="17"/>
  <c r="G9" i="12"/>
  <c r="B12" i="3"/>
  <c r="C4" i="7"/>
  <c r="AW170" i="29" l="1"/>
  <c r="AQ170" i="29"/>
  <c r="AB170" i="29"/>
  <c r="AD170" i="29"/>
  <c r="AY170" i="29"/>
  <c r="AA170" i="29"/>
  <c r="L170" i="29"/>
  <c r="AM170" i="29"/>
  <c r="D62" i="56"/>
  <c r="E61" i="56"/>
  <c r="F61" i="56" s="1"/>
  <c r="G61" i="56" s="1"/>
  <c r="H61" i="56" s="1"/>
  <c r="I61" i="56" s="1"/>
  <c r="J61" i="56" s="1"/>
  <c r="K61" i="56" s="1"/>
  <c r="L61" i="56" s="1"/>
  <c r="M61" i="56" s="1"/>
  <c r="N61" i="56" s="1"/>
  <c r="O61" i="56" s="1"/>
  <c r="P61" i="56" s="1"/>
  <c r="Q61" i="56" s="1"/>
  <c r="R61" i="56" s="1"/>
  <c r="S61" i="56" s="1"/>
  <c r="T61" i="56" s="1"/>
  <c r="U61" i="56" s="1"/>
  <c r="V61" i="56" s="1"/>
  <c r="W61" i="56" s="1"/>
  <c r="X61" i="56" s="1"/>
  <c r="Y61" i="56" s="1"/>
  <c r="Z61" i="56" s="1"/>
  <c r="AA61" i="56" s="1"/>
  <c r="AB61" i="56" s="1"/>
  <c r="AC61" i="56" s="1"/>
  <c r="AD61" i="56" s="1"/>
  <c r="AE61" i="56" s="1"/>
  <c r="AF61" i="56" s="1"/>
  <c r="AG61" i="56" s="1"/>
  <c r="AH61" i="56" s="1"/>
  <c r="AI61" i="56" s="1"/>
  <c r="AJ61" i="56" s="1"/>
  <c r="AK61" i="56" s="1"/>
  <c r="AL61" i="56" s="1"/>
  <c r="AM61" i="56" s="1"/>
  <c r="AN61" i="56" s="1"/>
  <c r="AO61" i="56" s="1"/>
  <c r="AP61" i="56" s="1"/>
  <c r="AQ61" i="56" s="1"/>
  <c r="AR61" i="56" s="1"/>
  <c r="AS61" i="56" s="1"/>
  <c r="AT61" i="56" s="1"/>
  <c r="AU61" i="56" s="1"/>
  <c r="AV61" i="56" s="1"/>
  <c r="AW61" i="56" s="1"/>
  <c r="AX61" i="56" s="1"/>
  <c r="AY61" i="56" s="1"/>
  <c r="AZ61" i="56" s="1"/>
  <c r="BA61" i="56" s="1"/>
  <c r="BB61" i="56" s="1"/>
  <c r="F61" i="57"/>
  <c r="G61" i="57" s="1"/>
  <c r="H61" i="57" s="1"/>
  <c r="I61" i="57" s="1"/>
  <c r="J61" i="57" s="1"/>
  <c r="K61" i="57" s="1"/>
  <c r="L61" i="57" s="1"/>
  <c r="M61" i="57" s="1"/>
  <c r="N61" i="57" s="1"/>
  <c r="O61" i="57" s="1"/>
  <c r="P61" i="57" s="1"/>
  <c r="Q61" i="57" s="1"/>
  <c r="R61" i="57" s="1"/>
  <c r="S61" i="57" s="1"/>
  <c r="T61" i="57" s="1"/>
  <c r="U61" i="57" s="1"/>
  <c r="V61" i="57" s="1"/>
  <c r="W61" i="57" s="1"/>
  <c r="X61" i="57" s="1"/>
  <c r="Y61" i="57" s="1"/>
  <c r="Z61" i="57" s="1"/>
  <c r="AA61" i="57" s="1"/>
  <c r="AB61" i="57" s="1"/>
  <c r="AC61" i="57" s="1"/>
  <c r="AD61" i="57" s="1"/>
  <c r="AE61" i="57" s="1"/>
  <c r="AF61" i="57" s="1"/>
  <c r="AG61" i="57" s="1"/>
  <c r="AH61" i="57" s="1"/>
  <c r="AI61" i="57" s="1"/>
  <c r="AJ61" i="57" s="1"/>
  <c r="AK61" i="57" s="1"/>
  <c r="AL61" i="57" s="1"/>
  <c r="AM61" i="57" s="1"/>
  <c r="AN61" i="57" s="1"/>
  <c r="AO61" i="57" s="1"/>
  <c r="AP61" i="57" s="1"/>
  <c r="AQ61" i="57" s="1"/>
  <c r="AR61" i="57" s="1"/>
  <c r="AS61" i="57" s="1"/>
  <c r="AT61" i="57" s="1"/>
  <c r="AU61" i="57" s="1"/>
  <c r="AV61" i="57" s="1"/>
  <c r="AW61" i="57" s="1"/>
  <c r="AX61" i="57" s="1"/>
  <c r="AY61" i="57" s="1"/>
  <c r="AZ61" i="57" s="1"/>
  <c r="BA61" i="57" s="1"/>
  <c r="BB61" i="57" s="1"/>
  <c r="D94" i="56"/>
  <c r="E93" i="56"/>
  <c r="F93" i="56" s="1"/>
  <c r="G93" i="56" s="1"/>
  <c r="H93" i="56" s="1"/>
  <c r="I93" i="56" s="1"/>
  <c r="J93" i="56" s="1"/>
  <c r="K93" i="56" s="1"/>
  <c r="L93" i="56" s="1"/>
  <c r="M93" i="56" s="1"/>
  <c r="N93" i="56" s="1"/>
  <c r="O93" i="56" s="1"/>
  <c r="P93" i="56" s="1"/>
  <c r="Q93" i="56" s="1"/>
  <c r="R93" i="56" s="1"/>
  <c r="S93" i="56" s="1"/>
  <c r="T93" i="56" s="1"/>
  <c r="U93" i="56" s="1"/>
  <c r="V93" i="56" s="1"/>
  <c r="W93" i="56" s="1"/>
  <c r="X93" i="56" s="1"/>
  <c r="Y93" i="56" s="1"/>
  <c r="Z93" i="56" s="1"/>
  <c r="AA93" i="56" s="1"/>
  <c r="AB93" i="56" s="1"/>
  <c r="AC93" i="56" s="1"/>
  <c r="AD93" i="56" s="1"/>
  <c r="AE93" i="56" s="1"/>
  <c r="AF93" i="56" s="1"/>
  <c r="AG93" i="56" s="1"/>
  <c r="AH93" i="56" s="1"/>
  <c r="AI93" i="56" s="1"/>
  <c r="AJ93" i="56" s="1"/>
  <c r="AK93" i="56" s="1"/>
  <c r="AL93" i="56" s="1"/>
  <c r="AM93" i="56" s="1"/>
  <c r="AN93" i="56" s="1"/>
  <c r="AO93" i="56" s="1"/>
  <c r="AP93" i="56" s="1"/>
  <c r="AQ93" i="56" s="1"/>
  <c r="AR93" i="56" s="1"/>
  <c r="AS93" i="56" s="1"/>
  <c r="AT93" i="56" s="1"/>
  <c r="AU93" i="56" s="1"/>
  <c r="AV93" i="56" s="1"/>
  <c r="AW93" i="56" s="1"/>
  <c r="AX93" i="56" s="1"/>
  <c r="AY93" i="56" s="1"/>
  <c r="AZ93" i="56" s="1"/>
  <c r="BA93" i="56" s="1"/>
  <c r="BB93" i="56" s="1"/>
  <c r="G54" i="40"/>
  <c r="D7" i="7"/>
  <c r="D62" i="57"/>
  <c r="G170" i="29"/>
  <c r="D94" i="57"/>
  <c r="E93" i="57"/>
  <c r="F93" i="57" s="1"/>
  <c r="G93" i="57" s="1"/>
  <c r="H93" i="57" s="1"/>
  <c r="I93" i="57" s="1"/>
  <c r="J93" i="57" s="1"/>
  <c r="K93" i="57" s="1"/>
  <c r="L93" i="57" s="1"/>
  <c r="M93" i="57" s="1"/>
  <c r="N93" i="57" s="1"/>
  <c r="O93" i="57" s="1"/>
  <c r="P93" i="57" s="1"/>
  <c r="Q93" i="57" s="1"/>
  <c r="R93" i="57" s="1"/>
  <c r="S93" i="57" s="1"/>
  <c r="T93" i="57" s="1"/>
  <c r="U93" i="57" s="1"/>
  <c r="V93" i="57" s="1"/>
  <c r="W93" i="57" s="1"/>
  <c r="X93" i="57" s="1"/>
  <c r="Y93" i="57" s="1"/>
  <c r="Z93" i="57" s="1"/>
  <c r="AA93" i="57" s="1"/>
  <c r="AB93" i="57" s="1"/>
  <c r="AC93" i="57" s="1"/>
  <c r="AD93" i="57" s="1"/>
  <c r="AE93" i="57" s="1"/>
  <c r="AF93" i="57" s="1"/>
  <c r="AG93" i="57" s="1"/>
  <c r="AH93" i="57" s="1"/>
  <c r="AI93" i="57" s="1"/>
  <c r="AJ93" i="57" s="1"/>
  <c r="AK93" i="57" s="1"/>
  <c r="AL93" i="57" s="1"/>
  <c r="AM93" i="57" s="1"/>
  <c r="AN93" i="57" s="1"/>
  <c r="AO93" i="57" s="1"/>
  <c r="AP93" i="57" s="1"/>
  <c r="AQ93" i="57" s="1"/>
  <c r="AR93" i="57" s="1"/>
  <c r="AS93" i="57" s="1"/>
  <c r="AT93" i="57" s="1"/>
  <c r="AU93" i="57" s="1"/>
  <c r="AV93" i="57" s="1"/>
  <c r="AW93" i="57" s="1"/>
  <c r="AX93" i="57" s="1"/>
  <c r="AY93" i="57" s="1"/>
  <c r="AZ93" i="57" s="1"/>
  <c r="BA93" i="57" s="1"/>
  <c r="BB93" i="57" s="1"/>
  <c r="AD169" i="57"/>
  <c r="AD171" i="57" s="1"/>
  <c r="H169" i="57"/>
  <c r="H171" i="57" s="1"/>
  <c r="AN169" i="57"/>
  <c r="AN171" i="57" s="1"/>
  <c r="Z169" i="57"/>
  <c r="Z171" i="57" s="1"/>
  <c r="AJ169" i="57"/>
  <c r="AJ171" i="57" s="1"/>
  <c r="W169" i="57"/>
  <c r="W171" i="57" s="1"/>
  <c r="I169" i="57"/>
  <c r="I171" i="57" s="1"/>
  <c r="AO169" i="57"/>
  <c r="AO171" i="57" s="1"/>
  <c r="R37" i="56"/>
  <c r="P192" i="29"/>
  <c r="P183" i="29"/>
  <c r="P185" i="29" s="1"/>
  <c r="AE192" i="29"/>
  <c r="AE183" i="29"/>
  <c r="AE185" i="29" s="1"/>
  <c r="BA192" i="29"/>
  <c r="BA183" i="29"/>
  <c r="BA185" i="29" s="1"/>
  <c r="AK192" i="29"/>
  <c r="AK183" i="29"/>
  <c r="AK185" i="29" s="1"/>
  <c r="AS170" i="29"/>
  <c r="AI170" i="29"/>
  <c r="AZ170" i="29"/>
  <c r="T170" i="29"/>
  <c r="O192" i="29"/>
  <c r="O183" i="29"/>
  <c r="O185" i="29" s="1"/>
  <c r="R192" i="29"/>
  <c r="R183" i="29"/>
  <c r="R185" i="29" s="1"/>
  <c r="M192" i="29"/>
  <c r="M183" i="29"/>
  <c r="M185" i="29" s="1"/>
  <c r="AP192" i="29"/>
  <c r="AP183" i="29"/>
  <c r="AP185" i="29" s="1"/>
  <c r="AY192" i="29"/>
  <c r="AY183" i="29"/>
  <c r="AY185" i="29" s="1"/>
  <c r="V192" i="29"/>
  <c r="V183" i="29"/>
  <c r="V185" i="29" s="1"/>
  <c r="F192" i="29"/>
  <c r="F183" i="29"/>
  <c r="F185" i="29" s="1"/>
  <c r="E53" i="29"/>
  <c r="F53" i="29" s="1"/>
  <c r="F141" i="57"/>
  <c r="F144" i="57" s="1"/>
  <c r="D94" i="29"/>
  <c r="E93" i="29"/>
  <c r="F93" i="29" s="1"/>
  <c r="G93" i="29" s="1"/>
  <c r="H93" i="29" s="1"/>
  <c r="I93" i="29" s="1"/>
  <c r="J93" i="29" s="1"/>
  <c r="K93" i="29" s="1"/>
  <c r="L93" i="29" s="1"/>
  <c r="M93" i="29" s="1"/>
  <c r="N93" i="29" s="1"/>
  <c r="O93" i="29" s="1"/>
  <c r="P93" i="29" s="1"/>
  <c r="Q93" i="29" s="1"/>
  <c r="R93" i="29" s="1"/>
  <c r="S93" i="29" s="1"/>
  <c r="T93" i="29" s="1"/>
  <c r="U93" i="29" s="1"/>
  <c r="V93" i="29" s="1"/>
  <c r="W93" i="29" s="1"/>
  <c r="X93" i="29" s="1"/>
  <c r="Y93" i="29" s="1"/>
  <c r="Z93" i="29" s="1"/>
  <c r="AA93" i="29" s="1"/>
  <c r="AB93" i="29" s="1"/>
  <c r="AC93" i="29" s="1"/>
  <c r="AD93" i="29" s="1"/>
  <c r="AE93" i="29" s="1"/>
  <c r="AF93" i="29" s="1"/>
  <c r="AG93" i="29" s="1"/>
  <c r="AH93" i="29" s="1"/>
  <c r="AI93" i="29" s="1"/>
  <c r="AJ93" i="29" s="1"/>
  <c r="AK93" i="29" s="1"/>
  <c r="AL93" i="29" s="1"/>
  <c r="AM93" i="29" s="1"/>
  <c r="AN93" i="29" s="1"/>
  <c r="AO93" i="29" s="1"/>
  <c r="AP93" i="29" s="1"/>
  <c r="AQ93" i="29" s="1"/>
  <c r="AR93" i="29" s="1"/>
  <c r="AS93" i="29" s="1"/>
  <c r="AT93" i="29" s="1"/>
  <c r="AU93" i="29" s="1"/>
  <c r="AV93" i="29" s="1"/>
  <c r="AW93" i="29" s="1"/>
  <c r="AX93" i="29" s="1"/>
  <c r="AY93" i="29" s="1"/>
  <c r="AZ93" i="29" s="1"/>
  <c r="BA93" i="29" s="1"/>
  <c r="BB93" i="29" s="1"/>
  <c r="D62" i="29"/>
  <c r="E61" i="29"/>
  <c r="F61" i="29" s="1"/>
  <c r="G61" i="29" s="1"/>
  <c r="H61" i="29" s="1"/>
  <c r="I61" i="29" s="1"/>
  <c r="J61" i="29" s="1"/>
  <c r="K61" i="29" s="1"/>
  <c r="L61" i="29" s="1"/>
  <c r="M61" i="29" s="1"/>
  <c r="N61" i="29" s="1"/>
  <c r="O61" i="29" s="1"/>
  <c r="P61" i="29" s="1"/>
  <c r="Q61" i="29" s="1"/>
  <c r="R61" i="29" s="1"/>
  <c r="S61" i="29" s="1"/>
  <c r="T61" i="29" s="1"/>
  <c r="U61" i="29" s="1"/>
  <c r="V61" i="29" s="1"/>
  <c r="W61" i="29" s="1"/>
  <c r="X61" i="29" s="1"/>
  <c r="Y61" i="29" s="1"/>
  <c r="Z61" i="29" s="1"/>
  <c r="AA61" i="29" s="1"/>
  <c r="AB61" i="29" s="1"/>
  <c r="AC61" i="29" s="1"/>
  <c r="AD61" i="29" s="1"/>
  <c r="AE61" i="29" s="1"/>
  <c r="AF61" i="29" s="1"/>
  <c r="AG61" i="29" s="1"/>
  <c r="AH61" i="29" s="1"/>
  <c r="AI61" i="29" s="1"/>
  <c r="AJ61" i="29" s="1"/>
  <c r="AK61" i="29" s="1"/>
  <c r="AL61" i="29" s="1"/>
  <c r="AM61" i="29" s="1"/>
  <c r="AN61" i="29" s="1"/>
  <c r="AO61" i="29" s="1"/>
  <c r="AP61" i="29" s="1"/>
  <c r="AQ61" i="29" s="1"/>
  <c r="AR61" i="29" s="1"/>
  <c r="AS61" i="29" s="1"/>
  <c r="AT61" i="29" s="1"/>
  <c r="AU61" i="29" s="1"/>
  <c r="AV61" i="29" s="1"/>
  <c r="AW61" i="29" s="1"/>
  <c r="AX61" i="29" s="1"/>
  <c r="AY61" i="29" s="1"/>
  <c r="AZ61" i="29" s="1"/>
  <c r="BA61" i="29" s="1"/>
  <c r="BB61" i="29" s="1"/>
  <c r="B69" i="40"/>
  <c r="F68" i="40"/>
  <c r="F69" i="40" s="1"/>
  <c r="F141" i="29"/>
  <c r="F148" i="29" s="1"/>
  <c r="F69" i="56"/>
  <c r="G69" i="56" s="1"/>
  <c r="H69" i="56" s="1"/>
  <c r="I69" i="56" s="1"/>
  <c r="J69" i="56" s="1"/>
  <c r="K69" i="56" s="1"/>
  <c r="L69" i="56" s="1"/>
  <c r="M69" i="56" s="1"/>
  <c r="N69" i="56" s="1"/>
  <c r="O69" i="56" s="1"/>
  <c r="P69" i="56" s="1"/>
  <c r="Q69" i="56" s="1"/>
  <c r="R69" i="56" s="1"/>
  <c r="S69" i="56" s="1"/>
  <c r="T69" i="56" s="1"/>
  <c r="U69" i="56" s="1"/>
  <c r="V69" i="56" s="1"/>
  <c r="W69" i="56" s="1"/>
  <c r="X69" i="56" s="1"/>
  <c r="Y69" i="56" s="1"/>
  <c r="Z69" i="56" s="1"/>
  <c r="AA69" i="56" s="1"/>
  <c r="AB69" i="56" s="1"/>
  <c r="AC69" i="56" s="1"/>
  <c r="AD69" i="56" s="1"/>
  <c r="AE69" i="56" s="1"/>
  <c r="AF69" i="56" s="1"/>
  <c r="AG69" i="56" s="1"/>
  <c r="AH69" i="56" s="1"/>
  <c r="AI69" i="56" s="1"/>
  <c r="AJ69" i="56" s="1"/>
  <c r="AK69" i="56" s="1"/>
  <c r="AL69" i="56" s="1"/>
  <c r="AM69" i="56" s="1"/>
  <c r="AN69" i="56" s="1"/>
  <c r="AO69" i="56" s="1"/>
  <c r="AP69" i="56" s="1"/>
  <c r="AQ69" i="56" s="1"/>
  <c r="AR69" i="56" s="1"/>
  <c r="AS69" i="56" s="1"/>
  <c r="AT69" i="56" s="1"/>
  <c r="AU69" i="56" s="1"/>
  <c r="AV69" i="56" s="1"/>
  <c r="AW69" i="56" s="1"/>
  <c r="AX69" i="56" s="1"/>
  <c r="AY69" i="56" s="1"/>
  <c r="AZ69" i="56" s="1"/>
  <c r="BA69" i="56" s="1"/>
  <c r="BB69" i="56" s="1"/>
  <c r="D142" i="29"/>
  <c r="I2" i="58" s="1"/>
  <c r="BB170" i="29"/>
  <c r="AC170" i="29"/>
  <c r="H170" i="29"/>
  <c r="S170" i="29"/>
  <c r="V170" i="29"/>
  <c r="AN170" i="29"/>
  <c r="Q170" i="29"/>
  <c r="Z170" i="29"/>
  <c r="AE170" i="29"/>
  <c r="BA170" i="29"/>
  <c r="U170" i="29"/>
  <c r="K170" i="29"/>
  <c r="J170" i="29"/>
  <c r="AO170" i="29"/>
  <c r="I170" i="29"/>
  <c r="F170" i="29"/>
  <c r="X170" i="29"/>
  <c r="AV170" i="29"/>
  <c r="AH170" i="29"/>
  <c r="AG170" i="29"/>
  <c r="AJ170" i="29"/>
  <c r="AU170" i="29"/>
  <c r="O170" i="29"/>
  <c r="N170" i="29"/>
  <c r="AF170" i="29"/>
  <c r="AT170" i="29"/>
  <c r="AX170" i="29"/>
  <c r="R170" i="29"/>
  <c r="E170" i="29"/>
  <c r="W170" i="29"/>
  <c r="AR170" i="29"/>
  <c r="S171" i="29"/>
  <c r="AI171" i="29"/>
  <c r="AY171" i="29"/>
  <c r="T171" i="29"/>
  <c r="AJ171" i="29"/>
  <c r="AZ171" i="29"/>
  <c r="U171" i="29"/>
  <c r="AK171" i="29"/>
  <c r="AK173" i="29" s="1"/>
  <c r="AK175" i="29" s="1"/>
  <c r="BA171" i="29"/>
  <c r="Y171" i="29"/>
  <c r="Y173" i="29" s="1"/>
  <c r="Y175" i="29" s="1"/>
  <c r="AP171" i="29"/>
  <c r="AV171" i="29"/>
  <c r="AG171" i="29"/>
  <c r="AH171" i="29"/>
  <c r="F171" i="29"/>
  <c r="V171" i="29"/>
  <c r="AL171" i="29"/>
  <c r="BB171" i="29"/>
  <c r="W171" i="29"/>
  <c r="AM171" i="29"/>
  <c r="E171" i="29"/>
  <c r="X171" i="29"/>
  <c r="AN171" i="29"/>
  <c r="AO171" i="29"/>
  <c r="Z171" i="29"/>
  <c r="Z173" i="29" s="1"/>
  <c r="Z175" i="29" s="1"/>
  <c r="AW171" i="29"/>
  <c r="AW173" i="29" s="1"/>
  <c r="AW175" i="29" s="1"/>
  <c r="AX171" i="29"/>
  <c r="G171" i="29"/>
  <c r="H171" i="29"/>
  <c r="I171" i="29"/>
  <c r="J171" i="29"/>
  <c r="K171" i="29"/>
  <c r="AA171" i="29"/>
  <c r="AA173" i="29" s="1"/>
  <c r="AA175" i="29" s="1"/>
  <c r="AQ171" i="29"/>
  <c r="AQ173" i="29" s="1"/>
  <c r="AQ175" i="29" s="1"/>
  <c r="L171" i="29"/>
  <c r="L173" i="29" s="1"/>
  <c r="L175" i="29" s="1"/>
  <c r="AB171" i="29"/>
  <c r="AB173" i="29" s="1"/>
  <c r="AB175" i="29" s="1"/>
  <c r="AR171" i="29"/>
  <c r="AC171" i="29"/>
  <c r="AS171" i="29"/>
  <c r="AD171" i="29"/>
  <c r="AT171" i="29"/>
  <c r="AE171" i="29"/>
  <c r="AE173" i="29" s="1"/>
  <c r="AE175" i="29" s="1"/>
  <c r="AU171" i="29"/>
  <c r="AF171" i="29"/>
  <c r="Q171" i="29"/>
  <c r="R171" i="29"/>
  <c r="M171" i="29"/>
  <c r="N171" i="29"/>
  <c r="O171" i="29"/>
  <c r="P171" i="29"/>
  <c r="P173" i="29" s="1"/>
  <c r="P175" i="29" s="1"/>
  <c r="AL170" i="29"/>
  <c r="M170" i="29"/>
  <c r="AP170" i="29"/>
  <c r="E155" i="29"/>
  <c r="E158" i="29" s="1"/>
  <c r="S37" i="29"/>
  <c r="I22" i="58"/>
  <c r="M3" i="58"/>
  <c r="I23" i="58"/>
  <c r="I24" i="58"/>
  <c r="I25" i="58"/>
  <c r="N3" i="58"/>
  <c r="I26" i="58"/>
  <c r="I27" i="58"/>
  <c r="I28" i="58"/>
  <c r="I31" i="58"/>
  <c r="I32" i="58"/>
  <c r="M4" i="58"/>
  <c r="I33" i="58"/>
  <c r="I29" i="58"/>
  <c r="I34" i="58"/>
  <c r="I35" i="58"/>
  <c r="N4" i="58"/>
  <c r="I30" i="58"/>
  <c r="D70" i="56"/>
  <c r="D70" i="57"/>
  <c r="E69" i="57"/>
  <c r="F69" i="57" s="1"/>
  <c r="G69" i="57" s="1"/>
  <c r="H69" i="57" s="1"/>
  <c r="I69" i="57" s="1"/>
  <c r="J69" i="57" s="1"/>
  <c r="K69" i="57" s="1"/>
  <c r="L69" i="57" s="1"/>
  <c r="M69" i="57" s="1"/>
  <c r="N69" i="57" s="1"/>
  <c r="O69" i="57" s="1"/>
  <c r="P69" i="57" s="1"/>
  <c r="Q69" i="57" s="1"/>
  <c r="R69" i="57" s="1"/>
  <c r="S69" i="57" s="1"/>
  <c r="T69" i="57" s="1"/>
  <c r="U69" i="57" s="1"/>
  <c r="V69" i="57" s="1"/>
  <c r="W69" i="57" s="1"/>
  <c r="X69" i="57" s="1"/>
  <c r="Y69" i="57" s="1"/>
  <c r="Z69" i="57" s="1"/>
  <c r="AA69" i="57" s="1"/>
  <c r="AB69" i="57" s="1"/>
  <c r="AC69" i="57" s="1"/>
  <c r="AD69" i="57" s="1"/>
  <c r="AE69" i="57" s="1"/>
  <c r="AF69" i="57" s="1"/>
  <c r="AG69" i="57" s="1"/>
  <c r="AH69" i="57" s="1"/>
  <c r="AI69" i="57" s="1"/>
  <c r="AJ69" i="57" s="1"/>
  <c r="AK69" i="57" s="1"/>
  <c r="AL69" i="57" s="1"/>
  <c r="AM69" i="57" s="1"/>
  <c r="AN69" i="57" s="1"/>
  <c r="AO69" i="57" s="1"/>
  <c r="AP69" i="57" s="1"/>
  <c r="AQ69" i="57" s="1"/>
  <c r="AR69" i="57" s="1"/>
  <c r="AS69" i="57" s="1"/>
  <c r="AT69" i="57" s="1"/>
  <c r="AU69" i="57" s="1"/>
  <c r="AV69" i="57" s="1"/>
  <c r="AW69" i="57" s="1"/>
  <c r="AX69" i="57" s="1"/>
  <c r="AY69" i="57" s="1"/>
  <c r="AZ69" i="57" s="1"/>
  <c r="BA69" i="57" s="1"/>
  <c r="BB69" i="57" s="1"/>
  <c r="D166" i="29"/>
  <c r="I13" i="58" s="1"/>
  <c r="E77" i="56"/>
  <c r="F77" i="56" s="1"/>
  <c r="G77" i="56" s="1"/>
  <c r="H77" i="56" s="1"/>
  <c r="I77" i="56" s="1"/>
  <c r="J77" i="56" s="1"/>
  <c r="K77" i="56" s="1"/>
  <c r="L77" i="56" s="1"/>
  <c r="M77" i="56" s="1"/>
  <c r="N77" i="56" s="1"/>
  <c r="O77" i="56" s="1"/>
  <c r="P77" i="56" s="1"/>
  <c r="Q77" i="56" s="1"/>
  <c r="R77" i="56" s="1"/>
  <c r="S77" i="56" s="1"/>
  <c r="T77" i="56" s="1"/>
  <c r="U77" i="56" s="1"/>
  <c r="V77" i="56" s="1"/>
  <c r="W77" i="56" s="1"/>
  <c r="X77" i="56" s="1"/>
  <c r="Y77" i="56" s="1"/>
  <c r="Z77" i="56" s="1"/>
  <c r="AA77" i="56" s="1"/>
  <c r="AB77" i="56" s="1"/>
  <c r="AC77" i="56" s="1"/>
  <c r="AD77" i="56" s="1"/>
  <c r="AE77" i="56" s="1"/>
  <c r="AF77" i="56" s="1"/>
  <c r="AG77" i="56" s="1"/>
  <c r="AH77" i="56" s="1"/>
  <c r="AI77" i="56" s="1"/>
  <c r="AJ77" i="56" s="1"/>
  <c r="AK77" i="56" s="1"/>
  <c r="AL77" i="56" s="1"/>
  <c r="AM77" i="56" s="1"/>
  <c r="AN77" i="56" s="1"/>
  <c r="AO77" i="56" s="1"/>
  <c r="AP77" i="56" s="1"/>
  <c r="AQ77" i="56" s="1"/>
  <c r="AR77" i="56" s="1"/>
  <c r="AS77" i="56" s="1"/>
  <c r="AT77" i="56" s="1"/>
  <c r="AU77" i="56" s="1"/>
  <c r="AV77" i="56" s="1"/>
  <c r="AW77" i="56" s="1"/>
  <c r="AX77" i="56" s="1"/>
  <c r="AY77" i="56" s="1"/>
  <c r="AZ77" i="56" s="1"/>
  <c r="BA77" i="56" s="1"/>
  <c r="BB77" i="56" s="1"/>
  <c r="D78" i="56"/>
  <c r="E165" i="29"/>
  <c r="E168" i="29" s="1"/>
  <c r="F101" i="57"/>
  <c r="G101" i="57" s="1"/>
  <c r="H101" i="57" s="1"/>
  <c r="I101" i="57" s="1"/>
  <c r="J101" i="57" s="1"/>
  <c r="K101" i="57" s="1"/>
  <c r="L101" i="57" s="1"/>
  <c r="M101" i="57" s="1"/>
  <c r="N101" i="57" s="1"/>
  <c r="O101" i="57" s="1"/>
  <c r="P101" i="57" s="1"/>
  <c r="Q101" i="57" s="1"/>
  <c r="R101" i="57" s="1"/>
  <c r="S101" i="57" s="1"/>
  <c r="T101" i="57" s="1"/>
  <c r="U101" i="57" s="1"/>
  <c r="V101" i="57" s="1"/>
  <c r="W101" i="57" s="1"/>
  <c r="X101" i="57" s="1"/>
  <c r="Y101" i="57" s="1"/>
  <c r="Z101" i="57" s="1"/>
  <c r="AA101" i="57" s="1"/>
  <c r="AB101" i="57" s="1"/>
  <c r="AC101" i="57" s="1"/>
  <c r="AD101" i="57" s="1"/>
  <c r="AE101" i="57" s="1"/>
  <c r="AF101" i="57" s="1"/>
  <c r="AG101" i="57" s="1"/>
  <c r="AH101" i="57" s="1"/>
  <c r="AI101" i="57" s="1"/>
  <c r="AJ101" i="57" s="1"/>
  <c r="AK101" i="57" s="1"/>
  <c r="AL101" i="57" s="1"/>
  <c r="AM101" i="57" s="1"/>
  <c r="AN101" i="57" s="1"/>
  <c r="AO101" i="57" s="1"/>
  <c r="AP101" i="57" s="1"/>
  <c r="AQ101" i="57" s="1"/>
  <c r="AR101" i="57" s="1"/>
  <c r="AS101" i="57" s="1"/>
  <c r="AT101" i="57" s="1"/>
  <c r="AU101" i="57" s="1"/>
  <c r="AV101" i="57" s="1"/>
  <c r="AW101" i="57" s="1"/>
  <c r="AX101" i="57" s="1"/>
  <c r="AY101" i="57" s="1"/>
  <c r="AZ101" i="57" s="1"/>
  <c r="BA101" i="57" s="1"/>
  <c r="BB101" i="57" s="1"/>
  <c r="E77" i="57"/>
  <c r="F77" i="57" s="1"/>
  <c r="G77" i="57" s="1"/>
  <c r="H77" i="57" s="1"/>
  <c r="I77" i="57" s="1"/>
  <c r="J77" i="57" s="1"/>
  <c r="K77" i="57" s="1"/>
  <c r="L77" i="57" s="1"/>
  <c r="M77" i="57" s="1"/>
  <c r="N77" i="57" s="1"/>
  <c r="O77" i="57" s="1"/>
  <c r="P77" i="57" s="1"/>
  <c r="Q77" i="57" s="1"/>
  <c r="R77" i="57" s="1"/>
  <c r="S77" i="57" s="1"/>
  <c r="T77" i="57" s="1"/>
  <c r="U77" i="57" s="1"/>
  <c r="V77" i="57" s="1"/>
  <c r="W77" i="57" s="1"/>
  <c r="X77" i="57" s="1"/>
  <c r="Y77" i="57" s="1"/>
  <c r="Z77" i="57" s="1"/>
  <c r="AA77" i="57" s="1"/>
  <c r="AB77" i="57" s="1"/>
  <c r="AC77" i="57" s="1"/>
  <c r="AD77" i="57" s="1"/>
  <c r="AE77" i="57" s="1"/>
  <c r="AF77" i="57" s="1"/>
  <c r="AG77" i="57" s="1"/>
  <c r="AH77" i="57" s="1"/>
  <c r="AI77" i="57" s="1"/>
  <c r="AJ77" i="57" s="1"/>
  <c r="AK77" i="57" s="1"/>
  <c r="AL77" i="57" s="1"/>
  <c r="AM77" i="57" s="1"/>
  <c r="AN77" i="57" s="1"/>
  <c r="AO77" i="57" s="1"/>
  <c r="AP77" i="57" s="1"/>
  <c r="AQ77" i="57" s="1"/>
  <c r="AR77" i="57" s="1"/>
  <c r="AS77" i="57" s="1"/>
  <c r="AT77" i="57" s="1"/>
  <c r="AU77" i="57" s="1"/>
  <c r="AV77" i="57" s="1"/>
  <c r="AW77" i="57" s="1"/>
  <c r="AX77" i="57" s="1"/>
  <c r="AY77" i="57" s="1"/>
  <c r="AZ77" i="57" s="1"/>
  <c r="BA77" i="57" s="1"/>
  <c r="BB77" i="57" s="1"/>
  <c r="D78" i="57"/>
  <c r="E53" i="56"/>
  <c r="D54" i="56"/>
  <c r="D54" i="57"/>
  <c r="E53" i="57"/>
  <c r="F53" i="57" s="1"/>
  <c r="G53" i="57" s="1"/>
  <c r="H53" i="57" s="1"/>
  <c r="I53" i="57" s="1"/>
  <c r="J53" i="57" s="1"/>
  <c r="K53" i="57" s="1"/>
  <c r="L53" i="57" s="1"/>
  <c r="M53" i="57" s="1"/>
  <c r="N53" i="57" s="1"/>
  <c r="O53" i="57" s="1"/>
  <c r="P53" i="57" s="1"/>
  <c r="Q53" i="57" s="1"/>
  <c r="R53" i="57" s="1"/>
  <c r="S53" i="57" s="1"/>
  <c r="T53" i="57" s="1"/>
  <c r="U53" i="57" s="1"/>
  <c r="V53" i="57" s="1"/>
  <c r="W53" i="57" s="1"/>
  <c r="X53" i="57" s="1"/>
  <c r="Y53" i="57" s="1"/>
  <c r="Z53" i="57" s="1"/>
  <c r="AA53" i="57" s="1"/>
  <c r="AB53" i="57" s="1"/>
  <c r="AC53" i="57" s="1"/>
  <c r="AD53" i="57" s="1"/>
  <c r="AE53" i="57" s="1"/>
  <c r="AF53" i="57" s="1"/>
  <c r="AG53" i="57" s="1"/>
  <c r="AH53" i="57" s="1"/>
  <c r="AI53" i="57" s="1"/>
  <c r="AJ53" i="57" s="1"/>
  <c r="AK53" i="57" s="1"/>
  <c r="AL53" i="57" s="1"/>
  <c r="AM53" i="57" s="1"/>
  <c r="AN53" i="57" s="1"/>
  <c r="AO53" i="57" s="1"/>
  <c r="AP53" i="57" s="1"/>
  <c r="AQ53" i="57" s="1"/>
  <c r="AR53" i="57" s="1"/>
  <c r="AS53" i="57" s="1"/>
  <c r="AT53" i="57" s="1"/>
  <c r="AU53" i="57" s="1"/>
  <c r="AV53" i="57" s="1"/>
  <c r="AW53" i="57" s="1"/>
  <c r="AX53" i="57" s="1"/>
  <c r="AY53" i="57" s="1"/>
  <c r="AZ53" i="57" s="1"/>
  <c r="BA53" i="57" s="1"/>
  <c r="BB53" i="57" s="1"/>
  <c r="D156" i="29"/>
  <c r="D102" i="56"/>
  <c r="E101" i="56"/>
  <c r="F101" i="56" s="1"/>
  <c r="G101" i="56" s="1"/>
  <c r="H101" i="56" s="1"/>
  <c r="I101" i="56" s="1"/>
  <c r="J101" i="56" s="1"/>
  <c r="K101" i="56" s="1"/>
  <c r="L101" i="56" s="1"/>
  <c r="M101" i="56" s="1"/>
  <c r="N101" i="56" s="1"/>
  <c r="O101" i="56" s="1"/>
  <c r="P101" i="56" s="1"/>
  <c r="Q101" i="56" s="1"/>
  <c r="R101" i="56" s="1"/>
  <c r="S101" i="56" s="1"/>
  <c r="T101" i="56" s="1"/>
  <c r="U101" i="56" s="1"/>
  <c r="V101" i="56" s="1"/>
  <c r="W101" i="56" s="1"/>
  <c r="X101" i="56" s="1"/>
  <c r="Y101" i="56" s="1"/>
  <c r="Z101" i="56" s="1"/>
  <c r="AA101" i="56" s="1"/>
  <c r="AB101" i="56" s="1"/>
  <c r="AC101" i="56" s="1"/>
  <c r="AD101" i="56" s="1"/>
  <c r="AE101" i="56" s="1"/>
  <c r="AF101" i="56" s="1"/>
  <c r="AG101" i="56" s="1"/>
  <c r="AH101" i="56" s="1"/>
  <c r="AI101" i="56" s="1"/>
  <c r="AJ101" i="56" s="1"/>
  <c r="AK101" i="56" s="1"/>
  <c r="AL101" i="56" s="1"/>
  <c r="AM101" i="56" s="1"/>
  <c r="AN101" i="56" s="1"/>
  <c r="AO101" i="56" s="1"/>
  <c r="AP101" i="56" s="1"/>
  <c r="AQ101" i="56" s="1"/>
  <c r="AR101" i="56" s="1"/>
  <c r="AS101" i="56" s="1"/>
  <c r="AT101" i="56" s="1"/>
  <c r="AU101" i="56" s="1"/>
  <c r="AV101" i="56" s="1"/>
  <c r="AW101" i="56" s="1"/>
  <c r="AX101" i="56" s="1"/>
  <c r="AY101" i="56" s="1"/>
  <c r="AZ101" i="56" s="1"/>
  <c r="BA101" i="56" s="1"/>
  <c r="BB101" i="56" s="1"/>
  <c r="D144" i="56"/>
  <c r="E143" i="56"/>
  <c r="E146" i="56" s="1"/>
  <c r="D152" i="57"/>
  <c r="E151" i="57"/>
  <c r="E154" i="57" s="1"/>
  <c r="D162" i="57"/>
  <c r="E161" i="57"/>
  <c r="E164" i="57" s="1"/>
  <c r="E109" i="57"/>
  <c r="F109" i="57" s="1"/>
  <c r="G109" i="57" s="1"/>
  <c r="H109" i="57" s="1"/>
  <c r="I109" i="57" s="1"/>
  <c r="J109" i="57" s="1"/>
  <c r="K109" i="57" s="1"/>
  <c r="L109" i="57" s="1"/>
  <c r="M109" i="57" s="1"/>
  <c r="N109" i="57" s="1"/>
  <c r="O109" i="57" s="1"/>
  <c r="P109" i="57" s="1"/>
  <c r="Q109" i="57" s="1"/>
  <c r="R109" i="57" s="1"/>
  <c r="S109" i="57" s="1"/>
  <c r="T109" i="57" s="1"/>
  <c r="U109" i="57" s="1"/>
  <c r="V109" i="57" s="1"/>
  <c r="W109" i="57" s="1"/>
  <c r="X109" i="57" s="1"/>
  <c r="Y109" i="57" s="1"/>
  <c r="Z109" i="57" s="1"/>
  <c r="AA109" i="57" s="1"/>
  <c r="AB109" i="57" s="1"/>
  <c r="AC109" i="57" s="1"/>
  <c r="AD109" i="57" s="1"/>
  <c r="AE109" i="57" s="1"/>
  <c r="AF109" i="57" s="1"/>
  <c r="AG109" i="57" s="1"/>
  <c r="AH109" i="57" s="1"/>
  <c r="AI109" i="57" s="1"/>
  <c r="AJ109" i="57" s="1"/>
  <c r="AK109" i="57" s="1"/>
  <c r="AL109" i="57" s="1"/>
  <c r="AM109" i="57" s="1"/>
  <c r="AN109" i="57" s="1"/>
  <c r="AO109" i="57" s="1"/>
  <c r="AP109" i="57" s="1"/>
  <c r="AQ109" i="57" s="1"/>
  <c r="AR109" i="57" s="1"/>
  <c r="AS109" i="57" s="1"/>
  <c r="AT109" i="57" s="1"/>
  <c r="AU109" i="57" s="1"/>
  <c r="AV109" i="57" s="1"/>
  <c r="AW109" i="57" s="1"/>
  <c r="AX109" i="57" s="1"/>
  <c r="AY109" i="57" s="1"/>
  <c r="AZ109" i="57" s="1"/>
  <c r="BA109" i="57" s="1"/>
  <c r="BB109" i="57" s="1"/>
  <c r="D110" i="57"/>
  <c r="E85" i="56"/>
  <c r="F85" i="56" s="1"/>
  <c r="G85" i="56" s="1"/>
  <c r="H85" i="56" s="1"/>
  <c r="I85" i="56" s="1"/>
  <c r="J85" i="56" s="1"/>
  <c r="K85" i="56" s="1"/>
  <c r="L85" i="56" s="1"/>
  <c r="M85" i="56" s="1"/>
  <c r="N85" i="56" s="1"/>
  <c r="O85" i="56" s="1"/>
  <c r="P85" i="56" s="1"/>
  <c r="Q85" i="56" s="1"/>
  <c r="R85" i="56" s="1"/>
  <c r="S85" i="56" s="1"/>
  <c r="T85" i="56" s="1"/>
  <c r="U85" i="56" s="1"/>
  <c r="V85" i="56" s="1"/>
  <c r="W85" i="56" s="1"/>
  <c r="X85" i="56" s="1"/>
  <c r="Y85" i="56" s="1"/>
  <c r="Z85" i="56" s="1"/>
  <c r="AA85" i="56" s="1"/>
  <c r="AB85" i="56" s="1"/>
  <c r="AC85" i="56" s="1"/>
  <c r="AD85" i="56" s="1"/>
  <c r="AE85" i="56" s="1"/>
  <c r="AF85" i="56" s="1"/>
  <c r="AG85" i="56" s="1"/>
  <c r="AH85" i="56" s="1"/>
  <c r="AI85" i="56" s="1"/>
  <c r="AJ85" i="56" s="1"/>
  <c r="AK85" i="56" s="1"/>
  <c r="AL85" i="56" s="1"/>
  <c r="AM85" i="56" s="1"/>
  <c r="AN85" i="56" s="1"/>
  <c r="AO85" i="56" s="1"/>
  <c r="AP85" i="56" s="1"/>
  <c r="AQ85" i="56" s="1"/>
  <c r="AR85" i="56" s="1"/>
  <c r="AS85" i="56" s="1"/>
  <c r="AT85" i="56" s="1"/>
  <c r="AU85" i="56" s="1"/>
  <c r="AV85" i="56" s="1"/>
  <c r="AW85" i="56" s="1"/>
  <c r="AX85" i="56" s="1"/>
  <c r="AY85" i="56" s="1"/>
  <c r="AZ85" i="56" s="1"/>
  <c r="BA85" i="56" s="1"/>
  <c r="BB85" i="56" s="1"/>
  <c r="D86" i="56"/>
  <c r="E85" i="57"/>
  <c r="F85" i="57" s="1"/>
  <c r="G85" i="57" s="1"/>
  <c r="H85" i="57" s="1"/>
  <c r="I85" i="57" s="1"/>
  <c r="J85" i="57" s="1"/>
  <c r="K85" i="57" s="1"/>
  <c r="L85" i="57" s="1"/>
  <c r="M85" i="57" s="1"/>
  <c r="N85" i="57" s="1"/>
  <c r="O85" i="57" s="1"/>
  <c r="P85" i="57" s="1"/>
  <c r="Q85" i="57" s="1"/>
  <c r="R85" i="57" s="1"/>
  <c r="S85" i="57" s="1"/>
  <c r="T85" i="57" s="1"/>
  <c r="U85" i="57" s="1"/>
  <c r="V85" i="57" s="1"/>
  <c r="W85" i="57" s="1"/>
  <c r="X85" i="57" s="1"/>
  <c r="Y85" i="57" s="1"/>
  <c r="Z85" i="57" s="1"/>
  <c r="AA85" i="57" s="1"/>
  <c r="AB85" i="57" s="1"/>
  <c r="AC85" i="57" s="1"/>
  <c r="AD85" i="57" s="1"/>
  <c r="AE85" i="57" s="1"/>
  <c r="AF85" i="57" s="1"/>
  <c r="AG85" i="57" s="1"/>
  <c r="AH85" i="57" s="1"/>
  <c r="AI85" i="57" s="1"/>
  <c r="AJ85" i="57" s="1"/>
  <c r="AK85" i="57" s="1"/>
  <c r="AL85" i="57" s="1"/>
  <c r="AM85" i="57" s="1"/>
  <c r="AN85" i="57" s="1"/>
  <c r="AO85" i="57" s="1"/>
  <c r="AP85" i="57" s="1"/>
  <c r="AQ85" i="57" s="1"/>
  <c r="AR85" i="57" s="1"/>
  <c r="AS85" i="57" s="1"/>
  <c r="AT85" i="57" s="1"/>
  <c r="AU85" i="57" s="1"/>
  <c r="AV85" i="57" s="1"/>
  <c r="AW85" i="57" s="1"/>
  <c r="AX85" i="57" s="1"/>
  <c r="AY85" i="57" s="1"/>
  <c r="AZ85" i="57" s="1"/>
  <c r="BA85" i="57" s="1"/>
  <c r="BB85" i="57" s="1"/>
  <c r="D86" i="57"/>
  <c r="D154" i="56"/>
  <c r="E153" i="56"/>
  <c r="E156" i="56" s="1"/>
  <c r="D102" i="57"/>
  <c r="F133" i="56"/>
  <c r="F69" i="29"/>
  <c r="G69" i="29" s="1"/>
  <c r="H69" i="29" s="1"/>
  <c r="I69" i="29" s="1"/>
  <c r="J69" i="29" s="1"/>
  <c r="K69" i="29" s="1"/>
  <c r="L69" i="29" s="1"/>
  <c r="M69" i="29" s="1"/>
  <c r="N69" i="29" s="1"/>
  <c r="O69" i="29" s="1"/>
  <c r="P69" i="29" s="1"/>
  <c r="Q69" i="29" s="1"/>
  <c r="R69" i="29" s="1"/>
  <c r="S69" i="29" s="1"/>
  <c r="T69" i="29" s="1"/>
  <c r="U69" i="29" s="1"/>
  <c r="V69" i="29" s="1"/>
  <c r="W69" i="29" s="1"/>
  <c r="X69" i="29" s="1"/>
  <c r="Y69" i="29" s="1"/>
  <c r="Z69" i="29" s="1"/>
  <c r="AA69" i="29" s="1"/>
  <c r="AB69" i="29" s="1"/>
  <c r="AC69" i="29" s="1"/>
  <c r="AD69" i="29" s="1"/>
  <c r="AE69" i="29" s="1"/>
  <c r="AF69" i="29" s="1"/>
  <c r="AG69" i="29" s="1"/>
  <c r="AH69" i="29" s="1"/>
  <c r="AI69" i="29" s="1"/>
  <c r="AJ69" i="29" s="1"/>
  <c r="AK69" i="29" s="1"/>
  <c r="AL69" i="29" s="1"/>
  <c r="AM69" i="29" s="1"/>
  <c r="AN69" i="29" s="1"/>
  <c r="AO69" i="29" s="1"/>
  <c r="AP69" i="29" s="1"/>
  <c r="AQ69" i="29" s="1"/>
  <c r="AR69" i="29" s="1"/>
  <c r="AS69" i="29" s="1"/>
  <c r="AT69" i="29" s="1"/>
  <c r="AU69" i="29" s="1"/>
  <c r="AV69" i="29" s="1"/>
  <c r="AW69" i="29" s="1"/>
  <c r="AX69" i="29" s="1"/>
  <c r="AY69" i="29" s="1"/>
  <c r="AZ69" i="29" s="1"/>
  <c r="BA69" i="29" s="1"/>
  <c r="BB69" i="29" s="1"/>
  <c r="D78" i="29"/>
  <c r="E77" i="29"/>
  <c r="F77" i="29" s="1"/>
  <c r="G77" i="29" s="1"/>
  <c r="H77" i="29" s="1"/>
  <c r="I77" i="29" s="1"/>
  <c r="J77" i="29" s="1"/>
  <c r="K77" i="29" s="1"/>
  <c r="L77" i="29" s="1"/>
  <c r="M77" i="29" s="1"/>
  <c r="N77" i="29" s="1"/>
  <c r="O77" i="29" s="1"/>
  <c r="P77" i="29" s="1"/>
  <c r="Q77" i="29" s="1"/>
  <c r="R77" i="29" s="1"/>
  <c r="S77" i="29" s="1"/>
  <c r="T77" i="29" s="1"/>
  <c r="U77" i="29" s="1"/>
  <c r="V77" i="29" s="1"/>
  <c r="W77" i="29" s="1"/>
  <c r="X77" i="29" s="1"/>
  <c r="Y77" i="29" s="1"/>
  <c r="Z77" i="29" s="1"/>
  <c r="AA77" i="29" s="1"/>
  <c r="AB77" i="29" s="1"/>
  <c r="AC77" i="29" s="1"/>
  <c r="AD77" i="29" s="1"/>
  <c r="AE77" i="29" s="1"/>
  <c r="AF77" i="29" s="1"/>
  <c r="AG77" i="29" s="1"/>
  <c r="AH77" i="29" s="1"/>
  <c r="AI77" i="29" s="1"/>
  <c r="AJ77" i="29" s="1"/>
  <c r="AK77" i="29" s="1"/>
  <c r="AL77" i="29" s="1"/>
  <c r="AM77" i="29" s="1"/>
  <c r="AN77" i="29" s="1"/>
  <c r="AO77" i="29" s="1"/>
  <c r="AP77" i="29" s="1"/>
  <c r="AQ77" i="29" s="1"/>
  <c r="AR77" i="29" s="1"/>
  <c r="AS77" i="29" s="1"/>
  <c r="AT77" i="29" s="1"/>
  <c r="AU77" i="29" s="1"/>
  <c r="AV77" i="29" s="1"/>
  <c r="AW77" i="29" s="1"/>
  <c r="AX77" i="29" s="1"/>
  <c r="AY77" i="29" s="1"/>
  <c r="AZ77" i="29" s="1"/>
  <c r="BA77" i="29" s="1"/>
  <c r="BB77" i="29" s="1"/>
  <c r="D70" i="29"/>
  <c r="D102" i="29"/>
  <c r="E101" i="29"/>
  <c r="F101" i="29" s="1"/>
  <c r="G101" i="29" s="1"/>
  <c r="H101" i="29" s="1"/>
  <c r="I101" i="29" s="1"/>
  <c r="J101" i="29" s="1"/>
  <c r="K101" i="29" s="1"/>
  <c r="L101" i="29" s="1"/>
  <c r="M101" i="29" s="1"/>
  <c r="N101" i="29" s="1"/>
  <c r="O101" i="29" s="1"/>
  <c r="P101" i="29" s="1"/>
  <c r="Q101" i="29" s="1"/>
  <c r="R101" i="29" s="1"/>
  <c r="S101" i="29" s="1"/>
  <c r="T101" i="29" s="1"/>
  <c r="U101" i="29" s="1"/>
  <c r="V101" i="29" s="1"/>
  <c r="W101" i="29" s="1"/>
  <c r="X101" i="29" s="1"/>
  <c r="Y101" i="29" s="1"/>
  <c r="Z101" i="29" s="1"/>
  <c r="AA101" i="29" s="1"/>
  <c r="AB101" i="29" s="1"/>
  <c r="AC101" i="29" s="1"/>
  <c r="AD101" i="29" s="1"/>
  <c r="AE101" i="29" s="1"/>
  <c r="AF101" i="29" s="1"/>
  <c r="AG101" i="29" s="1"/>
  <c r="AH101" i="29" s="1"/>
  <c r="AI101" i="29" s="1"/>
  <c r="AJ101" i="29" s="1"/>
  <c r="AK101" i="29" s="1"/>
  <c r="AL101" i="29" s="1"/>
  <c r="AM101" i="29" s="1"/>
  <c r="AN101" i="29" s="1"/>
  <c r="AO101" i="29" s="1"/>
  <c r="AP101" i="29" s="1"/>
  <c r="AQ101" i="29" s="1"/>
  <c r="AR101" i="29" s="1"/>
  <c r="AS101" i="29" s="1"/>
  <c r="AT101" i="29" s="1"/>
  <c r="AU101" i="29" s="1"/>
  <c r="AV101" i="29" s="1"/>
  <c r="AW101" i="29" s="1"/>
  <c r="AX101" i="29" s="1"/>
  <c r="AY101" i="29" s="1"/>
  <c r="AZ101" i="29" s="1"/>
  <c r="BA101" i="29" s="1"/>
  <c r="BB101" i="29" s="1"/>
  <c r="D110" i="29"/>
  <c r="E109" i="29"/>
  <c r="F109" i="29" s="1"/>
  <c r="G109" i="29" s="1"/>
  <c r="H109" i="29" s="1"/>
  <c r="I109" i="29" s="1"/>
  <c r="J109" i="29" s="1"/>
  <c r="K109" i="29" s="1"/>
  <c r="L109" i="29" s="1"/>
  <c r="M109" i="29" s="1"/>
  <c r="N109" i="29" s="1"/>
  <c r="O109" i="29" s="1"/>
  <c r="P109" i="29" s="1"/>
  <c r="Q109" i="29" s="1"/>
  <c r="R109" i="29" s="1"/>
  <c r="S109" i="29" s="1"/>
  <c r="T109" i="29" s="1"/>
  <c r="U109" i="29" s="1"/>
  <c r="V109" i="29" s="1"/>
  <c r="W109" i="29" s="1"/>
  <c r="X109" i="29" s="1"/>
  <c r="Y109" i="29" s="1"/>
  <c r="Z109" i="29" s="1"/>
  <c r="AA109" i="29" s="1"/>
  <c r="AB109" i="29" s="1"/>
  <c r="AC109" i="29" s="1"/>
  <c r="AD109" i="29" s="1"/>
  <c r="AE109" i="29" s="1"/>
  <c r="AF109" i="29" s="1"/>
  <c r="AG109" i="29" s="1"/>
  <c r="AH109" i="29" s="1"/>
  <c r="AI109" i="29" s="1"/>
  <c r="AJ109" i="29" s="1"/>
  <c r="AK109" i="29" s="1"/>
  <c r="AL109" i="29" s="1"/>
  <c r="AM109" i="29" s="1"/>
  <c r="AN109" i="29" s="1"/>
  <c r="AO109" i="29" s="1"/>
  <c r="AP109" i="29" s="1"/>
  <c r="AQ109" i="29" s="1"/>
  <c r="AR109" i="29" s="1"/>
  <c r="AS109" i="29" s="1"/>
  <c r="AT109" i="29" s="1"/>
  <c r="AU109" i="29" s="1"/>
  <c r="AV109" i="29" s="1"/>
  <c r="AW109" i="29" s="1"/>
  <c r="AX109" i="29" s="1"/>
  <c r="AY109" i="29" s="1"/>
  <c r="AZ109" i="29" s="1"/>
  <c r="BA109" i="29" s="1"/>
  <c r="BB109" i="29" s="1"/>
  <c r="F85" i="29"/>
  <c r="G85" i="29" s="1"/>
  <c r="H85" i="29" s="1"/>
  <c r="I85" i="29" s="1"/>
  <c r="J85" i="29" s="1"/>
  <c r="K85" i="29" s="1"/>
  <c r="L85" i="29" s="1"/>
  <c r="M85" i="29" s="1"/>
  <c r="N85" i="29" s="1"/>
  <c r="O85" i="29" s="1"/>
  <c r="P85" i="29" s="1"/>
  <c r="Q85" i="29" s="1"/>
  <c r="R85" i="29" s="1"/>
  <c r="S85" i="29" s="1"/>
  <c r="T85" i="29" s="1"/>
  <c r="U85" i="29" s="1"/>
  <c r="V85" i="29" s="1"/>
  <c r="W85" i="29" s="1"/>
  <c r="X85" i="29" s="1"/>
  <c r="Y85" i="29" s="1"/>
  <c r="Z85" i="29" s="1"/>
  <c r="AA85" i="29" s="1"/>
  <c r="AB85" i="29" s="1"/>
  <c r="AC85" i="29" s="1"/>
  <c r="AD85" i="29" s="1"/>
  <c r="AE85" i="29" s="1"/>
  <c r="AF85" i="29" s="1"/>
  <c r="AG85" i="29" s="1"/>
  <c r="AH85" i="29" s="1"/>
  <c r="AI85" i="29" s="1"/>
  <c r="AJ85" i="29" s="1"/>
  <c r="AK85" i="29" s="1"/>
  <c r="AL85" i="29" s="1"/>
  <c r="AM85" i="29" s="1"/>
  <c r="AN85" i="29" s="1"/>
  <c r="AO85" i="29" s="1"/>
  <c r="AP85" i="29" s="1"/>
  <c r="AQ85" i="29" s="1"/>
  <c r="AR85" i="29" s="1"/>
  <c r="AS85" i="29" s="1"/>
  <c r="AT85" i="29" s="1"/>
  <c r="AU85" i="29" s="1"/>
  <c r="AV85" i="29" s="1"/>
  <c r="AW85" i="29" s="1"/>
  <c r="AX85" i="29" s="1"/>
  <c r="AY85" i="29" s="1"/>
  <c r="AZ85" i="29" s="1"/>
  <c r="BA85" i="29" s="1"/>
  <c r="BB85" i="29" s="1"/>
  <c r="F117" i="29"/>
  <c r="G117" i="29" s="1"/>
  <c r="H117" i="29" s="1"/>
  <c r="I117" i="29" s="1"/>
  <c r="J117" i="29" s="1"/>
  <c r="K117" i="29" s="1"/>
  <c r="L117" i="29" s="1"/>
  <c r="M117" i="29" s="1"/>
  <c r="N117" i="29" s="1"/>
  <c r="O117" i="29" s="1"/>
  <c r="P117" i="29" s="1"/>
  <c r="Q117" i="29" s="1"/>
  <c r="R117" i="29" s="1"/>
  <c r="S117" i="29" s="1"/>
  <c r="T117" i="29" s="1"/>
  <c r="U117" i="29" s="1"/>
  <c r="V117" i="29" s="1"/>
  <c r="W117" i="29" s="1"/>
  <c r="X117" i="29" s="1"/>
  <c r="Y117" i="29" s="1"/>
  <c r="Z117" i="29" s="1"/>
  <c r="AA117" i="29" s="1"/>
  <c r="AB117" i="29" s="1"/>
  <c r="AC117" i="29" s="1"/>
  <c r="AD117" i="29" s="1"/>
  <c r="AE117" i="29" s="1"/>
  <c r="AF117" i="29" s="1"/>
  <c r="AG117" i="29" s="1"/>
  <c r="AH117" i="29" s="1"/>
  <c r="AI117" i="29" s="1"/>
  <c r="AJ117" i="29" s="1"/>
  <c r="AK117" i="29" s="1"/>
  <c r="AL117" i="29" s="1"/>
  <c r="AM117" i="29" s="1"/>
  <c r="AN117" i="29" s="1"/>
  <c r="AO117" i="29" s="1"/>
  <c r="AP117" i="29" s="1"/>
  <c r="AQ117" i="29" s="1"/>
  <c r="AR117" i="29" s="1"/>
  <c r="AS117" i="29" s="1"/>
  <c r="AT117" i="29" s="1"/>
  <c r="AU117" i="29" s="1"/>
  <c r="AV117" i="29" s="1"/>
  <c r="AW117" i="29" s="1"/>
  <c r="AX117" i="29" s="1"/>
  <c r="AY117" i="29" s="1"/>
  <c r="AZ117" i="29" s="1"/>
  <c r="BA117" i="29" s="1"/>
  <c r="BB117" i="29" s="1"/>
  <c r="D118" i="29"/>
  <c r="D86" i="29"/>
  <c r="D54" i="29"/>
  <c r="C7" i="7"/>
  <c r="AS173" i="29" l="1"/>
  <c r="AS175" i="29" s="1"/>
  <c r="AY173" i="29"/>
  <c r="AY175" i="29" s="1"/>
  <c r="AM173" i="29"/>
  <c r="AM175" i="29" s="1"/>
  <c r="AD173" i="29"/>
  <c r="AD175" i="29" s="1"/>
  <c r="AN173" i="29"/>
  <c r="AN175" i="29" s="1"/>
  <c r="G173" i="29"/>
  <c r="G175" i="29" s="1"/>
  <c r="AZ173" i="29"/>
  <c r="AZ175" i="29" s="1"/>
  <c r="AI173" i="29"/>
  <c r="AI175" i="29" s="1"/>
  <c r="G141" i="29"/>
  <c r="G148" i="29" s="1"/>
  <c r="D169" i="57"/>
  <c r="D171" i="57" s="1"/>
  <c r="F53" i="56"/>
  <c r="E161" i="56"/>
  <c r="E163" i="56" s="1"/>
  <c r="E164" i="56" s="1"/>
  <c r="E167" i="56" s="1"/>
  <c r="S37" i="56"/>
  <c r="AX192" i="29"/>
  <c r="AX183" i="29"/>
  <c r="AX185" i="29" s="1"/>
  <c r="AR192" i="29"/>
  <c r="AR183" i="29"/>
  <c r="AR185" i="29" s="1"/>
  <c r="G192" i="29"/>
  <c r="G183" i="29"/>
  <c r="G185" i="29" s="1"/>
  <c r="BB192" i="29"/>
  <c r="BB183" i="29"/>
  <c r="BB185" i="29" s="1"/>
  <c r="AG192" i="29"/>
  <c r="AG183" i="29"/>
  <c r="AG185" i="29" s="1"/>
  <c r="T173" i="29"/>
  <c r="T175" i="29" s="1"/>
  <c r="AV192" i="29"/>
  <c r="AV183" i="29"/>
  <c r="AV185" i="29" s="1"/>
  <c r="E192" i="29"/>
  <c r="E183" i="29"/>
  <c r="E185" i="29" s="1"/>
  <c r="T192" i="29"/>
  <c r="T183" i="29"/>
  <c r="T185" i="29" s="1"/>
  <c r="S192" i="29"/>
  <c r="S183" i="29"/>
  <c r="S185" i="29" s="1"/>
  <c r="H192" i="29"/>
  <c r="H183" i="29"/>
  <c r="H185" i="29" s="1"/>
  <c r="X192" i="29"/>
  <c r="X183" i="29"/>
  <c r="X185" i="29" s="1"/>
  <c r="AA192" i="29"/>
  <c r="AA183" i="29"/>
  <c r="AA185" i="29" s="1"/>
  <c r="AD192" i="29"/>
  <c r="AD183" i="29"/>
  <c r="AD185" i="29" s="1"/>
  <c r="AJ192" i="29"/>
  <c r="AJ183" i="29"/>
  <c r="AJ185" i="29" s="1"/>
  <c r="AF192" i="29"/>
  <c r="AF183" i="29"/>
  <c r="AF185" i="29" s="1"/>
  <c r="J192" i="29"/>
  <c r="J183" i="29"/>
  <c r="J185" i="29" s="1"/>
  <c r="I192" i="29"/>
  <c r="I183" i="29"/>
  <c r="I185" i="29" s="1"/>
  <c r="AO192" i="29"/>
  <c r="AO183" i="29"/>
  <c r="AO185" i="29" s="1"/>
  <c r="AH192" i="29"/>
  <c r="AH183" i="29"/>
  <c r="AH185" i="29" s="1"/>
  <c r="K183" i="29"/>
  <c r="K185" i="29" s="1"/>
  <c r="K192" i="29"/>
  <c r="N192" i="29"/>
  <c r="N183" i="29"/>
  <c r="N185" i="29" s="1"/>
  <c r="AU192" i="29"/>
  <c r="AU183" i="29"/>
  <c r="AU185" i="29" s="1"/>
  <c r="AW192" i="29"/>
  <c r="AW183" i="29"/>
  <c r="AW185" i="29" s="1"/>
  <c r="AS192" i="29"/>
  <c r="AS183" i="29"/>
  <c r="AS185" i="29" s="1"/>
  <c r="U192" i="29"/>
  <c r="U183" i="29"/>
  <c r="U185" i="29" s="1"/>
  <c r="AL192" i="29"/>
  <c r="AL183" i="29"/>
  <c r="AL185" i="29" s="1"/>
  <c r="Q192" i="29"/>
  <c r="Q183" i="29"/>
  <c r="Q185" i="29" s="1"/>
  <c r="AT192" i="29"/>
  <c r="AT183" i="29"/>
  <c r="AT185" i="29" s="1"/>
  <c r="Y192" i="29"/>
  <c r="Y183" i="29"/>
  <c r="Y185" i="29" s="1"/>
  <c r="AQ183" i="29"/>
  <c r="AQ185" i="29" s="1"/>
  <c r="AQ192" i="29"/>
  <c r="AZ192" i="29"/>
  <c r="AZ183" i="29"/>
  <c r="AZ185" i="29" s="1"/>
  <c r="I12" i="58"/>
  <c r="N12" i="58" s="1"/>
  <c r="AI192" i="29"/>
  <c r="AI183" i="29"/>
  <c r="AI185" i="29" s="1"/>
  <c r="AM192" i="29"/>
  <c r="AM183" i="29"/>
  <c r="AM185" i="29" s="1"/>
  <c r="AB192" i="29"/>
  <c r="AB183" i="29"/>
  <c r="AB185" i="29" s="1"/>
  <c r="L192" i="29"/>
  <c r="L183" i="29"/>
  <c r="L185" i="29" s="1"/>
  <c r="Z192" i="29"/>
  <c r="Z183" i="29"/>
  <c r="Z185" i="29" s="1"/>
  <c r="W192" i="29"/>
  <c r="W183" i="29"/>
  <c r="W185" i="29" s="1"/>
  <c r="AN192" i="29"/>
  <c r="AN183" i="29"/>
  <c r="AN185" i="29" s="1"/>
  <c r="AC192" i="29"/>
  <c r="AC183" i="29"/>
  <c r="AC185" i="29" s="1"/>
  <c r="G141" i="57"/>
  <c r="G144" i="57" s="1"/>
  <c r="AC173" i="29"/>
  <c r="AC175" i="29" s="1"/>
  <c r="BB173" i="29"/>
  <c r="BB175" i="29" s="1"/>
  <c r="N2" i="58"/>
  <c r="I18" i="58"/>
  <c r="N18" i="58" s="1"/>
  <c r="I5" i="58"/>
  <c r="M5" i="58" s="1"/>
  <c r="I15" i="58"/>
  <c r="M15" i="58" s="1"/>
  <c r="Q173" i="29"/>
  <c r="Q175" i="29" s="1"/>
  <c r="H173" i="29"/>
  <c r="H175" i="29" s="1"/>
  <c r="S173" i="29"/>
  <c r="S175" i="29" s="1"/>
  <c r="I10" i="58"/>
  <c r="M10" i="58" s="1"/>
  <c r="AP173" i="29"/>
  <c r="AP175" i="29" s="1"/>
  <c r="K173" i="29"/>
  <c r="K175" i="29" s="1"/>
  <c r="R173" i="29"/>
  <c r="R175" i="29" s="1"/>
  <c r="V173" i="29"/>
  <c r="V175" i="29" s="1"/>
  <c r="I16" i="58"/>
  <c r="N16" i="58" s="1"/>
  <c r="I9" i="58"/>
  <c r="M9" i="58" s="1"/>
  <c r="F173" i="29"/>
  <c r="F175" i="29" s="1"/>
  <c r="I173" i="29"/>
  <c r="I175" i="29" s="1"/>
  <c r="AG173" i="29"/>
  <c r="AG175" i="29" s="1"/>
  <c r="M173" i="29"/>
  <c r="M175" i="29" s="1"/>
  <c r="M2" i="58"/>
  <c r="I20" i="58"/>
  <c r="N20" i="58" s="1"/>
  <c r="AL173" i="29"/>
  <c r="AL175" i="29" s="1"/>
  <c r="AO173" i="29"/>
  <c r="AO175" i="29" s="1"/>
  <c r="U173" i="29"/>
  <c r="U175" i="29" s="1"/>
  <c r="X173" i="29"/>
  <c r="X175" i="29" s="1"/>
  <c r="W173" i="29"/>
  <c r="W175" i="29" s="1"/>
  <c r="AX173" i="29"/>
  <c r="AX175" i="29" s="1"/>
  <c r="I8" i="58"/>
  <c r="N8" i="58" s="1"/>
  <c r="N173" i="29"/>
  <c r="N175" i="29" s="1"/>
  <c r="I14" i="58"/>
  <c r="N14" i="58" s="1"/>
  <c r="AH173" i="29"/>
  <c r="AH175" i="29" s="1"/>
  <c r="I11" i="58"/>
  <c r="N11" i="58" s="1"/>
  <c r="I7" i="58"/>
  <c r="M7" i="58" s="1"/>
  <c r="AV173" i="29"/>
  <c r="AV175" i="29" s="1"/>
  <c r="I6" i="58"/>
  <c r="N6" i="58" s="1"/>
  <c r="AU173" i="29"/>
  <c r="AU175" i="29" s="1"/>
  <c r="O173" i="29"/>
  <c r="O175" i="29" s="1"/>
  <c r="AT173" i="29"/>
  <c r="AT175" i="29" s="1"/>
  <c r="E173" i="29"/>
  <c r="E175" i="29" s="1"/>
  <c r="BA173" i="29"/>
  <c r="BA175" i="29" s="1"/>
  <c r="AJ173" i="29"/>
  <c r="AJ175" i="29" s="1"/>
  <c r="AF173" i="29"/>
  <c r="AF175" i="29" s="1"/>
  <c r="J173" i="29"/>
  <c r="J175" i="29" s="1"/>
  <c r="AR173" i="29"/>
  <c r="AR175" i="29" s="1"/>
  <c r="D173" i="29"/>
  <c r="D175" i="29" s="1"/>
  <c r="F155" i="29"/>
  <c r="F158" i="29" s="1"/>
  <c r="G53" i="29"/>
  <c r="T37" i="29"/>
  <c r="M12" i="58"/>
  <c r="N13" i="58"/>
  <c r="M13" i="58"/>
  <c r="F165" i="29"/>
  <c r="F168" i="29" s="1"/>
  <c r="M34" i="58"/>
  <c r="N34" i="58"/>
  <c r="M33" i="58"/>
  <c r="N33" i="58"/>
  <c r="M32" i="58"/>
  <c r="N32" i="58"/>
  <c r="M31" i="58"/>
  <c r="N31" i="58"/>
  <c r="N28" i="58"/>
  <c r="M28" i="58"/>
  <c r="N29" i="58"/>
  <c r="M29" i="58"/>
  <c r="N27" i="58"/>
  <c r="M27" i="58"/>
  <c r="M26" i="58"/>
  <c r="N26" i="58"/>
  <c r="N25" i="58"/>
  <c r="M25" i="58"/>
  <c r="N24" i="58"/>
  <c r="M24" i="58"/>
  <c r="N23" i="58"/>
  <c r="M23" i="58"/>
  <c r="M35" i="58"/>
  <c r="N35" i="58"/>
  <c r="M30" i="58"/>
  <c r="N30" i="58"/>
  <c r="N22" i="58"/>
  <c r="M22" i="58"/>
  <c r="F143" i="56"/>
  <c r="F146" i="56" s="1"/>
  <c r="F151" i="57"/>
  <c r="F154" i="57" s="1"/>
  <c r="F136" i="56"/>
  <c r="G133" i="56"/>
  <c r="F161" i="57"/>
  <c r="F153" i="56"/>
  <c r="H141" i="29" l="1"/>
  <c r="H148" i="29" s="1"/>
  <c r="N15" i="58"/>
  <c r="N10" i="58"/>
  <c r="D172" i="57"/>
  <c r="D173" i="57"/>
  <c r="H141" i="57"/>
  <c r="I141" i="57" s="1"/>
  <c r="G53" i="56"/>
  <c r="F161" i="56"/>
  <c r="F163" i="56" s="1"/>
  <c r="F164" i="56" s="1"/>
  <c r="T37" i="56"/>
  <c r="D192" i="29"/>
  <c r="D183" i="29"/>
  <c r="D185" i="29" s="1"/>
  <c r="M18" i="58"/>
  <c r="N5" i="58"/>
  <c r="P4" i="58"/>
  <c r="M16" i="58"/>
  <c r="M20" i="58"/>
  <c r="N9" i="58"/>
  <c r="N7" i="58"/>
  <c r="M6" i="58"/>
  <c r="M8" i="58"/>
  <c r="M11" i="58"/>
  <c r="M14" i="58"/>
  <c r="G165" i="29"/>
  <c r="H165" i="29" s="1"/>
  <c r="I165" i="29" s="1"/>
  <c r="G155" i="29"/>
  <c r="D176" i="29"/>
  <c r="D177" i="29"/>
  <c r="U37" i="29"/>
  <c r="H53" i="29"/>
  <c r="G151" i="57"/>
  <c r="G154" i="57" s="1"/>
  <c r="G143" i="56"/>
  <c r="G146" i="56" s="1"/>
  <c r="F156" i="56"/>
  <c r="G153" i="56"/>
  <c r="F164" i="57"/>
  <c r="G161" i="57"/>
  <c r="G136" i="56"/>
  <c r="H133" i="56"/>
  <c r="I141" i="29" l="1"/>
  <c r="J141" i="29" s="1"/>
  <c r="J148" i="29" s="1"/>
  <c r="H144" i="57"/>
  <c r="D175" i="57"/>
  <c r="E172" i="57"/>
  <c r="H53" i="56"/>
  <c r="G161" i="56"/>
  <c r="G163" i="56" s="1"/>
  <c r="U37" i="56"/>
  <c r="F167" i="56"/>
  <c r="D186" i="29"/>
  <c r="D193" i="29" s="1"/>
  <c r="D187" i="29"/>
  <c r="H168" i="29"/>
  <c r="G168" i="29"/>
  <c r="H151" i="57"/>
  <c r="H154" i="57" s="1"/>
  <c r="H155" i="29"/>
  <c r="G158" i="29"/>
  <c r="I21" i="58"/>
  <c r="I19" i="58"/>
  <c r="I17" i="58"/>
  <c r="D179" i="29"/>
  <c r="E176" i="29"/>
  <c r="H143" i="56"/>
  <c r="H146" i="56" s="1"/>
  <c r="V37" i="29"/>
  <c r="I53" i="29"/>
  <c r="H136" i="56"/>
  <c r="I133" i="56"/>
  <c r="I144" i="57"/>
  <c r="J141" i="57"/>
  <c r="G164" i="57"/>
  <c r="H161" i="57"/>
  <c r="G156" i="56"/>
  <c r="H153" i="56"/>
  <c r="I168" i="29"/>
  <c r="J165" i="29"/>
  <c r="K141" i="29" l="1"/>
  <c r="L141" i="29" s="1"/>
  <c r="I148" i="29"/>
  <c r="E175" i="57"/>
  <c r="F172" i="57"/>
  <c r="I53" i="56"/>
  <c r="H161" i="56"/>
  <c r="H163" i="56" s="1"/>
  <c r="V37" i="56"/>
  <c r="G164" i="56"/>
  <c r="G167" i="56" s="1"/>
  <c r="E186" i="29"/>
  <c r="I151" i="57"/>
  <c r="I154" i="57" s="1"/>
  <c r="H158" i="29"/>
  <c r="I155" i="29"/>
  <c r="E179" i="29"/>
  <c r="F176" i="29"/>
  <c r="N17" i="58"/>
  <c r="M17" i="58"/>
  <c r="N19" i="58"/>
  <c r="M19" i="58"/>
  <c r="I143" i="56"/>
  <c r="J143" i="56" s="1"/>
  <c r="N21" i="58"/>
  <c r="M21" i="58"/>
  <c r="J53" i="29"/>
  <c r="W37" i="29"/>
  <c r="H156" i="56"/>
  <c r="I153" i="56"/>
  <c r="H164" i="57"/>
  <c r="I161" i="57"/>
  <c r="J144" i="57"/>
  <c r="K141" i="57"/>
  <c r="I136" i="56"/>
  <c r="J133" i="56"/>
  <c r="J168" i="29"/>
  <c r="K165" i="29"/>
  <c r="K148" i="29" l="1"/>
  <c r="F175" i="57"/>
  <c r="G172" i="57"/>
  <c r="H164" i="56"/>
  <c r="H167" i="56" s="1"/>
  <c r="J53" i="56"/>
  <c r="I161" i="56"/>
  <c r="I163" i="56" s="1"/>
  <c r="W37" i="56"/>
  <c r="E193" i="29"/>
  <c r="F186" i="29"/>
  <c r="J151" i="57"/>
  <c r="J154" i="57" s="1"/>
  <c r="I158" i="29"/>
  <c r="J155" i="29"/>
  <c r="I146" i="56"/>
  <c r="F179" i="29"/>
  <c r="G176" i="29"/>
  <c r="X37" i="29"/>
  <c r="K53" i="29"/>
  <c r="I164" i="57"/>
  <c r="J161" i="57"/>
  <c r="J136" i="56"/>
  <c r="K133" i="56"/>
  <c r="J146" i="56"/>
  <c r="K143" i="56"/>
  <c r="I156" i="56"/>
  <c r="J153" i="56"/>
  <c r="K144" i="57"/>
  <c r="L141" i="57"/>
  <c r="K168" i="29"/>
  <c r="L165" i="29"/>
  <c r="M141" i="29"/>
  <c r="L148" i="29"/>
  <c r="G175" i="57" l="1"/>
  <c r="H172" i="57"/>
  <c r="K53" i="56"/>
  <c r="J161" i="56"/>
  <c r="J163" i="56" s="1"/>
  <c r="X37" i="56"/>
  <c r="I164" i="56"/>
  <c r="I167" i="56" s="1"/>
  <c r="F193" i="29"/>
  <c r="G186" i="29"/>
  <c r="K151" i="57"/>
  <c r="K154" i="57" s="1"/>
  <c r="J158" i="29"/>
  <c r="K155" i="29"/>
  <c r="G179" i="29"/>
  <c r="H176" i="29"/>
  <c r="L53" i="29"/>
  <c r="Y37" i="29"/>
  <c r="K146" i="56"/>
  <c r="L143" i="56"/>
  <c r="K136" i="56"/>
  <c r="L133" i="56"/>
  <c r="L144" i="57"/>
  <c r="M141" i="57"/>
  <c r="J156" i="56"/>
  <c r="K153" i="56"/>
  <c r="J164" i="57"/>
  <c r="K161" i="57"/>
  <c r="L168" i="29"/>
  <c r="M165" i="29"/>
  <c r="N141" i="29"/>
  <c r="M148" i="29"/>
  <c r="H175" i="57" l="1"/>
  <c r="I172" i="57"/>
  <c r="J164" i="56"/>
  <c r="J167" i="56" s="1"/>
  <c r="L53" i="56"/>
  <c r="K161" i="56"/>
  <c r="K163" i="56" s="1"/>
  <c r="Y37" i="56"/>
  <c r="G193" i="29"/>
  <c r="H186" i="29"/>
  <c r="L151" i="57"/>
  <c r="L154" i="57" s="1"/>
  <c r="L155" i="29"/>
  <c r="K158" i="29"/>
  <c r="H179" i="29"/>
  <c r="I176" i="29"/>
  <c r="Z37" i="29"/>
  <c r="M53" i="29"/>
  <c r="M144" i="57"/>
  <c r="N141" i="57"/>
  <c r="L136" i="56"/>
  <c r="M133" i="56"/>
  <c r="K156" i="56"/>
  <c r="L153" i="56"/>
  <c r="L146" i="56"/>
  <c r="M143" i="56"/>
  <c r="K164" i="57"/>
  <c r="L161" i="57"/>
  <c r="M168" i="29"/>
  <c r="N165" i="29"/>
  <c r="O141" i="29"/>
  <c r="N148" i="29"/>
  <c r="I175" i="57" l="1"/>
  <c r="J172" i="57"/>
  <c r="M53" i="56"/>
  <c r="L161" i="56"/>
  <c r="L163" i="56" s="1"/>
  <c r="Z37" i="56"/>
  <c r="K164" i="56"/>
  <c r="K167" i="56" s="1"/>
  <c r="H193" i="29"/>
  <c r="I186" i="29"/>
  <c r="M151" i="57"/>
  <c r="M154" i="57" s="1"/>
  <c r="M155" i="29"/>
  <c r="L158" i="29"/>
  <c r="I179" i="29"/>
  <c r="J176" i="29"/>
  <c r="N53" i="29"/>
  <c r="AA37" i="29"/>
  <c r="L156" i="56"/>
  <c r="M153" i="56"/>
  <c r="M136" i="56"/>
  <c r="N133" i="56"/>
  <c r="L164" i="57"/>
  <c r="M161" i="57"/>
  <c r="N144" i="57"/>
  <c r="O141" i="57"/>
  <c r="M146" i="56"/>
  <c r="N143" i="56"/>
  <c r="N168" i="29"/>
  <c r="O165" i="29"/>
  <c r="P141" i="29"/>
  <c r="O148" i="29"/>
  <c r="J175" i="57" l="1"/>
  <c r="K172" i="57"/>
  <c r="N53" i="56"/>
  <c r="M161" i="56"/>
  <c r="M163" i="56" s="1"/>
  <c r="AA37" i="56"/>
  <c r="L164" i="56"/>
  <c r="L167" i="56" s="1"/>
  <c r="I193" i="29"/>
  <c r="J186" i="29"/>
  <c r="N151" i="57"/>
  <c r="N154" i="57" s="1"/>
  <c r="M158" i="29"/>
  <c r="N155" i="29"/>
  <c r="J179" i="29"/>
  <c r="K176" i="29"/>
  <c r="AB37" i="29"/>
  <c r="O53" i="29"/>
  <c r="O144" i="57"/>
  <c r="P141" i="57"/>
  <c r="M164" i="57"/>
  <c r="N161" i="57"/>
  <c r="N136" i="56"/>
  <c r="O133" i="56"/>
  <c r="N146" i="56"/>
  <c r="O143" i="56"/>
  <c r="M156" i="56"/>
  <c r="N153" i="56"/>
  <c r="O168" i="29"/>
  <c r="P165" i="29"/>
  <c r="Q141" i="29"/>
  <c r="P148" i="29"/>
  <c r="K175" i="57" l="1"/>
  <c r="L172" i="57"/>
  <c r="O151" i="57"/>
  <c r="O154" i="57" s="1"/>
  <c r="M164" i="56"/>
  <c r="M167" i="56" s="1"/>
  <c r="AB37" i="56"/>
  <c r="O53" i="56"/>
  <c r="N161" i="56"/>
  <c r="N163" i="56" s="1"/>
  <c r="N164" i="56" s="1"/>
  <c r="N167" i="56" s="1"/>
  <c r="J193" i="29"/>
  <c r="K186" i="29"/>
  <c r="N158" i="29"/>
  <c r="O155" i="29"/>
  <c r="K179" i="29"/>
  <c r="L176" i="29"/>
  <c r="P53" i="29"/>
  <c r="AC37" i="29"/>
  <c r="O136" i="56"/>
  <c r="P133" i="56"/>
  <c r="N156" i="56"/>
  <c r="O153" i="56"/>
  <c r="N164" i="57"/>
  <c r="O161" i="57"/>
  <c r="O146" i="56"/>
  <c r="P143" i="56"/>
  <c r="P144" i="57"/>
  <c r="Q141" i="57"/>
  <c r="P168" i="29"/>
  <c r="Q165" i="29"/>
  <c r="R141" i="29"/>
  <c r="Q148" i="29"/>
  <c r="P151" i="57" l="1"/>
  <c r="P154" i="57" s="1"/>
  <c r="L175" i="57"/>
  <c r="M172" i="57"/>
  <c r="P53" i="56"/>
  <c r="O161" i="56"/>
  <c r="O163" i="56" s="1"/>
  <c r="O164" i="56" s="1"/>
  <c r="O167" i="56" s="1"/>
  <c r="AC37" i="56"/>
  <c r="K193" i="29"/>
  <c r="L186" i="29"/>
  <c r="O158" i="29"/>
  <c r="P155" i="29"/>
  <c r="L179" i="29"/>
  <c r="M176" i="29"/>
  <c r="AD37" i="29"/>
  <c r="Q53" i="29"/>
  <c r="O164" i="57"/>
  <c r="P161" i="57"/>
  <c r="O156" i="56"/>
  <c r="P153" i="56"/>
  <c r="Q144" i="57"/>
  <c r="R141" i="57"/>
  <c r="P146" i="56"/>
  <c r="Q143" i="56"/>
  <c r="P136" i="56"/>
  <c r="Q133" i="56"/>
  <c r="Q168" i="29"/>
  <c r="R165" i="29"/>
  <c r="S141" i="29"/>
  <c r="R148" i="29"/>
  <c r="Q151" i="57" l="1"/>
  <c r="R151" i="57" s="1"/>
  <c r="M175" i="57"/>
  <c r="N172" i="57"/>
  <c r="AD37" i="56"/>
  <c r="Q53" i="56"/>
  <c r="P161" i="56"/>
  <c r="P163" i="56" s="1"/>
  <c r="P164" i="56" s="1"/>
  <c r="P167" i="56" s="1"/>
  <c r="L193" i="29"/>
  <c r="M186" i="29"/>
  <c r="P158" i="29"/>
  <c r="Q155" i="29"/>
  <c r="M179" i="29"/>
  <c r="N176" i="29"/>
  <c r="R53" i="29"/>
  <c r="AE37" i="29"/>
  <c r="R144" i="57"/>
  <c r="S141" i="57"/>
  <c r="Q136" i="56"/>
  <c r="R133" i="56"/>
  <c r="P156" i="56"/>
  <c r="Q153" i="56"/>
  <c r="Q146" i="56"/>
  <c r="R143" i="56"/>
  <c r="P164" i="57"/>
  <c r="Q161" i="57"/>
  <c r="R168" i="29"/>
  <c r="S165" i="29"/>
  <c r="T141" i="29"/>
  <c r="S148" i="29"/>
  <c r="Q154" i="57" l="1"/>
  <c r="N175" i="57"/>
  <c r="O172" i="57"/>
  <c r="R53" i="56"/>
  <c r="Q161" i="56"/>
  <c r="Q163" i="56" s="1"/>
  <c r="Q164" i="56" s="1"/>
  <c r="Q167" i="56" s="1"/>
  <c r="AE37" i="56"/>
  <c r="M193" i="29"/>
  <c r="N186" i="29"/>
  <c r="Q158" i="29"/>
  <c r="R155" i="29"/>
  <c r="N179" i="29"/>
  <c r="O176" i="29"/>
  <c r="AF37" i="29"/>
  <c r="S53" i="29"/>
  <c r="Q156" i="56"/>
  <c r="R153" i="56"/>
  <c r="R136" i="56"/>
  <c r="S133" i="56"/>
  <c r="Q164" i="57"/>
  <c r="R161" i="57"/>
  <c r="S144" i="57"/>
  <c r="T141" i="57"/>
  <c r="R146" i="56"/>
  <c r="S143" i="56"/>
  <c r="R154" i="57"/>
  <c r="S151" i="57"/>
  <c r="S168" i="29"/>
  <c r="T165" i="29"/>
  <c r="U141" i="29"/>
  <c r="T148" i="29"/>
  <c r="O175" i="57" l="1"/>
  <c r="P172" i="57"/>
  <c r="AF37" i="56"/>
  <c r="S53" i="56"/>
  <c r="R161" i="56"/>
  <c r="R163" i="56" s="1"/>
  <c r="R164" i="56" s="1"/>
  <c r="R167" i="56" s="1"/>
  <c r="N193" i="29"/>
  <c r="O186" i="29"/>
  <c r="S155" i="29"/>
  <c r="R158" i="29"/>
  <c r="O179" i="29"/>
  <c r="P176" i="29"/>
  <c r="T53" i="29"/>
  <c r="AG37" i="29"/>
  <c r="T144" i="57"/>
  <c r="U141" i="57"/>
  <c r="R164" i="57"/>
  <c r="S161" i="57"/>
  <c r="S154" i="57"/>
  <c r="T151" i="57"/>
  <c r="S136" i="56"/>
  <c r="T133" i="56"/>
  <c r="S146" i="56"/>
  <c r="T143" i="56"/>
  <c r="R156" i="56"/>
  <c r="S153" i="56"/>
  <c r="T168" i="29"/>
  <c r="U165" i="29"/>
  <c r="V141" i="29"/>
  <c r="U148" i="29"/>
  <c r="P175" i="57" l="1"/>
  <c r="Q172" i="57"/>
  <c r="T53" i="56"/>
  <c r="S161" i="56"/>
  <c r="S163" i="56" s="1"/>
  <c r="S164" i="56" s="1"/>
  <c r="S167" i="56" s="1"/>
  <c r="AG37" i="56"/>
  <c r="O193" i="29"/>
  <c r="P186" i="29"/>
  <c r="T155" i="29"/>
  <c r="S158" i="29"/>
  <c r="P179" i="29"/>
  <c r="Q176" i="29"/>
  <c r="AH37" i="29"/>
  <c r="U53" i="29"/>
  <c r="T136" i="56"/>
  <c r="U133" i="56"/>
  <c r="T154" i="57"/>
  <c r="U151" i="57"/>
  <c r="S156" i="56"/>
  <c r="T153" i="56"/>
  <c r="S164" i="57"/>
  <c r="T161" i="57"/>
  <c r="T146" i="56"/>
  <c r="U143" i="56"/>
  <c r="U144" i="57"/>
  <c r="V141" i="57"/>
  <c r="U168" i="29"/>
  <c r="V165" i="29"/>
  <c r="W141" i="29"/>
  <c r="V148" i="29"/>
  <c r="Q175" i="57" l="1"/>
  <c r="R172" i="57"/>
  <c r="AH37" i="56"/>
  <c r="U53" i="56"/>
  <c r="T161" i="56"/>
  <c r="T163" i="56" s="1"/>
  <c r="T164" i="56" s="1"/>
  <c r="T167" i="56" s="1"/>
  <c r="P193" i="29"/>
  <c r="Q186" i="29"/>
  <c r="U155" i="29"/>
  <c r="T158" i="29"/>
  <c r="Q179" i="29"/>
  <c r="R176" i="29"/>
  <c r="V53" i="29"/>
  <c r="AI37" i="29"/>
  <c r="T164" i="57"/>
  <c r="U161" i="57"/>
  <c r="T156" i="56"/>
  <c r="U153" i="56"/>
  <c r="V144" i="57"/>
  <c r="W141" i="57"/>
  <c r="U154" i="57"/>
  <c r="V151" i="57"/>
  <c r="U146" i="56"/>
  <c r="V143" i="56"/>
  <c r="U136" i="56"/>
  <c r="V133" i="56"/>
  <c r="V168" i="29"/>
  <c r="W165" i="29"/>
  <c r="X141" i="29"/>
  <c r="W148" i="29"/>
  <c r="R175" i="57" l="1"/>
  <c r="S172" i="57"/>
  <c r="V53" i="56"/>
  <c r="U161" i="56"/>
  <c r="U163" i="56" s="1"/>
  <c r="U164" i="56" s="1"/>
  <c r="U167" i="56" s="1"/>
  <c r="AI37" i="56"/>
  <c r="Q193" i="29"/>
  <c r="R186" i="29"/>
  <c r="U158" i="29"/>
  <c r="V155" i="29"/>
  <c r="R179" i="29"/>
  <c r="S176" i="29"/>
  <c r="AJ37" i="29"/>
  <c r="W53" i="29"/>
  <c r="V154" i="57"/>
  <c r="W151" i="57"/>
  <c r="W144" i="57"/>
  <c r="X141" i="57"/>
  <c r="V136" i="56"/>
  <c r="W133" i="56"/>
  <c r="U156" i="56"/>
  <c r="V153" i="56"/>
  <c r="V146" i="56"/>
  <c r="W143" i="56"/>
  <c r="U164" i="57"/>
  <c r="V161" i="57"/>
  <c r="W168" i="29"/>
  <c r="X165" i="29"/>
  <c r="Y141" i="29"/>
  <c r="X148" i="29"/>
  <c r="S175" i="57" l="1"/>
  <c r="T172" i="57"/>
  <c r="AJ37" i="56"/>
  <c r="W53" i="56"/>
  <c r="V161" i="56"/>
  <c r="V163" i="56" s="1"/>
  <c r="V164" i="56" s="1"/>
  <c r="V167" i="56" s="1"/>
  <c r="R193" i="29"/>
  <c r="S186" i="29"/>
  <c r="W155" i="29"/>
  <c r="V158" i="29"/>
  <c r="S179" i="29"/>
  <c r="T176" i="29"/>
  <c r="X53" i="29"/>
  <c r="AK37" i="29"/>
  <c r="V156" i="56"/>
  <c r="W153" i="56"/>
  <c r="W136" i="56"/>
  <c r="X133" i="56"/>
  <c r="V164" i="57"/>
  <c r="W161" i="57"/>
  <c r="X144" i="57"/>
  <c r="Y141" i="57"/>
  <c r="W146" i="56"/>
  <c r="X143" i="56"/>
  <c r="W154" i="57"/>
  <c r="X151" i="57"/>
  <c r="X168" i="29"/>
  <c r="Y165" i="29"/>
  <c r="Z141" i="29"/>
  <c r="Y148" i="29"/>
  <c r="T175" i="57" l="1"/>
  <c r="U172" i="57"/>
  <c r="X53" i="56"/>
  <c r="W161" i="56"/>
  <c r="W163" i="56" s="1"/>
  <c r="W164" i="56" s="1"/>
  <c r="W167" i="56" s="1"/>
  <c r="AK37" i="56"/>
  <c r="S193" i="29"/>
  <c r="T186" i="29"/>
  <c r="X155" i="29"/>
  <c r="W158" i="29"/>
  <c r="T179" i="29"/>
  <c r="U176" i="29"/>
  <c r="AL37" i="29"/>
  <c r="Y53" i="29"/>
  <c r="Y144" i="57"/>
  <c r="Z141" i="57"/>
  <c r="W164" i="57"/>
  <c r="X161" i="57"/>
  <c r="X154" i="57"/>
  <c r="Y151" i="57"/>
  <c r="X136" i="56"/>
  <c r="Y133" i="56"/>
  <c r="X146" i="56"/>
  <c r="Y143" i="56"/>
  <c r="W156" i="56"/>
  <c r="X153" i="56"/>
  <c r="Y168" i="29"/>
  <c r="Z165" i="29"/>
  <c r="AA141" i="29"/>
  <c r="Z148" i="29"/>
  <c r="U175" i="57" l="1"/>
  <c r="V172" i="57"/>
  <c r="AL37" i="56"/>
  <c r="Y53" i="56"/>
  <c r="X161" i="56"/>
  <c r="X163" i="56" s="1"/>
  <c r="X164" i="56" s="1"/>
  <c r="X167" i="56" s="1"/>
  <c r="T193" i="29"/>
  <c r="U186" i="29"/>
  <c r="Y155" i="29"/>
  <c r="X158" i="29"/>
  <c r="U179" i="29"/>
  <c r="V176" i="29"/>
  <c r="Z53" i="29"/>
  <c r="AM37" i="29"/>
  <c r="Y136" i="56"/>
  <c r="Z133" i="56"/>
  <c r="Y154" i="57"/>
  <c r="Z151" i="57"/>
  <c r="X156" i="56"/>
  <c r="Y153" i="56"/>
  <c r="X164" i="57"/>
  <c r="Y161" i="57"/>
  <c r="Y146" i="56"/>
  <c r="Z143" i="56"/>
  <c r="Z144" i="57"/>
  <c r="AA141" i="57"/>
  <c r="Z168" i="29"/>
  <c r="AA165" i="29"/>
  <c r="AB141" i="29"/>
  <c r="AA148" i="29"/>
  <c r="V175" i="57" l="1"/>
  <c r="W172" i="57"/>
  <c r="Z53" i="56"/>
  <c r="Y161" i="56"/>
  <c r="Y163" i="56" s="1"/>
  <c r="Y164" i="56" s="1"/>
  <c r="Y167" i="56" s="1"/>
  <c r="AM37" i="56"/>
  <c r="U193" i="29"/>
  <c r="V186" i="29"/>
  <c r="Z155" i="29"/>
  <c r="Y158" i="29"/>
  <c r="V179" i="29"/>
  <c r="W176" i="29"/>
  <c r="AN37" i="29"/>
  <c r="AA53" i="29"/>
  <c r="Y164" i="57"/>
  <c r="Z161" i="57"/>
  <c r="Y156" i="56"/>
  <c r="Z153" i="56"/>
  <c r="AA144" i="57"/>
  <c r="AB141" i="57"/>
  <c r="Z154" i="57"/>
  <c r="AA151" i="57"/>
  <c r="Z146" i="56"/>
  <c r="AA143" i="56"/>
  <c r="Z136" i="56"/>
  <c r="AA133" i="56"/>
  <c r="AA168" i="29"/>
  <c r="AB165" i="29"/>
  <c r="AC141" i="29"/>
  <c r="AB148" i="29"/>
  <c r="W175" i="57" l="1"/>
  <c r="X172" i="57"/>
  <c r="AN37" i="56"/>
  <c r="AA53" i="56"/>
  <c r="Z161" i="56"/>
  <c r="Z163" i="56" s="1"/>
  <c r="Z164" i="56" s="1"/>
  <c r="Z167" i="56" s="1"/>
  <c r="V193" i="29"/>
  <c r="W186" i="29"/>
  <c r="Z158" i="29"/>
  <c r="AA155" i="29"/>
  <c r="W179" i="29"/>
  <c r="X176" i="29"/>
  <c r="AB53" i="29"/>
  <c r="AO37" i="29"/>
  <c r="AA154" i="57"/>
  <c r="AB151" i="57"/>
  <c r="AB144" i="57"/>
  <c r="AC141" i="57"/>
  <c r="AA136" i="56"/>
  <c r="AB133" i="56"/>
  <c r="Z156" i="56"/>
  <c r="AA153" i="56"/>
  <c r="AA146" i="56"/>
  <c r="AB143" i="56"/>
  <c r="Z164" i="57"/>
  <c r="AA161" i="57"/>
  <c r="AB168" i="29"/>
  <c r="AC165" i="29"/>
  <c r="AD141" i="29"/>
  <c r="AC148" i="29"/>
  <c r="X175" i="57" l="1"/>
  <c r="Y172" i="57"/>
  <c r="AB53" i="56"/>
  <c r="AA161" i="56"/>
  <c r="AA163" i="56" s="1"/>
  <c r="AA164" i="56" s="1"/>
  <c r="AA167" i="56" s="1"/>
  <c r="AO37" i="56"/>
  <c r="W193" i="29"/>
  <c r="X186" i="29"/>
  <c r="AA158" i="29"/>
  <c r="AB155" i="29"/>
  <c r="X179" i="29"/>
  <c r="Y176" i="29"/>
  <c r="AP37" i="29"/>
  <c r="AC53" i="29"/>
  <c r="AA156" i="56"/>
  <c r="AB153" i="56"/>
  <c r="AB136" i="56"/>
  <c r="AC133" i="56"/>
  <c r="AA164" i="57"/>
  <c r="AB161" i="57"/>
  <c r="AC144" i="57"/>
  <c r="AD141" i="57"/>
  <c r="AB146" i="56"/>
  <c r="AC143" i="56"/>
  <c r="AB154" i="57"/>
  <c r="AC151" i="57"/>
  <c r="AC168" i="29"/>
  <c r="AD165" i="29"/>
  <c r="AE141" i="29"/>
  <c r="AD148" i="29"/>
  <c r="Y175" i="57" l="1"/>
  <c r="Z172" i="57"/>
  <c r="AP37" i="56"/>
  <c r="AC53" i="56"/>
  <c r="AB161" i="56"/>
  <c r="AB163" i="56" s="1"/>
  <c r="AB164" i="56" s="1"/>
  <c r="AB167" i="56" s="1"/>
  <c r="X193" i="29"/>
  <c r="Y186" i="29"/>
  <c r="AB158" i="29"/>
  <c r="AC155" i="29"/>
  <c r="Y179" i="29"/>
  <c r="Z176" i="29"/>
  <c r="AD53" i="29"/>
  <c r="AQ37" i="29"/>
  <c r="AD144" i="57"/>
  <c r="AE141" i="57"/>
  <c r="AB164" i="57"/>
  <c r="AC161" i="57"/>
  <c r="AC154" i="57"/>
  <c r="AD151" i="57"/>
  <c r="AC136" i="56"/>
  <c r="AD133" i="56"/>
  <c r="AC146" i="56"/>
  <c r="AD143" i="56"/>
  <c r="AB156" i="56"/>
  <c r="AC153" i="56"/>
  <c r="AD168" i="29"/>
  <c r="AE165" i="29"/>
  <c r="AF141" i="29"/>
  <c r="AE148" i="29"/>
  <c r="Z175" i="57" l="1"/>
  <c r="AA172" i="57"/>
  <c r="AD53" i="56"/>
  <c r="AC161" i="56"/>
  <c r="AC163" i="56" s="1"/>
  <c r="AC164" i="56" s="1"/>
  <c r="AC167" i="56" s="1"/>
  <c r="AQ37" i="56"/>
  <c r="Y193" i="29"/>
  <c r="Z186" i="29"/>
  <c r="AD155" i="29"/>
  <c r="AC158" i="29"/>
  <c r="Z179" i="29"/>
  <c r="AA176" i="29"/>
  <c r="AR37" i="29"/>
  <c r="AE53" i="29"/>
  <c r="AD136" i="56"/>
  <c r="AE133" i="56"/>
  <c r="AD154" i="57"/>
  <c r="AE151" i="57"/>
  <c r="AC156" i="56"/>
  <c r="AD153" i="56"/>
  <c r="AC164" i="57"/>
  <c r="AD161" i="57"/>
  <c r="AD146" i="56"/>
  <c r="AE143" i="56"/>
  <c r="AE144" i="57"/>
  <c r="AF141" i="57"/>
  <c r="AE168" i="29"/>
  <c r="AF165" i="29"/>
  <c r="AG141" i="29"/>
  <c r="AF148" i="29"/>
  <c r="AA175" i="57" l="1"/>
  <c r="AB172" i="57"/>
  <c r="AR37" i="56"/>
  <c r="AE53" i="56"/>
  <c r="AD161" i="56"/>
  <c r="AD163" i="56" s="1"/>
  <c r="AD164" i="56" s="1"/>
  <c r="AD167" i="56" s="1"/>
  <c r="Z193" i="29"/>
  <c r="AA186" i="29"/>
  <c r="AE155" i="29"/>
  <c r="AD158" i="29"/>
  <c r="AA179" i="29"/>
  <c r="AB176" i="29"/>
  <c r="AF53" i="29"/>
  <c r="AS37" i="29"/>
  <c r="AD164" i="57"/>
  <c r="AE161" i="57"/>
  <c r="AD156" i="56"/>
  <c r="AE153" i="56"/>
  <c r="AF144" i="57"/>
  <c r="AG141" i="57"/>
  <c r="AE154" i="57"/>
  <c r="AF151" i="57"/>
  <c r="AE146" i="56"/>
  <c r="AF143" i="56"/>
  <c r="AE136" i="56"/>
  <c r="AF133" i="56"/>
  <c r="AF168" i="29"/>
  <c r="AG165" i="29"/>
  <c r="AH141" i="29"/>
  <c r="AG148" i="29"/>
  <c r="AB175" i="57" l="1"/>
  <c r="AC172" i="57"/>
  <c r="AF53" i="56"/>
  <c r="AE161" i="56"/>
  <c r="AE163" i="56" s="1"/>
  <c r="AE164" i="56" s="1"/>
  <c r="AE167" i="56" s="1"/>
  <c r="AS37" i="56"/>
  <c r="AA193" i="29"/>
  <c r="AB186" i="29"/>
  <c r="AF155" i="29"/>
  <c r="AE158" i="29"/>
  <c r="AB179" i="29"/>
  <c r="AC176" i="29"/>
  <c r="AT37" i="29"/>
  <c r="AG53" i="29"/>
  <c r="AF154" i="57"/>
  <c r="AG151" i="57"/>
  <c r="AF136" i="56"/>
  <c r="AG133" i="56"/>
  <c r="AG144" i="57"/>
  <c r="AH141" i="57"/>
  <c r="AE156" i="56"/>
  <c r="AF153" i="56"/>
  <c r="AF146" i="56"/>
  <c r="AG143" i="56"/>
  <c r="AE164" i="57"/>
  <c r="AF161" i="57"/>
  <c r="AG168" i="29"/>
  <c r="AH165" i="29"/>
  <c r="AI141" i="29"/>
  <c r="AH148" i="29"/>
  <c r="AC175" i="57" l="1"/>
  <c r="AD172" i="57"/>
  <c r="AT37" i="56"/>
  <c r="AG53" i="56"/>
  <c r="AF161" i="56"/>
  <c r="AF163" i="56" s="1"/>
  <c r="AF164" i="56" s="1"/>
  <c r="AF167" i="56" s="1"/>
  <c r="AB193" i="29"/>
  <c r="AC186" i="29"/>
  <c r="AF158" i="29"/>
  <c r="AG155" i="29"/>
  <c r="AC179" i="29"/>
  <c r="AD176" i="29"/>
  <c r="AH53" i="29"/>
  <c r="AU37" i="29"/>
  <c r="AF156" i="56"/>
  <c r="AG153" i="56"/>
  <c r="AH144" i="57"/>
  <c r="AI141" i="57"/>
  <c r="AF164" i="57"/>
  <c r="AG161" i="57"/>
  <c r="AG136" i="56"/>
  <c r="AH133" i="56"/>
  <c r="AG146" i="56"/>
  <c r="AH143" i="56"/>
  <c r="AG154" i="57"/>
  <c r="AH151" i="57"/>
  <c r="AH168" i="29"/>
  <c r="AI165" i="29"/>
  <c r="AJ141" i="29"/>
  <c r="AI148" i="29"/>
  <c r="AD175" i="57" l="1"/>
  <c r="AE172" i="57"/>
  <c r="AH53" i="56"/>
  <c r="AG161" i="56"/>
  <c r="AG163" i="56" s="1"/>
  <c r="AG164" i="56" s="1"/>
  <c r="AG167" i="56" s="1"/>
  <c r="AU37" i="56"/>
  <c r="AC193" i="29"/>
  <c r="AD186" i="29"/>
  <c r="AH155" i="29"/>
  <c r="AG158" i="29"/>
  <c r="AD179" i="29"/>
  <c r="AE176" i="29"/>
  <c r="AV37" i="29"/>
  <c r="AI53" i="29"/>
  <c r="AH136" i="56"/>
  <c r="AI133" i="56"/>
  <c r="AH154" i="57"/>
  <c r="AI151" i="57"/>
  <c r="AG164" i="57"/>
  <c r="AH161" i="57"/>
  <c r="AI144" i="57"/>
  <c r="AJ141" i="57"/>
  <c r="AH146" i="56"/>
  <c r="AI143" i="56"/>
  <c r="AG156" i="56"/>
  <c r="AH153" i="56"/>
  <c r="AI168" i="29"/>
  <c r="AJ165" i="29"/>
  <c r="AK141" i="29"/>
  <c r="AJ148" i="29"/>
  <c r="AE175" i="57" l="1"/>
  <c r="AF172" i="57"/>
  <c r="AV37" i="56"/>
  <c r="AI53" i="56"/>
  <c r="AH161" i="56"/>
  <c r="AH163" i="56" s="1"/>
  <c r="AH164" i="56" s="1"/>
  <c r="AH167" i="56" s="1"/>
  <c r="AD193" i="29"/>
  <c r="AE186" i="29"/>
  <c r="AI155" i="29"/>
  <c r="AH158" i="29"/>
  <c r="AE179" i="29"/>
  <c r="AF176" i="29"/>
  <c r="AJ53" i="29"/>
  <c r="AW37" i="29"/>
  <c r="AJ144" i="57"/>
  <c r="AK141" i="57"/>
  <c r="AH164" i="57"/>
  <c r="AI161" i="57"/>
  <c r="AH156" i="56"/>
  <c r="AI153" i="56"/>
  <c r="AI154" i="57"/>
  <c r="AJ151" i="57"/>
  <c r="AI146" i="56"/>
  <c r="AJ143" i="56"/>
  <c r="AI136" i="56"/>
  <c r="AJ133" i="56"/>
  <c r="AJ168" i="29"/>
  <c r="AK165" i="29"/>
  <c r="AL141" i="29"/>
  <c r="AK148" i="29"/>
  <c r="AF175" i="57" l="1"/>
  <c r="AG172" i="57"/>
  <c r="AJ53" i="56"/>
  <c r="AI161" i="56"/>
  <c r="AI163" i="56" s="1"/>
  <c r="AI164" i="56" s="1"/>
  <c r="AI167" i="56" s="1"/>
  <c r="AW37" i="56"/>
  <c r="AE193" i="29"/>
  <c r="AF186" i="29"/>
  <c r="AJ155" i="29"/>
  <c r="AI158" i="29"/>
  <c r="AF179" i="29"/>
  <c r="AG176" i="29"/>
  <c r="AX37" i="29"/>
  <c r="AK53" i="29"/>
  <c r="AI156" i="56"/>
  <c r="AJ153" i="56"/>
  <c r="AJ154" i="57"/>
  <c r="AK151" i="57"/>
  <c r="AJ136" i="56"/>
  <c r="AK133" i="56"/>
  <c r="AJ146" i="56"/>
  <c r="AK143" i="56"/>
  <c r="AK144" i="57"/>
  <c r="AL141" i="57"/>
  <c r="AI164" i="57"/>
  <c r="AJ161" i="57"/>
  <c r="AK168" i="29"/>
  <c r="AL165" i="29"/>
  <c r="AM141" i="29"/>
  <c r="AL148" i="29"/>
  <c r="AG175" i="57" l="1"/>
  <c r="AH172" i="57"/>
  <c r="AX37" i="56"/>
  <c r="AK53" i="56"/>
  <c r="AJ161" i="56"/>
  <c r="AJ163" i="56" s="1"/>
  <c r="AJ164" i="56" s="1"/>
  <c r="AJ167" i="56" s="1"/>
  <c r="AF193" i="29"/>
  <c r="AG186" i="29"/>
  <c r="AK155" i="29"/>
  <c r="AJ158" i="29"/>
  <c r="AG179" i="29"/>
  <c r="AH176" i="29"/>
  <c r="AL53" i="29"/>
  <c r="AY37" i="29"/>
  <c r="AK136" i="56"/>
  <c r="AL133" i="56"/>
  <c r="AK146" i="56"/>
  <c r="AL143" i="56"/>
  <c r="AL144" i="57"/>
  <c r="AM141" i="57"/>
  <c r="AJ156" i="56"/>
  <c r="AK153" i="56"/>
  <c r="AJ164" i="57"/>
  <c r="AK161" i="57"/>
  <c r="AK154" i="57"/>
  <c r="AL151" i="57"/>
  <c r="AL168" i="29"/>
  <c r="AM165" i="29"/>
  <c r="AN141" i="29"/>
  <c r="AM148" i="29"/>
  <c r="AH175" i="57" l="1"/>
  <c r="AI172" i="57"/>
  <c r="AL53" i="56"/>
  <c r="AK161" i="56"/>
  <c r="AK163" i="56" s="1"/>
  <c r="AK164" i="56" s="1"/>
  <c r="AK167" i="56" s="1"/>
  <c r="AY37" i="56"/>
  <c r="AG193" i="29"/>
  <c r="AH186" i="29"/>
  <c r="AL155" i="29"/>
  <c r="AK158" i="29"/>
  <c r="AH179" i="29"/>
  <c r="AI176" i="29"/>
  <c r="AZ37" i="29"/>
  <c r="AM53" i="29"/>
  <c r="AK156" i="56"/>
  <c r="AL153" i="56"/>
  <c r="AM144" i="57"/>
  <c r="AN141" i="57"/>
  <c r="AL146" i="56"/>
  <c r="AM143" i="56"/>
  <c r="AK164" i="57"/>
  <c r="AL161" i="57"/>
  <c r="AL136" i="56"/>
  <c r="AM133" i="56"/>
  <c r="AL154" i="57"/>
  <c r="AM151" i="57"/>
  <c r="AM168" i="29"/>
  <c r="AN165" i="29"/>
  <c r="AO141" i="29"/>
  <c r="AN148" i="29"/>
  <c r="AI175" i="57" l="1"/>
  <c r="AJ172" i="57"/>
  <c r="AZ37" i="56"/>
  <c r="AM53" i="56"/>
  <c r="AL161" i="56"/>
  <c r="AL163" i="56" s="1"/>
  <c r="AL164" i="56" s="1"/>
  <c r="AL167" i="56" s="1"/>
  <c r="AH193" i="29"/>
  <c r="AI186" i="29"/>
  <c r="AL158" i="29"/>
  <c r="AM155" i="29"/>
  <c r="AI179" i="29"/>
  <c r="AJ176" i="29"/>
  <c r="AN53" i="29"/>
  <c r="BA37" i="29"/>
  <c r="AL164" i="57"/>
  <c r="AM161" i="57"/>
  <c r="AN144" i="57"/>
  <c r="AO141" i="57"/>
  <c r="AM136" i="56"/>
  <c r="AN133" i="56"/>
  <c r="AL156" i="56"/>
  <c r="AM153" i="56"/>
  <c r="AM146" i="56"/>
  <c r="AN143" i="56"/>
  <c r="AM154" i="57"/>
  <c r="AN151" i="57"/>
  <c r="AN168" i="29"/>
  <c r="AO165" i="29"/>
  <c r="AP141" i="29"/>
  <c r="AO148" i="29"/>
  <c r="AJ175" i="57" l="1"/>
  <c r="AK172" i="57"/>
  <c r="AN53" i="56"/>
  <c r="AM161" i="56"/>
  <c r="AM163" i="56" s="1"/>
  <c r="AM164" i="56" s="1"/>
  <c r="AM167" i="56" s="1"/>
  <c r="BA37" i="56"/>
  <c r="AI193" i="29"/>
  <c r="AJ186" i="29"/>
  <c r="AN155" i="29"/>
  <c r="AM158" i="29"/>
  <c r="AJ179" i="29"/>
  <c r="AK176" i="29"/>
  <c r="BB37" i="29"/>
  <c r="AO53" i="29"/>
  <c r="AM156" i="56"/>
  <c r="AN153" i="56"/>
  <c r="AO144" i="57"/>
  <c r="AP141" i="57"/>
  <c r="AN146" i="56"/>
  <c r="AO143" i="56"/>
  <c r="AM164" i="57"/>
  <c r="AN161" i="57"/>
  <c r="AN136" i="56"/>
  <c r="AO133" i="56"/>
  <c r="AN154" i="57"/>
  <c r="AO151" i="57"/>
  <c r="AO168" i="29"/>
  <c r="AP165" i="29"/>
  <c r="AQ141" i="29"/>
  <c r="AP148" i="29"/>
  <c r="AK175" i="57" l="1"/>
  <c r="AL172" i="57"/>
  <c r="BB37" i="56"/>
  <c r="AO53" i="56"/>
  <c r="AN161" i="56"/>
  <c r="AN163" i="56" s="1"/>
  <c r="AN164" i="56" s="1"/>
  <c r="AN167" i="56" s="1"/>
  <c r="AJ193" i="29"/>
  <c r="AK186" i="29"/>
  <c r="AO155" i="29"/>
  <c r="AN158" i="29"/>
  <c r="AK179" i="29"/>
  <c r="AL176" i="29"/>
  <c r="AP53" i="29"/>
  <c r="AN164" i="57"/>
  <c r="AO161" i="57"/>
  <c r="AO146" i="56"/>
  <c r="AP143" i="56"/>
  <c r="AN156" i="56"/>
  <c r="AO153" i="56"/>
  <c r="AO154" i="57"/>
  <c r="AP151" i="57"/>
  <c r="AP144" i="57"/>
  <c r="AQ141" i="57"/>
  <c r="AO136" i="56"/>
  <c r="AP133" i="56"/>
  <c r="AP168" i="29"/>
  <c r="AQ165" i="29"/>
  <c r="AR141" i="29"/>
  <c r="AQ148" i="29"/>
  <c r="AL175" i="57" l="1"/>
  <c r="AM172" i="57"/>
  <c r="AP53" i="56"/>
  <c r="AO161" i="56"/>
  <c r="AO163" i="56" s="1"/>
  <c r="AO164" i="56" s="1"/>
  <c r="AO167" i="56" s="1"/>
  <c r="AK193" i="29"/>
  <c r="AL186" i="29"/>
  <c r="AO158" i="29"/>
  <c r="AP155" i="29"/>
  <c r="AL179" i="29"/>
  <c r="AM176" i="29"/>
  <c r="AQ53" i="29"/>
  <c r="AP154" i="57"/>
  <c r="AQ151" i="57"/>
  <c r="AO156" i="56"/>
  <c r="AP153" i="56"/>
  <c r="AP136" i="56"/>
  <c r="AQ133" i="56"/>
  <c r="AO164" i="57"/>
  <c r="AP161" i="57"/>
  <c r="AP146" i="56"/>
  <c r="AQ143" i="56"/>
  <c r="AQ144" i="57"/>
  <c r="AR141" i="57"/>
  <c r="AQ168" i="29"/>
  <c r="AR165" i="29"/>
  <c r="AS141" i="29"/>
  <c r="AR148" i="29"/>
  <c r="AM175" i="57" l="1"/>
  <c r="AN172" i="57"/>
  <c r="AQ53" i="56"/>
  <c r="AP161" i="56"/>
  <c r="AP163" i="56" s="1"/>
  <c r="AP164" i="56" s="1"/>
  <c r="AP167" i="56" s="1"/>
  <c r="AL193" i="29"/>
  <c r="AM186" i="29"/>
  <c r="AQ155" i="29"/>
  <c r="AP158" i="29"/>
  <c r="AM179" i="29"/>
  <c r="AN176" i="29"/>
  <c r="AR53" i="29"/>
  <c r="AP164" i="57"/>
  <c r="AQ161" i="57"/>
  <c r="AP156" i="56"/>
  <c r="AQ153" i="56"/>
  <c r="AQ146" i="56"/>
  <c r="AR143" i="56"/>
  <c r="AQ154" i="57"/>
  <c r="AR151" i="57"/>
  <c r="AQ136" i="56"/>
  <c r="AR133" i="56"/>
  <c r="AR144" i="57"/>
  <c r="AS141" i="57"/>
  <c r="AR168" i="29"/>
  <c r="AS165" i="29"/>
  <c r="AT141" i="29"/>
  <c r="AS148" i="29"/>
  <c r="AN175" i="57" l="1"/>
  <c r="AO172" i="57"/>
  <c r="AR53" i="56"/>
  <c r="AQ161" i="56"/>
  <c r="AQ163" i="56" s="1"/>
  <c r="AQ164" i="56" s="1"/>
  <c r="AQ167" i="56" s="1"/>
  <c r="AM193" i="29"/>
  <c r="AN186" i="29"/>
  <c r="AR155" i="29"/>
  <c r="AQ158" i="29"/>
  <c r="AN179" i="29"/>
  <c r="AO176" i="29"/>
  <c r="AS53" i="29"/>
  <c r="AR154" i="57"/>
  <c r="AS151" i="57"/>
  <c r="AQ156" i="56"/>
  <c r="AR153" i="56"/>
  <c r="AR136" i="56"/>
  <c r="AS133" i="56"/>
  <c r="AQ164" i="57"/>
  <c r="AR161" i="57"/>
  <c r="AR146" i="56"/>
  <c r="AS143" i="56"/>
  <c r="AS144" i="57"/>
  <c r="AT141" i="57"/>
  <c r="AS168" i="29"/>
  <c r="AT165" i="29"/>
  <c r="AU141" i="29"/>
  <c r="AT148" i="29"/>
  <c r="AO175" i="57" l="1"/>
  <c r="AP172" i="57"/>
  <c r="AS53" i="56"/>
  <c r="AR161" i="56"/>
  <c r="AR163" i="56" s="1"/>
  <c r="AR164" i="56" s="1"/>
  <c r="AR167" i="56" s="1"/>
  <c r="AN193" i="29"/>
  <c r="AO186" i="29"/>
  <c r="AR158" i="29"/>
  <c r="AS155" i="29"/>
  <c r="AO179" i="29"/>
  <c r="AP176" i="29"/>
  <c r="AT53" i="29"/>
  <c r="AS136" i="56"/>
  <c r="AT133" i="56"/>
  <c r="AR164" i="57"/>
  <c r="AS161" i="57"/>
  <c r="AR156" i="56"/>
  <c r="AS153" i="56"/>
  <c r="AS146" i="56"/>
  <c r="AT143" i="56"/>
  <c r="AS154" i="57"/>
  <c r="AT151" i="57"/>
  <c r="AT144" i="57"/>
  <c r="AU141" i="57"/>
  <c r="AT168" i="29"/>
  <c r="AU165" i="29"/>
  <c r="AV141" i="29"/>
  <c r="AU148" i="29"/>
  <c r="AP175" i="57" l="1"/>
  <c r="AQ172" i="57"/>
  <c r="AT53" i="56"/>
  <c r="AS161" i="56"/>
  <c r="AS163" i="56" s="1"/>
  <c r="AS164" i="56" s="1"/>
  <c r="AS167" i="56" s="1"/>
  <c r="AO193" i="29"/>
  <c r="AP186" i="29"/>
  <c r="AS158" i="29"/>
  <c r="AT155" i="29"/>
  <c r="AP179" i="29"/>
  <c r="AQ176" i="29"/>
  <c r="AU53" i="29"/>
  <c r="AS156" i="56"/>
  <c r="AT153" i="56"/>
  <c r="AT146" i="56"/>
  <c r="AU143" i="56"/>
  <c r="AT154" i="57"/>
  <c r="AU151" i="57"/>
  <c r="AT136" i="56"/>
  <c r="AU133" i="56"/>
  <c r="AU144" i="57"/>
  <c r="AV141" i="57"/>
  <c r="AS164" i="57"/>
  <c r="AT161" i="57"/>
  <c r="AU168" i="29"/>
  <c r="AV165" i="29"/>
  <c r="AW141" i="29"/>
  <c r="AV148" i="29"/>
  <c r="AQ175" i="57" l="1"/>
  <c r="AR172" i="57"/>
  <c r="AU53" i="56"/>
  <c r="AT161" i="56"/>
  <c r="AT163" i="56" s="1"/>
  <c r="AT164" i="56" s="1"/>
  <c r="AT167" i="56" s="1"/>
  <c r="AP193" i="29"/>
  <c r="AQ186" i="29"/>
  <c r="AT158" i="29"/>
  <c r="AU155" i="29"/>
  <c r="AQ179" i="29"/>
  <c r="AR176" i="29"/>
  <c r="AV53" i="29"/>
  <c r="AU136" i="56"/>
  <c r="AV133" i="56"/>
  <c r="AU146" i="56"/>
  <c r="AV143" i="56"/>
  <c r="AV144" i="57"/>
  <c r="AW141" i="57"/>
  <c r="AT156" i="56"/>
  <c r="AU153" i="56"/>
  <c r="AU154" i="57"/>
  <c r="AV151" i="57"/>
  <c r="AT164" i="57"/>
  <c r="AU161" i="57"/>
  <c r="AV168" i="29"/>
  <c r="AW165" i="29"/>
  <c r="AX141" i="29"/>
  <c r="AW148" i="29"/>
  <c r="AR175" i="57" l="1"/>
  <c r="AS172" i="57"/>
  <c r="AV53" i="56"/>
  <c r="AU161" i="56"/>
  <c r="AU163" i="56" s="1"/>
  <c r="AU164" i="56" s="1"/>
  <c r="AU167" i="56" s="1"/>
  <c r="AQ193" i="29"/>
  <c r="AR186" i="29"/>
  <c r="AU158" i="29"/>
  <c r="AV155" i="29"/>
  <c r="AR179" i="29"/>
  <c r="AS176" i="29"/>
  <c r="AW53" i="29"/>
  <c r="AW144" i="57"/>
  <c r="AX141" i="57"/>
  <c r="AU156" i="56"/>
  <c r="AV153" i="56"/>
  <c r="AV146" i="56"/>
  <c r="AW143" i="56"/>
  <c r="AV154" i="57"/>
  <c r="AW151" i="57"/>
  <c r="AV136" i="56"/>
  <c r="AW133" i="56"/>
  <c r="AU164" i="57"/>
  <c r="AV161" i="57"/>
  <c r="AW168" i="29"/>
  <c r="AX165" i="29"/>
  <c r="AY141" i="29"/>
  <c r="AX148" i="29"/>
  <c r="AS175" i="57" l="1"/>
  <c r="AT172" i="57"/>
  <c r="AW53" i="56"/>
  <c r="AV161" i="56"/>
  <c r="AV163" i="56" s="1"/>
  <c r="AV164" i="56" s="1"/>
  <c r="AV167" i="56" s="1"/>
  <c r="AR193" i="29"/>
  <c r="AS186" i="29"/>
  <c r="AV158" i="29"/>
  <c r="AW155" i="29"/>
  <c r="AS179" i="29"/>
  <c r="AT176" i="29"/>
  <c r="AX53" i="29"/>
  <c r="AW154" i="57"/>
  <c r="AX151" i="57"/>
  <c r="AW146" i="56"/>
  <c r="AX143" i="56"/>
  <c r="AV164" i="57"/>
  <c r="AW161" i="57"/>
  <c r="AW136" i="56"/>
  <c r="AX133" i="56"/>
  <c r="AX144" i="57"/>
  <c r="AY141" i="57"/>
  <c r="AV156" i="56"/>
  <c r="AW153" i="56"/>
  <c r="AX168" i="29"/>
  <c r="AY165" i="29"/>
  <c r="AZ141" i="29"/>
  <c r="AY148" i="29"/>
  <c r="AT175" i="57" l="1"/>
  <c r="AU172" i="57"/>
  <c r="AX53" i="56"/>
  <c r="AW161" i="56"/>
  <c r="AW163" i="56" s="1"/>
  <c r="AW164" i="56" s="1"/>
  <c r="AW167" i="56" s="1"/>
  <c r="AS193" i="29"/>
  <c r="AT186" i="29"/>
  <c r="AX155" i="29"/>
  <c r="AW158" i="29"/>
  <c r="AT179" i="29"/>
  <c r="AU176" i="29"/>
  <c r="AY53" i="29"/>
  <c r="AX136" i="56"/>
  <c r="AY133" i="56"/>
  <c r="AW164" i="57"/>
  <c r="AX161" i="57"/>
  <c r="AX154" i="57"/>
  <c r="AY151" i="57"/>
  <c r="AW156" i="56"/>
  <c r="AX153" i="56"/>
  <c r="AX146" i="56"/>
  <c r="AY143" i="56"/>
  <c r="AY144" i="57"/>
  <c r="AZ141" i="57"/>
  <c r="AY168" i="29"/>
  <c r="AZ165" i="29"/>
  <c r="BA141" i="29"/>
  <c r="AZ148" i="29"/>
  <c r="AU175" i="57" l="1"/>
  <c r="AV172" i="57"/>
  <c r="AY53" i="56"/>
  <c r="AX161" i="56"/>
  <c r="AX163" i="56" s="1"/>
  <c r="AX164" i="56" s="1"/>
  <c r="AX167" i="56" s="1"/>
  <c r="AT193" i="29"/>
  <c r="AU186" i="29"/>
  <c r="AX158" i="29"/>
  <c r="AY155" i="29"/>
  <c r="AU179" i="29"/>
  <c r="AV176" i="29"/>
  <c r="AZ53" i="29"/>
  <c r="AX156" i="56"/>
  <c r="AY153" i="56"/>
  <c r="AX164" i="57"/>
  <c r="AY161" i="57"/>
  <c r="AY146" i="56"/>
  <c r="AZ143" i="56"/>
  <c r="AY136" i="56"/>
  <c r="AZ133" i="56"/>
  <c r="AY154" i="57"/>
  <c r="AZ151" i="57"/>
  <c r="AZ144" i="57"/>
  <c r="BA141" i="57"/>
  <c r="AZ168" i="29"/>
  <c r="BA165" i="29"/>
  <c r="BB141" i="29"/>
  <c r="BB148" i="29" s="1"/>
  <c r="BA148" i="29"/>
  <c r="AV175" i="57" l="1"/>
  <c r="AW172" i="57"/>
  <c r="AZ53" i="56"/>
  <c r="AY161" i="56"/>
  <c r="AY163" i="56" s="1"/>
  <c r="AY164" i="56" s="1"/>
  <c r="AY167" i="56" s="1"/>
  <c r="AU193" i="29"/>
  <c r="AV186" i="29"/>
  <c r="AZ155" i="29"/>
  <c r="AY158" i="29"/>
  <c r="AV179" i="29"/>
  <c r="AW176" i="29"/>
  <c r="BA53" i="29"/>
  <c r="AZ136" i="56"/>
  <c r="BA133" i="56"/>
  <c r="AZ146" i="56"/>
  <c r="BA143" i="56"/>
  <c r="AY164" i="57"/>
  <c r="AZ161" i="57"/>
  <c r="AZ154" i="57"/>
  <c r="BA151" i="57"/>
  <c r="AY156" i="56"/>
  <c r="AZ153" i="56"/>
  <c r="BA144" i="57"/>
  <c r="BB141" i="57"/>
  <c r="BB144" i="57" s="1"/>
  <c r="BA168" i="29"/>
  <c r="BB165" i="29"/>
  <c r="BB168" i="29" s="1"/>
  <c r="AW175" i="57" l="1"/>
  <c r="AX172" i="57"/>
  <c r="BA53" i="56"/>
  <c r="AZ161" i="56"/>
  <c r="AZ163" i="56" s="1"/>
  <c r="AZ164" i="56" s="1"/>
  <c r="AZ167" i="56" s="1"/>
  <c r="AV193" i="29"/>
  <c r="AW186" i="29"/>
  <c r="AZ158" i="29"/>
  <c r="BA155" i="29"/>
  <c r="AW179" i="29"/>
  <c r="AX176" i="29"/>
  <c r="BB53" i="29"/>
  <c r="AZ164" i="57"/>
  <c r="BA161" i="57"/>
  <c r="BA154" i="57"/>
  <c r="BB151" i="57"/>
  <c r="BB154" i="57" s="1"/>
  <c r="BA146" i="56"/>
  <c r="BB143" i="56"/>
  <c r="BB146" i="56" s="1"/>
  <c r="BA136" i="56"/>
  <c r="BB133" i="56"/>
  <c r="BB136" i="56" s="1"/>
  <c r="AZ156" i="56"/>
  <c r="BA153" i="56"/>
  <c r="AX175" i="57" l="1"/>
  <c r="AY172" i="57"/>
  <c r="BB53" i="56"/>
  <c r="BB161" i="56" s="1"/>
  <c r="BB163" i="56" s="1"/>
  <c r="BA161" i="56"/>
  <c r="BA163" i="56" s="1"/>
  <c r="BA164" i="56" s="1"/>
  <c r="BA167" i="56" s="1"/>
  <c r="AW193" i="29"/>
  <c r="AX186" i="29"/>
  <c r="BA158" i="29"/>
  <c r="BB155" i="29"/>
  <c r="BB158" i="29" s="1"/>
  <c r="AX179" i="29"/>
  <c r="AY176" i="29"/>
  <c r="BA156" i="56"/>
  <c r="BB153" i="56"/>
  <c r="BB156" i="56" s="1"/>
  <c r="BA164" i="57"/>
  <c r="BB161" i="57"/>
  <c r="BB164" i="57" s="1"/>
  <c r="AY175" i="57" l="1"/>
  <c r="AZ172" i="57"/>
  <c r="BB164" i="56"/>
  <c r="BB167" i="56" s="1"/>
  <c r="D165" i="56"/>
  <c r="AX193" i="29"/>
  <c r="AY186" i="29"/>
  <c r="AY179" i="29"/>
  <c r="AZ176" i="29"/>
  <c r="AZ175" i="57" l="1"/>
  <c r="BA172" i="57"/>
  <c r="AY193" i="29"/>
  <c r="AZ186" i="29"/>
  <c r="AZ179" i="29"/>
  <c r="BA176" i="29"/>
  <c r="BA175" i="57" l="1"/>
  <c r="BB172" i="57"/>
  <c r="BB175" i="57" s="1"/>
  <c r="AZ193" i="29"/>
  <c r="BA186" i="29"/>
  <c r="BA179" i="29"/>
  <c r="BB176" i="29"/>
  <c r="BB179" i="29" s="1"/>
  <c r="BA193" i="29" l="1"/>
  <c r="BB186" i="29"/>
  <c r="BB193" i="29" s="1"/>
  <c r="B61" i="40"/>
  <c r="B64" i="40" s="1"/>
  <c r="B66" i="40" s="1"/>
  <c r="L37" i="40"/>
  <c r="L51" i="40" s="1"/>
  <c r="B5" i="60"/>
  <c r="B7" i="60" s="1"/>
  <c r="D5" i="58" l="1"/>
  <c r="E5" i="58" s="1"/>
  <c r="K5" i="58" s="1"/>
  <c r="D7" i="58"/>
  <c r="E7" i="58" s="1"/>
  <c r="K7" i="58" s="1"/>
  <c r="G5" i="58"/>
  <c r="H5" i="58" s="1"/>
  <c r="D9" i="58"/>
  <c r="E9" i="58" s="1"/>
  <c r="K9" i="58" s="1"/>
  <c r="D11" i="58"/>
  <c r="E11" i="58" s="1"/>
  <c r="K11" i="58" s="1"/>
  <c r="D7" i="60"/>
  <c r="C7" i="60"/>
  <c r="G10" i="58"/>
  <c r="H10" i="58" s="1"/>
  <c r="F7" i="60"/>
  <c r="E7" i="60"/>
  <c r="D2" i="58"/>
  <c r="D4" i="58"/>
  <c r="E4" i="58" s="1"/>
  <c r="K4" i="58" s="1"/>
  <c r="G11" i="58"/>
  <c r="H11" i="58" s="1"/>
  <c r="G8" i="58"/>
  <c r="H8" i="58" s="1"/>
  <c r="G9" i="58"/>
  <c r="H9" i="58" s="1"/>
  <c r="G7" i="58"/>
  <c r="H7" i="58" s="1"/>
  <c r="G6" i="58"/>
  <c r="H6" i="58" s="1"/>
  <c r="D3" i="58"/>
  <c r="E3" i="58" s="1"/>
  <c r="K3" i="58" s="1"/>
  <c r="D6" i="58"/>
  <c r="E6" i="58" s="1"/>
  <c r="K6" i="58" s="1"/>
  <c r="B8" i="60"/>
  <c r="D8" i="60" s="1"/>
  <c r="D10" i="58"/>
  <c r="E10" i="58" s="1"/>
  <c r="K10" i="58" s="1"/>
  <c r="D8" i="58"/>
  <c r="E8" i="58" s="1"/>
  <c r="K8" i="58" s="1"/>
  <c r="B70" i="40"/>
  <c r="B71" i="40" s="1"/>
  <c r="F70" i="40"/>
  <c r="B76" i="40"/>
  <c r="B77" i="40" s="1"/>
  <c r="B78" i="40" s="1"/>
  <c r="B81" i="40" s="1"/>
  <c r="B82" i="40" s="1"/>
  <c r="B83" i="40" s="1"/>
  <c r="B99" i="22"/>
  <c r="D13" i="58"/>
  <c r="C20" i="47"/>
  <c r="M37" i="40"/>
  <c r="H20" i="58"/>
  <c r="L20" i="58" s="1"/>
  <c r="O20" i="58" s="1"/>
  <c r="D5" i="60"/>
  <c r="H19" i="58"/>
  <c r="L19" i="58" s="1"/>
  <c r="O19" i="58" s="1"/>
  <c r="C5" i="60"/>
  <c r="H16" i="58"/>
  <c r="L16" i="58" s="1"/>
  <c r="O16" i="58" s="1"/>
  <c r="H17" i="58"/>
  <c r="L17" i="58" s="1"/>
  <c r="O17" i="58" s="1"/>
  <c r="D12" i="58"/>
  <c r="E5" i="60"/>
  <c r="L52" i="40"/>
  <c r="G53" i="40" s="1"/>
  <c r="G55" i="40" s="1"/>
  <c r="H18" i="58"/>
  <c r="L18" i="58" s="1"/>
  <c r="O18" i="58" s="1"/>
  <c r="H21" i="58"/>
  <c r="L21" i="58" s="1"/>
  <c r="O21" i="58" s="1"/>
  <c r="L11" i="58" l="1"/>
  <c r="O11" i="58" s="1"/>
  <c r="H35" i="58"/>
  <c r="L35" i="58" s="1"/>
  <c r="O35" i="58" s="1"/>
  <c r="H28" i="58"/>
  <c r="L28" i="58" s="1"/>
  <c r="O28" i="58" s="1"/>
  <c r="L10" i="58"/>
  <c r="O10" i="58" s="1"/>
  <c r="H34" i="58"/>
  <c r="L34" i="58" s="1"/>
  <c r="O34" i="58" s="1"/>
  <c r="H27" i="58"/>
  <c r="L27" i="58" s="1"/>
  <c r="O27" i="58" s="1"/>
  <c r="L8" i="58"/>
  <c r="O8" i="58" s="1"/>
  <c r="H25" i="58"/>
  <c r="L25" i="58" s="1"/>
  <c r="O25" i="58" s="1"/>
  <c r="H32" i="58"/>
  <c r="L32" i="58" s="1"/>
  <c r="O32" i="58" s="1"/>
  <c r="D71" i="40"/>
  <c r="B72" i="40"/>
  <c r="H26" i="58"/>
  <c r="L26" i="58" s="1"/>
  <c r="O26" i="58" s="1"/>
  <c r="L9" i="58"/>
  <c r="O9" i="58" s="1"/>
  <c r="H33" i="58"/>
  <c r="L33" i="58" s="1"/>
  <c r="O33" i="58" s="1"/>
  <c r="D27" i="58"/>
  <c r="E27" i="58" s="1"/>
  <c r="K27" i="58" s="1"/>
  <c r="D15" i="58"/>
  <c r="E15" i="58" s="1"/>
  <c r="K15" i="58" s="1"/>
  <c r="D19" i="58"/>
  <c r="E19" i="58" s="1"/>
  <c r="K19" i="58" s="1"/>
  <c r="D17" i="58"/>
  <c r="E17" i="58" s="1"/>
  <c r="K17" i="58" s="1"/>
  <c r="D33" i="58"/>
  <c r="E33" i="58" s="1"/>
  <c r="K33" i="58" s="1"/>
  <c r="D32" i="58"/>
  <c r="E32" i="58" s="1"/>
  <c r="K32" i="58" s="1"/>
  <c r="D20" i="58"/>
  <c r="E20" i="58" s="1"/>
  <c r="K20" i="58" s="1"/>
  <c r="D16" i="58"/>
  <c r="E16" i="58" s="1"/>
  <c r="K16" i="58" s="1"/>
  <c r="D31" i="58"/>
  <c r="E31" i="58" s="1"/>
  <c r="K31" i="58" s="1"/>
  <c r="D23" i="58"/>
  <c r="E23" i="58" s="1"/>
  <c r="K23" i="58" s="1"/>
  <c r="D28" i="58"/>
  <c r="E28" i="58" s="1"/>
  <c r="K28" i="58" s="1"/>
  <c r="D25" i="58"/>
  <c r="E25" i="58" s="1"/>
  <c r="K25" i="58" s="1"/>
  <c r="D24" i="58"/>
  <c r="E24" i="58" s="1"/>
  <c r="K24" i="58" s="1"/>
  <c r="E2" i="58"/>
  <c r="K2" i="58" s="1"/>
  <c r="D26" i="58"/>
  <c r="E26" i="58" s="1"/>
  <c r="K26" i="58" s="1"/>
  <c r="D30" i="58"/>
  <c r="E30" i="58" s="1"/>
  <c r="K30" i="58" s="1"/>
  <c r="D21" i="58"/>
  <c r="E21" i="58" s="1"/>
  <c r="K21" i="58" s="1"/>
  <c r="D35" i="58"/>
  <c r="E35" i="58" s="1"/>
  <c r="K35" i="58" s="1"/>
  <c r="D34" i="58"/>
  <c r="E34" i="58" s="1"/>
  <c r="K34" i="58" s="1"/>
  <c r="D22" i="58"/>
  <c r="E22" i="58" s="1"/>
  <c r="K22" i="58" s="1"/>
  <c r="D18" i="58"/>
  <c r="E18" i="58" s="1"/>
  <c r="K18" i="58" s="1"/>
  <c r="D29" i="58"/>
  <c r="E29" i="58" s="1"/>
  <c r="K29" i="58" s="1"/>
  <c r="D14" i="58"/>
  <c r="E14" i="58" s="1"/>
  <c r="K14" i="58" s="1"/>
  <c r="G2" i="58"/>
  <c r="G4" i="58"/>
  <c r="H4" i="58" s="1"/>
  <c r="L4" i="58" s="1"/>
  <c r="O4" i="58" s="1"/>
  <c r="H15" i="58"/>
  <c r="L15" i="58" s="1"/>
  <c r="O15" i="58" s="1"/>
  <c r="G3" i="58"/>
  <c r="H3" i="58" s="1"/>
  <c r="L3" i="58" s="1"/>
  <c r="O3" i="58" s="1"/>
  <c r="H14" i="58"/>
  <c r="L14" i="58" s="1"/>
  <c r="O14" i="58" s="1"/>
  <c r="H7" i="60"/>
  <c r="I7" i="60"/>
  <c r="G7" i="60"/>
  <c r="F8" i="60"/>
  <c r="H31" i="58"/>
  <c r="L31" i="58" s="1"/>
  <c r="O31" i="58" s="1"/>
  <c r="H24" i="58"/>
  <c r="L24" i="58" s="1"/>
  <c r="O24" i="58" s="1"/>
  <c r="L7" i="58"/>
  <c r="O7" i="58" s="1"/>
  <c r="G13" i="58"/>
  <c r="H13" i="58" s="1"/>
  <c r="L13" i="58" s="1"/>
  <c r="O13" i="58" s="1"/>
  <c r="E13" i="58"/>
  <c r="K13" i="58" s="1"/>
  <c r="E12" i="58"/>
  <c r="K12" i="58" s="1"/>
  <c r="G12" i="58"/>
  <c r="H12" i="58" s="1"/>
  <c r="L12" i="58" s="1"/>
  <c r="C8" i="47"/>
  <c r="M52" i="40"/>
  <c r="J53" i="40" s="1"/>
  <c r="J55" i="40" s="1"/>
  <c r="E8" i="60"/>
  <c r="C23" i="47"/>
  <c r="E20" i="47"/>
  <c r="E23" i="47" s="1"/>
  <c r="H22" i="58"/>
  <c r="L22" i="58" s="1"/>
  <c r="O22" i="58" s="1"/>
  <c r="L5" i="58"/>
  <c r="O5" i="58" s="1"/>
  <c r="H29" i="58"/>
  <c r="L29" i="58" s="1"/>
  <c r="O29" i="58" s="1"/>
  <c r="C8" i="60"/>
  <c r="H30" i="58"/>
  <c r="L30" i="58" s="1"/>
  <c r="O30" i="58" s="1"/>
  <c r="H23" i="58"/>
  <c r="L23" i="58" s="1"/>
  <c r="O23" i="58" s="1"/>
  <c r="L6" i="58"/>
  <c r="O6" i="58" s="1"/>
  <c r="E8" i="47" l="1"/>
  <c r="E11" i="47" s="1"/>
  <c r="C11" i="47"/>
  <c r="H8" i="60"/>
  <c r="I8" i="60"/>
  <c r="G8" i="60"/>
  <c r="G31" i="58"/>
  <c r="G34" i="58"/>
  <c r="G35" i="58"/>
  <c r="G30" i="58"/>
  <c r="H2" i="58"/>
  <c r="L2" i="58" s="1"/>
  <c r="O2" i="58" s="1"/>
  <c r="G27" i="58"/>
  <c r="G22" i="58"/>
  <c r="G21" i="58"/>
  <c r="G29" i="58"/>
  <c r="G17" i="58"/>
  <c r="G20" i="58"/>
  <c r="G26" i="58"/>
  <c r="G28" i="58"/>
  <c r="G32" i="58"/>
  <c r="G25" i="58"/>
  <c r="G15" i="58"/>
  <c r="G33" i="58"/>
  <c r="G19" i="58"/>
  <c r="G23" i="58"/>
  <c r="G16" i="58"/>
  <c r="G24" i="58"/>
  <c r="G14" i="58"/>
  <c r="G18"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0" authorId="0" shapeId="0" xr:uid="{00000000-0006-0000-0000-000001000000}">
      <text>
        <r>
          <rPr>
            <b/>
            <sz val="9"/>
            <color indexed="81"/>
            <rFont val="Tahoma"/>
            <charset val="1"/>
          </rPr>
          <t>Author:</t>
        </r>
        <r>
          <rPr>
            <sz val="9"/>
            <color indexed="81"/>
            <rFont val="Tahoma"/>
            <charset val="1"/>
          </rPr>
          <t xml:space="preserve">
In this case, there is not enough space on the flat roof to install all the required mirrors to cover the total DHW demand. 
We can install half the mirror area compared to the other cases which would cover half the DHW demand.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1300-000001000000}">
      <text>
        <r>
          <rPr>
            <b/>
            <sz val="9"/>
            <color indexed="81"/>
            <rFont val="Tahoma"/>
            <family val="2"/>
          </rPr>
          <t>Author:</t>
        </r>
        <r>
          <rPr>
            <sz val="9"/>
            <color indexed="81"/>
            <rFont val="Tahoma"/>
            <family val="2"/>
          </rPr>
          <t xml:space="preserve">
Not included in bld file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1400-000001000000}">
      <text>
        <r>
          <rPr>
            <b/>
            <sz val="9"/>
            <color indexed="81"/>
            <rFont val="Tahoma"/>
            <family val="2"/>
          </rPr>
          <t>Author:</t>
        </r>
        <r>
          <rPr>
            <sz val="9"/>
            <color indexed="81"/>
            <rFont val="Tahoma"/>
            <family val="2"/>
          </rPr>
          <t xml:space="preserve">
Not included in bld file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1500-000001000000}">
      <text>
        <r>
          <rPr>
            <b/>
            <sz val="9"/>
            <color indexed="81"/>
            <rFont val="Tahoma"/>
            <family val="2"/>
          </rPr>
          <t>Author:</t>
        </r>
        <r>
          <rPr>
            <sz val="9"/>
            <color indexed="81"/>
            <rFont val="Tahoma"/>
            <family val="2"/>
          </rPr>
          <t xml:space="preserve">
Not included in bld file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6" authorId="0" shapeId="0" xr:uid="{00000000-0006-0000-1800-000001000000}">
      <text>
        <r>
          <rPr>
            <b/>
            <sz val="9"/>
            <color indexed="81"/>
            <rFont val="Tahoma"/>
            <family val="2"/>
          </rPr>
          <t>Author:</t>
        </r>
        <r>
          <rPr>
            <sz val="9"/>
            <color indexed="81"/>
            <rFont val="Tahoma"/>
            <family val="2"/>
          </rPr>
          <t xml:space="preserve">
Need to run a dedicated NPV for -20% OPE and +20% OPE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9" authorId="0" shapeId="0" xr:uid="{00000000-0006-0000-0100-000001000000}">
      <text>
        <r>
          <rPr>
            <b/>
            <sz val="9"/>
            <color indexed="81"/>
            <rFont val="Tahoma"/>
            <family val="2"/>
          </rPr>
          <t>Author:</t>
        </r>
        <r>
          <rPr>
            <sz val="9"/>
            <color indexed="81"/>
            <rFont val="Tahoma"/>
            <family val="2"/>
          </rPr>
          <t xml:space="preserve">
the capex is the price of EPS minus zero as we compare it with no insulation at all</t>
        </r>
      </text>
    </comment>
    <comment ref="A127" authorId="0" shapeId="0" xr:uid="{00000000-0006-0000-0100-000002000000}">
      <text>
        <r>
          <rPr>
            <b/>
            <sz val="9"/>
            <color indexed="81"/>
            <rFont val="Tahoma"/>
            <family val="2"/>
          </rPr>
          <t>Author:</t>
        </r>
        <r>
          <rPr>
            <sz val="9"/>
            <color indexed="81"/>
            <rFont val="Tahoma"/>
            <family val="2"/>
          </rPr>
          <t xml:space="preserve">
Excluding its insulation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9" authorId="0" shapeId="0" xr:uid="{00000000-0006-0000-0200-000001000000}">
      <text>
        <r>
          <rPr>
            <b/>
            <sz val="9"/>
            <color indexed="81"/>
            <rFont val="Tahoma"/>
            <family val="2"/>
          </rPr>
          <t>Author:</t>
        </r>
        <r>
          <rPr>
            <sz val="9"/>
            <color indexed="81"/>
            <rFont val="Tahoma"/>
            <family val="2"/>
          </rPr>
          <t xml:space="preserve">
the capex is the price of EPS minus zero as we compare it with no insulation at all</t>
        </r>
      </text>
    </comment>
    <comment ref="A119" authorId="0" shapeId="0" xr:uid="{00000000-0006-0000-0200-000002000000}">
      <text>
        <r>
          <rPr>
            <b/>
            <sz val="9"/>
            <color indexed="81"/>
            <rFont val="Tahoma"/>
            <family val="2"/>
          </rPr>
          <t>Author:</t>
        </r>
        <r>
          <rPr>
            <sz val="9"/>
            <color indexed="81"/>
            <rFont val="Tahoma"/>
            <family val="2"/>
          </rPr>
          <t xml:space="preserve">
Excluding its insulation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9" authorId="0" shapeId="0" xr:uid="{00000000-0006-0000-0300-000001000000}">
      <text>
        <r>
          <rPr>
            <b/>
            <sz val="9"/>
            <color indexed="81"/>
            <rFont val="Tahoma"/>
            <family val="2"/>
          </rPr>
          <t>Author:</t>
        </r>
        <r>
          <rPr>
            <sz val="9"/>
            <color indexed="81"/>
            <rFont val="Tahoma"/>
            <family val="2"/>
          </rPr>
          <t xml:space="preserve">
the capex is the price of EPS minus zero as we compare it with no insulation at all</t>
        </r>
      </text>
    </comment>
    <comment ref="A127" authorId="0" shapeId="0" xr:uid="{00000000-0006-0000-0300-000002000000}">
      <text>
        <r>
          <rPr>
            <b/>
            <sz val="9"/>
            <color indexed="81"/>
            <rFont val="Tahoma"/>
            <family val="2"/>
          </rPr>
          <t>Author:</t>
        </r>
        <r>
          <rPr>
            <sz val="9"/>
            <color indexed="81"/>
            <rFont val="Tahoma"/>
            <family val="2"/>
          </rPr>
          <t xml:space="preserve">
Excluding its insulation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700-000001000000}">
      <text>
        <r>
          <rPr>
            <b/>
            <sz val="9"/>
            <color indexed="81"/>
            <rFont val="Tahoma"/>
            <family val="2"/>
          </rPr>
          <t>Author:</t>
        </r>
        <r>
          <rPr>
            <sz val="9"/>
            <color indexed="81"/>
            <rFont val="Tahoma"/>
            <family val="2"/>
          </rPr>
          <t xml:space="preserve">
Not included in bld file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20" authorId="0" shapeId="0" xr:uid="{00000000-0006-0000-0800-000001000000}">
      <text>
        <r>
          <rPr>
            <b/>
            <sz val="9"/>
            <color indexed="81"/>
            <rFont val="Tahoma"/>
            <family val="2"/>
          </rPr>
          <t>Author:</t>
        </r>
        <r>
          <rPr>
            <sz val="9"/>
            <color indexed="81"/>
            <rFont val="Tahoma"/>
            <family val="2"/>
          </rPr>
          <t xml:space="preserve">
LED prices have come down quite a lot. A 12W LED lamp costs around 5$ nowadays. But it consumes the same energy as a 12W CFL so I kept a 7W lamp.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4" authorId="0" shapeId="0" xr:uid="{00000000-0006-0000-0900-000001000000}">
      <text>
        <r>
          <rPr>
            <b/>
            <sz val="9"/>
            <color indexed="81"/>
            <rFont val="Tahoma"/>
            <family val="2"/>
          </rPr>
          <t>Author:</t>
        </r>
        <r>
          <rPr>
            <sz val="9"/>
            <color indexed="81"/>
            <rFont val="Tahoma"/>
            <family val="2"/>
          </rPr>
          <t xml:space="preserve">
Andre:
Based on estimated energy use as per manufacturer's specifications not on operating time</t>
        </r>
      </text>
    </comment>
    <comment ref="G15" authorId="0" shapeId="0" xr:uid="{00000000-0006-0000-0900-000002000000}">
      <text>
        <r>
          <rPr>
            <b/>
            <sz val="9"/>
            <color indexed="81"/>
            <rFont val="Tahoma"/>
            <family val="2"/>
          </rPr>
          <t>Author:</t>
        </r>
        <r>
          <rPr>
            <sz val="9"/>
            <color indexed="81"/>
            <rFont val="Tahoma"/>
            <family val="2"/>
          </rPr>
          <t xml:space="preserve">
Andre:
Based on estimated energy use as per manufacturer's specifications not on operating time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00000000-0006-0000-0C00-000001000000}">
      <text>
        <r>
          <rPr>
            <b/>
            <sz val="9"/>
            <color indexed="81"/>
            <rFont val="Tahoma"/>
            <family val="2"/>
          </rPr>
          <t>Author:</t>
        </r>
        <r>
          <rPr>
            <sz val="9"/>
            <color indexed="81"/>
            <rFont val="Tahoma"/>
            <family val="2"/>
          </rPr>
          <t xml:space="preserve">
Based on the pure process figure from the shadow database used in EPiC. Pure IO figures are giving very a EE figures</t>
        </r>
      </text>
    </comment>
    <comment ref="H3" authorId="0" shapeId="0" xr:uid="{00000000-0006-0000-0C00-000002000000}">
      <text>
        <r>
          <rPr>
            <b/>
            <sz val="9"/>
            <color indexed="81"/>
            <rFont val="Tahoma"/>
            <family val="2"/>
          </rPr>
          <t>Author:</t>
        </r>
        <r>
          <rPr>
            <sz val="9"/>
            <color indexed="81"/>
            <rFont val="Tahoma"/>
            <family val="2"/>
          </rPr>
          <t xml:space="preserve">
Author:
Based on the pure process figure from the shadow database used in EPiC. Pure IO figures are giving very a EE figures</t>
        </r>
      </text>
    </comment>
    <comment ref="A39" authorId="0" shapeId="0" xr:uid="{00000000-0006-0000-0C00-000003000000}">
      <text>
        <r>
          <rPr>
            <b/>
            <sz val="9"/>
            <color indexed="81"/>
            <rFont val="Tahoma"/>
            <family val="2"/>
          </rPr>
          <t>Author:</t>
        </r>
        <r>
          <rPr>
            <sz val="9"/>
            <color indexed="81"/>
            <rFont val="Tahoma"/>
            <family val="2"/>
          </rPr>
          <t xml:space="preserve">
cables, boxes, fuses, CB, surge protection, etc.</t>
        </r>
      </text>
    </comment>
    <comment ref="A42" authorId="0" shapeId="0" xr:uid="{00000000-0006-0000-0C00-000004000000}">
      <text>
        <r>
          <rPr>
            <b/>
            <sz val="9"/>
            <color indexed="81"/>
            <rFont val="Tahoma"/>
            <family val="2"/>
          </rPr>
          <t>Author:</t>
        </r>
        <r>
          <rPr>
            <sz val="9"/>
            <color indexed="81"/>
            <rFont val="Tahoma"/>
            <family val="2"/>
          </rPr>
          <t xml:space="preserve">
we assume 8 apartments for a total of 192 batteries for the roof array + 48 batteries for the south facade</t>
        </r>
      </text>
    </comment>
    <comment ref="A43" authorId="0" shapeId="0" xr:uid="{00000000-0006-0000-0C00-000005000000}">
      <text>
        <r>
          <rPr>
            <b/>
            <sz val="9"/>
            <color indexed="81"/>
            <rFont val="Tahoma"/>
            <family val="2"/>
          </rPr>
          <t>Author:</t>
        </r>
        <r>
          <rPr>
            <sz val="9"/>
            <color indexed="81"/>
            <rFont val="Tahoma"/>
            <family val="2"/>
          </rPr>
          <t xml:space="preserve">
we assume 8 apartments for a total of 192 batteries for the roof array + 72 batteries for the south facade</t>
        </r>
      </text>
    </comment>
    <comment ref="A44" authorId="0" shapeId="0" xr:uid="{00000000-0006-0000-0C00-000006000000}">
      <text>
        <r>
          <rPr>
            <b/>
            <sz val="9"/>
            <color indexed="81"/>
            <rFont val="Tahoma"/>
            <family val="2"/>
          </rPr>
          <t>Author:</t>
        </r>
        <r>
          <rPr>
            <sz val="9"/>
            <color indexed="81"/>
            <rFont val="Tahoma"/>
            <family val="2"/>
          </rPr>
          <t xml:space="preserve">
we assume 8 apartments for a total of 192 batteries for the roof array + 120 batteries for the south facade</t>
        </r>
      </text>
    </comment>
    <comment ref="A45" authorId="0" shapeId="0" xr:uid="{00000000-0006-0000-0C00-000007000000}">
      <text>
        <r>
          <rPr>
            <b/>
            <sz val="9"/>
            <color indexed="81"/>
            <rFont val="Tahoma"/>
            <family val="2"/>
          </rPr>
          <t>Author:</t>
        </r>
        <r>
          <rPr>
            <sz val="9"/>
            <color indexed="81"/>
            <rFont val="Tahoma"/>
            <family val="2"/>
          </rPr>
          <t xml:space="preserve">
we assume 8 apartments for a total of 192 batteries for the roof array + 48 batteries for the south facade</t>
        </r>
      </text>
    </comment>
    <comment ref="A86" authorId="0" shapeId="0" xr:uid="{00000000-0006-0000-0C00-000008000000}">
      <text>
        <r>
          <rPr>
            <b/>
            <sz val="9"/>
            <color indexed="81"/>
            <rFont val="Tahoma"/>
            <family val="2"/>
          </rPr>
          <t>Author:</t>
        </r>
        <r>
          <rPr>
            <sz val="9"/>
            <color indexed="81"/>
            <rFont val="Tahoma"/>
            <family val="2"/>
          </rPr>
          <t xml:space="preserve">
we multiply by 0.8 to take into account the effect of shading, dirt on panels, etc.
we multiply by 0.9 to take the decay of the panels over time. They usually reach 80% at 25 years, so 90% is the average over their lifetime.</t>
        </r>
      </text>
    </comment>
    <comment ref="A87" authorId="0" shapeId="0" xr:uid="{00000000-0006-0000-0C00-000009000000}">
      <text>
        <r>
          <rPr>
            <b/>
            <sz val="9"/>
            <color indexed="81"/>
            <rFont val="Tahoma"/>
            <family val="2"/>
          </rPr>
          <t>Author:</t>
        </r>
        <r>
          <rPr>
            <sz val="9"/>
            <color indexed="81"/>
            <rFont val="Tahoma"/>
            <family val="2"/>
          </rPr>
          <t xml:space="preserve">
we multiply by 0.8 to take into account the effect of shading, dirt on panels, etc.
we multiply by 0.9 to take the decay of the panels over time. They usually reach 80% at 25 years, so 90% is the average over their lifetime.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00000000-0006-0000-1200-000001000000}">
      <text>
        <r>
          <rPr>
            <b/>
            <sz val="9"/>
            <color indexed="81"/>
            <rFont val="Tahoma"/>
            <family val="2"/>
          </rPr>
          <t>Author:</t>
        </r>
        <r>
          <rPr>
            <sz val="9"/>
            <color indexed="81"/>
            <rFont val="Tahoma"/>
            <family val="2"/>
          </rPr>
          <t xml:space="preserve">
Not included in bld file</t>
        </r>
      </text>
    </comment>
  </commentList>
</comments>
</file>

<file path=xl/sharedStrings.xml><?xml version="1.0" encoding="utf-8"?>
<sst xmlns="http://schemas.openxmlformats.org/spreadsheetml/2006/main" count="2930" uniqueCount="960">
  <si>
    <t>Base case</t>
  </si>
  <si>
    <t>BC</t>
  </si>
  <si>
    <t>LED</t>
  </si>
  <si>
    <t>EFF_APP</t>
  </si>
  <si>
    <t>EFF_AC</t>
  </si>
  <si>
    <t>Heating</t>
  </si>
  <si>
    <t>INSUL+</t>
  </si>
  <si>
    <t>Link to summary sheet</t>
  </si>
  <si>
    <t>Unit</t>
  </si>
  <si>
    <t>Quantity</t>
  </si>
  <si>
    <t>IEE (GJ)</t>
  </si>
  <si>
    <t>REE (GJ/50 years)</t>
  </si>
  <si>
    <t>Variable name</t>
  </si>
  <si>
    <t>Value</t>
  </si>
  <si>
    <t>Comment</t>
  </si>
  <si>
    <t>Inflation</t>
  </si>
  <si>
    <t>Based on X</t>
  </si>
  <si>
    <t>Description</t>
  </si>
  <si>
    <t>m³</t>
  </si>
  <si>
    <t>no.</t>
  </si>
  <si>
    <t>m²</t>
  </si>
  <si>
    <t>m</t>
  </si>
  <si>
    <t>t</t>
  </si>
  <si>
    <t>Other</t>
  </si>
  <si>
    <t>Investment cost (USD)</t>
  </si>
  <si>
    <t>Recurrent cost (USD/50 years)</t>
  </si>
  <si>
    <t>Primary OPE (GJ/50 years)</t>
  </si>
  <si>
    <t>LCEE (GJ/50 years)</t>
  </si>
  <si>
    <t>LCTE (GJ/50 years)</t>
  </si>
  <si>
    <t>Period of analysis</t>
  </si>
  <si>
    <t>years</t>
  </si>
  <si>
    <t>As per Stephan and Stephan (2014)</t>
  </si>
  <si>
    <t>Total cost in NPV (USD/50 years)</t>
  </si>
  <si>
    <t>Scenario name</t>
  </si>
  <si>
    <t>Scenario acronym</t>
  </si>
  <si>
    <t>SOLAR_COLL</t>
  </si>
  <si>
    <t>ID</t>
  </si>
  <si>
    <t>Bldg_file_directory</t>
  </si>
  <si>
    <t>Assembly subcategory</t>
  </si>
  <si>
    <t>Assembly name</t>
  </si>
  <si>
    <t>Beams</t>
  </si>
  <si>
    <t>Concrete beam 25 cm x 80 cm</t>
  </si>
  <si>
    <t>Columns</t>
  </si>
  <si>
    <t>Concrete column 60cm x 25cm</t>
  </si>
  <si>
    <t>Domestic hot water</t>
  </si>
  <si>
    <t>Electric dhw tank (300L)</t>
  </si>
  <si>
    <t>Doors</t>
  </si>
  <si>
    <t>Hollow core MDF door (concrete lintel)</t>
  </si>
  <si>
    <t>Bedrooms flooring</t>
  </si>
  <si>
    <t>Ceramic tiles</t>
  </si>
  <si>
    <t>Living rooms flooring</t>
  </si>
  <si>
    <t>Granite tiles</t>
  </si>
  <si>
    <t>Toilets and kitchen flooring</t>
  </si>
  <si>
    <t>Foundations concrete</t>
  </si>
  <si>
    <t>Foundations concrete 25 MPa</t>
  </si>
  <si>
    <t>Foundations steel</t>
  </si>
  <si>
    <t>Ground floor slab</t>
  </si>
  <si>
    <t>Cast in situ 10cm RF concrete slab</t>
  </si>
  <si>
    <t>Condensation gas boiler 35 kW</t>
  </si>
  <si>
    <t>Heating delivery</t>
  </si>
  <si>
    <t>Heating radiator 1000W</t>
  </si>
  <si>
    <t>Medium_standing_Lebanon</t>
  </si>
  <si>
    <t>Outer wall</t>
  </si>
  <si>
    <t>Double concrete walls with air blade and natural stone cover</t>
  </si>
  <si>
    <t>Internal walls</t>
  </si>
  <si>
    <t>Masonry internal walls 10 cm</t>
  </si>
  <si>
    <t>Pipes</t>
  </si>
  <si>
    <t>PVC pipes (20mm)</t>
  </si>
  <si>
    <t>Power line</t>
  </si>
  <si>
    <t>Power lines with poles (low density)</t>
  </si>
  <si>
    <t>Road</t>
  </si>
  <si>
    <t>Suburban concrete road with asphalt (5.5m wide)+ sidewalk + timber electric.lighting poles</t>
  </si>
  <si>
    <t>Roof</t>
  </si>
  <si>
    <t>RF concrete tiled roof - no insulation</t>
  </si>
  <si>
    <t>Upper floors slab</t>
  </si>
  <si>
    <t>Hollow core 18 cm slab + 7 cm concrete</t>
  </si>
  <si>
    <t>Water system</t>
  </si>
  <si>
    <t>PE water distribution system (high density)</t>
  </si>
  <si>
    <t>Windows</t>
  </si>
  <si>
    <t>Alu Double glazed (concrete lintel and natural stone sill)</t>
  </si>
  <si>
    <t>Wires</t>
  </si>
  <si>
    <t>Electric wire (copper 1mm)</t>
  </si>
  <si>
    <t>Energy cost (USD/50 years)</t>
  </si>
  <si>
    <t>Details</t>
  </si>
  <si>
    <t>Remove 20% of paint inside the house and replace with Softwood timber panels</t>
  </si>
  <si>
    <t>Item</t>
  </si>
  <si>
    <t>Specified qtty</t>
  </si>
  <si>
    <t>Delivered qtty</t>
  </si>
  <si>
    <t>Extra calculations</t>
  </si>
  <si>
    <t>GJ</t>
  </si>
  <si>
    <t>GJ/m²</t>
  </si>
  <si>
    <t>GJ/capita</t>
  </si>
  <si>
    <t>Number of users</t>
  </si>
  <si>
    <t>Usable floor area</t>
  </si>
  <si>
    <t>Total</t>
  </si>
  <si>
    <t>Replace all ribs in all slabs with prefabricated ribs to save on steel and concrete</t>
  </si>
  <si>
    <t>Install solar collectors on the roof that provide 70% of the hot water demand and replace the electric system with a gas system</t>
  </si>
  <si>
    <t>no</t>
  </si>
  <si>
    <t>Solar collector +auxliary gas</t>
  </si>
  <si>
    <t>Electric DHW</t>
  </si>
  <si>
    <t>Grand total</t>
  </si>
  <si>
    <t>ASSUME 0 EE</t>
  </si>
  <si>
    <t>CFL 12W</t>
  </si>
  <si>
    <t>Delivered Lighting energy (GJ/50 years)</t>
  </si>
  <si>
    <t>Appliance</t>
  </si>
  <si>
    <t>Operating time (hours/day)</t>
  </si>
  <si>
    <t>Number of appliances</t>
  </si>
  <si>
    <t>Fridge/freezer</t>
  </si>
  <si>
    <t>Washing machine (7 kg)</t>
  </si>
  <si>
    <t>Router</t>
  </si>
  <si>
    <t>Laptop</t>
  </si>
  <si>
    <t>Gas stove</t>
  </si>
  <si>
    <t>Power rating EFFICIENT (W)</t>
  </si>
  <si>
    <t>See Below, No impact on embodied energy</t>
  </si>
  <si>
    <t>Estimated annual delivered energy consumption EFFICIENT (MJ)</t>
  </si>
  <si>
    <t>Task</t>
  </si>
  <si>
    <t>Comments</t>
  </si>
  <si>
    <t>Based on Bosch</t>
  </si>
  <si>
    <t xml:space="preserve">Based on Bosch </t>
  </si>
  <si>
    <t>LCD television | LED Television</t>
  </si>
  <si>
    <t>Assumed 20% reduction</t>
  </si>
  <si>
    <t>Based on PLASMA vs LED TVs</t>
  </si>
  <si>
    <t>Appliances</t>
  </si>
  <si>
    <t>Cooking</t>
  </si>
  <si>
    <t>Delivered energy (GJ/50 years)</t>
  </si>
  <si>
    <t>Delivered cooling energy (GJ/50 years)</t>
  </si>
  <si>
    <t>EER (COP) based Mitsubishi model on Topten.eu</t>
  </si>
  <si>
    <t>Add 5cm of EPS insulation in the outer walls, reducing the U-value by 41%</t>
  </si>
  <si>
    <t>Additional 5cm of EPS in outer walls</t>
  </si>
  <si>
    <t>Heating NEW</t>
  </si>
  <si>
    <t>Cooling NEW</t>
  </si>
  <si>
    <t>Combine all OPE measures</t>
  </si>
  <si>
    <t>The solar hot water system is assumed to reduce the BC heating demand by 20% (-20.836 MJ/m²·a applied to the INSUL+ scenario)</t>
  </si>
  <si>
    <t>Replace all appliances with top efficiency versions</t>
  </si>
  <si>
    <t>DHW NEW</t>
  </si>
  <si>
    <t>Lighting NEW</t>
  </si>
  <si>
    <t>Cooking NEW</t>
  </si>
  <si>
    <t>Solar Collector + auxiliary gas</t>
  </si>
  <si>
    <t>Existing Electrical DHW</t>
  </si>
  <si>
    <t>MJ/year</t>
  </si>
  <si>
    <t>Appliances NEW</t>
  </si>
  <si>
    <t>Delivered  energy (GJ/50 years)</t>
  </si>
  <si>
    <t>Copy investment costs from other scenarios</t>
  </si>
  <si>
    <t>Calculate prices for all energy use: copy lighting, appliances, dhw and cooking BUT careful the heating and cooling are different because they depend on more than one scenario.</t>
  </si>
  <si>
    <t>Replace cars by plug-in hybrid cars with a different fuel efficiency</t>
  </si>
  <si>
    <t>ITE (GJ/50 years)</t>
  </si>
  <si>
    <t>BC transport energy</t>
  </si>
  <si>
    <t>Heating BC</t>
  </si>
  <si>
    <t>Cooling BC</t>
  </si>
  <si>
    <t>DHW BC</t>
  </si>
  <si>
    <t>Lighting BC</t>
  </si>
  <si>
    <t>Cooking BC</t>
  </si>
  <si>
    <t>Appliances BC</t>
  </si>
  <si>
    <t>BC cooking</t>
  </si>
  <si>
    <t>BC appliances</t>
  </si>
  <si>
    <t>Power rating BC (W)</t>
  </si>
  <si>
    <t>Estimated annual delivered energy consumption BC (MJ)</t>
  </si>
  <si>
    <t>Same as BC</t>
  </si>
  <si>
    <t>AC COP 2.5 (BC)</t>
  </si>
  <si>
    <t>Reduce travel distance by 15%</t>
  </si>
  <si>
    <t>PLUG-IN Hybrid transport energy</t>
  </si>
  <si>
    <t>Car pool of main income earner</t>
  </si>
  <si>
    <t>Plug-in hybrid cars (x1)</t>
  </si>
  <si>
    <t>Calculation notes</t>
  </si>
  <si>
    <t>1 panel is 388 Wp monocrystalline</t>
  </si>
  <si>
    <t>The average annual electricity generation is</t>
  </si>
  <si>
    <t>kWh</t>
  </si>
  <si>
    <t>Solar PV panels</t>
  </si>
  <si>
    <t>The average solar fraction</t>
  </si>
  <si>
    <t>Panels</t>
  </si>
  <si>
    <t>Elec BC</t>
  </si>
  <si>
    <t>Inverter</t>
  </si>
  <si>
    <t>Deep cycle batteries 270 Ah (10 years lifespan - 7 years warranty)</t>
  </si>
  <si>
    <t>Inverter EE based on pure I-O data using the 'Other electronic devices sector'</t>
  </si>
  <si>
    <t>Batteries EE based on pure I-O data using the 'Other electronic devices sector'</t>
  </si>
  <si>
    <t>Replace all internal walls with sandwich panels partitions that are not painted</t>
  </si>
  <si>
    <t>Replace the hollow core concrete blocks with EPS blocks and all ribs with continuous ribs</t>
  </si>
  <si>
    <t>Reduce travel distance by X% due to user behaviour</t>
  </si>
  <si>
    <t>Assume that the main income earner car pools with 3 other people for 15000km per year</t>
  </si>
  <si>
    <t>DTE (GJ/50 years)</t>
  </si>
  <si>
    <t>the elec demand of the ALL_OPE scenario is</t>
  </si>
  <si>
    <t>We want to cover 1400 kWh, we need</t>
  </si>
  <si>
    <t xml:space="preserve">or </t>
  </si>
  <si>
    <t>kWp</t>
  </si>
  <si>
    <t>The average annual delivered electricity demand of the ALL_OPE</t>
  </si>
  <si>
    <t xml:space="preserve">But we want to cover a fraction of the transport energy so </t>
  </si>
  <si>
    <t>extra panel</t>
  </si>
  <si>
    <t xml:space="preserve">and this results in </t>
  </si>
  <si>
    <t>kWh extra</t>
  </si>
  <si>
    <t>km are free solar powered</t>
  </si>
  <si>
    <t>The following amount of energy should be removed from the DTE</t>
  </si>
  <si>
    <t>BUT the IEE of ONE panel is 81GJ and it needs 1 replacement →</t>
  </si>
  <si>
    <t>of Embodied energy for the extra panel over 50 years</t>
  </si>
  <si>
    <t>Not worth it</t>
  </si>
  <si>
    <t>Final:</t>
  </si>
  <si>
    <t>panels</t>
  </si>
  <si>
    <t>SF</t>
  </si>
  <si>
    <t>But the car needs 16 kWh/100 km of DELIVERED energyin electric mode so</t>
  </si>
  <si>
    <t>Note that this amount of energy is not converted to primary energy terms because the car is NOT originally charged. We assume that the users will start charging it when they have a solar panel</t>
  </si>
  <si>
    <t>Compile price results for all</t>
  </si>
  <si>
    <t>kWh/year</t>
  </si>
  <si>
    <t>Note:</t>
  </si>
  <si>
    <t>APS</t>
  </si>
  <si>
    <t>We have neglected the electric consumption of the gas boiler. It consumes electricity in two ways: the circulating pump and the control panel.</t>
  </si>
  <si>
    <t>We should maybe add these, as they are not negligible over the whole life cycle. So we would have gas and electricity simultaneously.</t>
  </si>
  <si>
    <t>Mirrors, 4.8 sqm, german made (brand Solimpeks)</t>
  </si>
  <si>
    <t>Heat Exchanger with dual circuit (HW and heating)</t>
  </si>
  <si>
    <t>USD</t>
  </si>
  <si>
    <t>including steel chassis</t>
  </si>
  <si>
    <t>Extra piping. 40 linear meters insulated.</t>
  </si>
  <si>
    <t>manpower and material</t>
  </si>
  <si>
    <t>Manpower intallation of mirrors and heat exchanger</t>
  </si>
  <si>
    <t>TOTAL</t>
  </si>
  <si>
    <t>from the solar TOTAL cost.</t>
  </si>
  <si>
    <t xml:space="preserve">Additionally, when we install the solar/gas system, we do not need the electric hot water cylinder. Material and installation costs are about 220USD which should be deducted </t>
  </si>
  <si>
    <t>Chinese made tubes would cost much less than these mirrors. The heat exchanger is also different. The total cost could drop to around 1800USD, so 1200USD economy.</t>
  </si>
  <si>
    <t>Prices (including VAT):</t>
  </si>
  <si>
    <t>Gas price:</t>
  </si>
  <si>
    <t>USD/liter</t>
  </si>
  <si>
    <t>Maintenance cost of solar collectors is negligible.</t>
  </si>
  <si>
    <t xml:space="preserve">Replacement cost is hard to define. Prices should drop in the future in real dollar term due to technological gains and increased production volume. </t>
  </si>
  <si>
    <t>I don’t know if we can model this somehow, otherwise we can use the current price as basis.</t>
  </si>
  <si>
    <t>0 to 100 kWh</t>
  </si>
  <si>
    <t>100 to 300</t>
  </si>
  <si>
    <t>300 to 400</t>
  </si>
  <si>
    <t>400 to 500</t>
  </si>
  <si>
    <t>&gt; 500</t>
  </si>
  <si>
    <r>
      <rPr>
        <sz val="11"/>
        <color theme="1"/>
        <rFont val="Calibri"/>
        <family val="2"/>
      </rPr>
      <t>USD</t>
    </r>
    <r>
      <rPr>
        <sz val="11"/>
        <color theme="1"/>
        <rFont val="Calibri"/>
        <family val="2"/>
        <scheme val="minor"/>
      </rPr>
      <t>/kWh</t>
    </r>
  </si>
  <si>
    <t>12W CFL</t>
  </si>
  <si>
    <t>7W LED</t>
  </si>
  <si>
    <t>6W not available</t>
  </si>
  <si>
    <t>USD/m3</t>
  </si>
  <si>
    <t>Prices including VAT</t>
  </si>
  <si>
    <t>EPS - Material</t>
  </si>
  <si>
    <t>Labour</t>
  </si>
  <si>
    <t>considering 1mx2mx5cm EPS panels. 2 workers install on average 20 panels a day.</t>
  </si>
  <si>
    <t>Price includes consumables for installation</t>
  </si>
  <si>
    <t>Stephan, A. and Stephan, L. (2014) Reducing the total life cycle energy demand of recent residential buildings in Lebanon. Energy 74 (0):618-637.</t>
  </si>
  <si>
    <t>Average</t>
  </si>
  <si>
    <t>Price per kWh</t>
  </si>
  <si>
    <t>USD/month for 5A</t>
  </si>
  <si>
    <t>Electricity Cost per month (75% of electricity consumption)</t>
  </si>
  <si>
    <t>Generator cost (25% of electricity consumption)</t>
  </si>
  <si>
    <t>The generator cost is for 5A, for one month. We assume the full intensity is consumed for 8h/day (ref. previous paper) ; 30 days/month.</t>
  </si>
  <si>
    <t>5A correspond to 1.1kWh over 1h and thus 264kWh per month. We compute the price based on a full year average (yr 2014)</t>
  </si>
  <si>
    <t>To calculate the electricity cost over the whole life cycle of the building, we assume that the total delivered energy is evenly distributed over the whole period.</t>
  </si>
  <si>
    <t>We can thus divide the total delivered energy by the total number of months (50x12=600) and consider a constant average monthly value. This value in GJ is converted</t>
  </si>
  <si>
    <t>to kWh and then split between generator (25%) and EDL (75%) to compute the corresponding cost.</t>
  </si>
  <si>
    <t>Case</t>
  </si>
  <si>
    <t>Total delivered energy over 50 yrs [GJ]</t>
  </si>
  <si>
    <t>Constant average monthly delivered energy [GJ]</t>
  </si>
  <si>
    <t>Constant average monthly delivered energy [kWh]</t>
  </si>
  <si>
    <t>Generator portion [kWh]</t>
  </si>
  <si>
    <t>EDL portion [kWh]</t>
  </si>
  <si>
    <t>EDL cost [USD]</t>
  </si>
  <si>
    <t>Generator cost [USD]</t>
  </si>
  <si>
    <t>Total electricity monthly cost [USD]</t>
  </si>
  <si>
    <t>Note that there is a fixed monthly cost for the electric meter (7.33USD/month). However this cost cancels out if we are computing the difference in electricity cost.</t>
  </si>
  <si>
    <t>EDL fixed monthly cost [USD]</t>
  </si>
  <si>
    <t>I went to Khoury Home and checked some appliances.</t>
  </si>
  <si>
    <t>For the fridges, they don’t have any A+++. The best I found is A++:</t>
  </si>
  <si>
    <t xml:space="preserve">Blomberg, A+, 23CuFt (552L total), 468kWh/annum </t>
  </si>
  <si>
    <t>Samung, A++, 20CuFt (435L total), 296kWh/annum</t>
  </si>
  <si>
    <t>Hisense, ??, 21CuFt, 0.9A intensity</t>
  </si>
  <si>
    <t>For the washing machines:</t>
  </si>
  <si>
    <t>Siemens, 7kg, A+++</t>
  </si>
  <si>
    <t>Blomberg, 7kg, A++</t>
  </si>
  <si>
    <t>LG, 7kg, A++</t>
  </si>
  <si>
    <t>TV</t>
  </si>
  <si>
    <t>LG, 42", LED</t>
  </si>
  <si>
    <t>Hisense, 40", LED</t>
  </si>
  <si>
    <t>Midea 9000BTU</t>
  </si>
  <si>
    <t>excluding installation</t>
  </si>
  <si>
    <t>Average SEER 6.5</t>
  </si>
  <si>
    <t>Average SCOP 4</t>
  </si>
  <si>
    <t>Midea 12000BTU</t>
  </si>
  <si>
    <t>Average SCOP 4. There are some with SCOP 5, but not sure they bring them to Leb.</t>
  </si>
  <si>
    <t>SEER and SCOP not very well known in the market. The usual machines we install are:</t>
  </si>
  <si>
    <t>Other brands are:</t>
  </si>
  <si>
    <t>Samsung AR09, 9000BTU</t>
  </si>
  <si>
    <t>Samsung AQ12UUP, 12000BTU</t>
  </si>
  <si>
    <t>EER 9.2</t>
  </si>
  <si>
    <t>COP 3.29</t>
  </si>
  <si>
    <t>EER 10.1</t>
  </si>
  <si>
    <t>Could not find the seer and scop of these samsung units</t>
  </si>
  <si>
    <t>IO uncerainty</t>
  </si>
  <si>
    <t>Process uncertainty</t>
  </si>
  <si>
    <t>Lighting</t>
  </si>
  <si>
    <t>PEF elec</t>
  </si>
  <si>
    <t>PEF gas</t>
  </si>
  <si>
    <t>Number of apartments</t>
  </si>
  <si>
    <t>For the whole building</t>
  </si>
  <si>
    <t>the control panel is completely negligible, but the circulating pump consumes energy. The power input is 125W for the 28kW boiler and 180W for the 36kW boiler. We could assume the pump works 1 hour/day for DHW.</t>
  </si>
  <si>
    <t>For Chinese made equipment (prices include VAT):</t>
  </si>
  <si>
    <t>UPS 3kW with inverter and regulator</t>
  </si>
  <si>
    <t>Solar panels, Poly</t>
  </si>
  <si>
    <t>USD/Wp</t>
  </si>
  <si>
    <t>Solar panels, mono</t>
  </si>
  <si>
    <t>Installation cost for 3kWp (including steel chassis, cables and manpower)</t>
  </si>
  <si>
    <t>Installation cost for 1kWp (including steel chassis, cables and manpower)</t>
  </si>
  <si>
    <t>For the batteries, EU batteries cost around the same.</t>
  </si>
  <si>
    <t>The only thing which could make sense to get not chinese is the UPS which would cost about triple the price (1800USD).</t>
  </si>
  <si>
    <t>The main problem with the PV systems in Lebanon are the batteries. This is the weakest link in the chain and it costs the most.</t>
  </si>
  <si>
    <t>DHW pump NEW</t>
  </si>
  <si>
    <t>Power rating of circulation pump</t>
  </si>
  <si>
    <t>W</t>
  </si>
  <si>
    <t>Average operation time</t>
  </si>
  <si>
    <t>h/day</t>
  </si>
  <si>
    <t>LED 7W</t>
  </si>
  <si>
    <t>http://reg.energyrating.gov.au/comparator/product_types/64/search/</t>
  </si>
  <si>
    <t>AC COP 5.95</t>
  </si>
  <si>
    <r>
      <rPr>
        <strike/>
        <sz val="11"/>
        <color theme="1"/>
        <rFont val="Calibri"/>
        <family val="2"/>
        <scheme val="minor"/>
      </rPr>
      <t>COP 3.4.</t>
    </r>
    <r>
      <rPr>
        <sz val="11"/>
        <color theme="1"/>
        <rFont val="Calibri"/>
        <family val="2"/>
        <scheme val="minor"/>
      </rPr>
      <t xml:space="preserve"> </t>
    </r>
    <r>
      <rPr>
        <b/>
        <sz val="11"/>
        <color rgb="FFFF0000"/>
        <rFont val="Calibri"/>
        <family val="2"/>
        <scheme val="minor"/>
      </rPr>
      <t>5 based on the Australian website above</t>
    </r>
  </si>
  <si>
    <t>DHW NEW Circulation pump (not included in bld file!)</t>
  </si>
  <si>
    <t>Replace the existing AC with a top efficiency one: COP = 5.95 instead of 2.5</t>
  </si>
  <si>
    <t>Replace the 12W CFL bulbs with 7W LED lights → reduce lighting energy use by 50%</t>
  </si>
  <si>
    <t>Replace the 12W CFL bulbs with 7W LED lights → reduce lighting energy use by 41.66%</t>
  </si>
  <si>
    <t>Combine all EE, OPE and TE measures and add PV</t>
  </si>
  <si>
    <t>SOLAR PV ELECTRICITY</t>
  </si>
  <si>
    <t>Deep cycle battery 220 Ah/12V - 2yrs life expectancy</t>
  </si>
  <si>
    <t>By looking more in details into the battery systems available, I found that there are two kind of deep cycle batteries:</t>
  </si>
  <si>
    <t xml:space="preserve">These one have a life span of about 2 years (about 600 cycles with 50% depth of discharge). These come as 12V batteries and we would need </t>
  </si>
  <si>
    <t>12 of them (3 sets of 4 batteries in parallel, since the UPS is 48V input) with 220Ah to last 8.7h non stop considering 15A power output at 220V</t>
  </si>
  <si>
    <t xml:space="preserve">since they can last about 3200 cycles at 50% depth of discharge. These come in 2 V and we would need 24 of them (to get 48V) with a minimum </t>
  </si>
  <si>
    <t>650Ah to last the 8h required.</t>
  </si>
  <si>
    <t>Tubuar Gel deep cycle batteries 800 Ah/2V -  up to 10yrs life expectancy</t>
  </si>
  <si>
    <t>For 3kWp and 12 batteries AGM - Poly</t>
  </si>
  <si>
    <t>For 3kWp and 12 batteries AGM - Mono</t>
  </si>
  <si>
    <t>For 3kWp and 24 batteries TG - Poly</t>
  </si>
  <si>
    <t>For 3kWp and 24 batteries TG - Mono</t>
  </si>
  <si>
    <t>For 1kWp and 24 batteries TG - Poly</t>
  </si>
  <si>
    <t>For 1kWp and 24 batteries TG - Mono</t>
  </si>
  <si>
    <t>Constant average monthly gas volume consumed [Nm3]</t>
  </si>
  <si>
    <t>Nm3/kWh</t>
  </si>
  <si>
    <t>Gas boiler (28kW) consumption for LPG</t>
  </si>
  <si>
    <t>Nm3 is 1 cubic meter of gas at 1atm and 0 degree C</t>
  </si>
  <si>
    <t>Total gas monthly cost [USD]</t>
  </si>
  <si>
    <t>Relation between gas volume consumed (Nm3) and liguid gas volume paid for (liters)</t>
  </si>
  <si>
    <t>1 liter of liquid gas equals 270 liters of gas state gas</t>
  </si>
  <si>
    <t>l/l</t>
  </si>
  <si>
    <t>Corresponding monthly liquid gas volume [liters]</t>
  </si>
  <si>
    <t>Install solar collectors on the roof that provide 90% of the hot water demand and replace the electric system with a gas system</t>
  </si>
  <si>
    <t xml:space="preserve">The "normal" deep cycle batteries which can be of three main types (flooded, gel or agm). Usually we can consider eithere gel or agm. </t>
  </si>
  <si>
    <t xml:space="preserve">The tubular gel deep cycle batteries are the one that last longest and are the ones you mention in the table above. These can last up to 10yrs </t>
  </si>
  <si>
    <t>Electricity Data</t>
  </si>
  <si>
    <t>Electricity Consumption Calculation</t>
  </si>
  <si>
    <t>DHW</t>
  </si>
  <si>
    <t>AC</t>
  </si>
  <si>
    <t>PV Fraction</t>
  </si>
  <si>
    <t>Remaining</t>
  </si>
  <si>
    <t>Total Monthly Cost [USD]</t>
  </si>
  <si>
    <t>Total Yearly Cost [USD]</t>
  </si>
  <si>
    <t>Total Yearly Savings [USD]</t>
  </si>
  <si>
    <t>Gas Consumption Calculation</t>
  </si>
  <si>
    <t>Gas Data</t>
  </si>
  <si>
    <t>Discount Rate</t>
  </si>
  <si>
    <t>Year</t>
  </si>
  <si>
    <t>Electricity Savings</t>
  </si>
  <si>
    <t>Gas Savings</t>
  </si>
  <si>
    <t>Total CF</t>
  </si>
  <si>
    <t>Discount factor</t>
  </si>
  <si>
    <t>PV of CF</t>
  </si>
  <si>
    <t>NPV</t>
  </si>
  <si>
    <t>[USD]</t>
  </si>
  <si>
    <r>
      <rPr>
        <sz val="11"/>
        <color theme="1"/>
        <rFont val="Calibri"/>
        <family val="2"/>
      </rPr>
      <t>Δ</t>
    </r>
    <r>
      <rPr>
        <sz val="11"/>
        <color theme="1"/>
        <rFont val="Calibri"/>
        <family val="2"/>
        <scheme val="minor"/>
      </rPr>
      <t>Capex</t>
    </r>
  </si>
  <si>
    <t>For 1kWp and 4 batteries AGM - Poly</t>
  </si>
  <si>
    <t>For 1kWp and 4 batteries AGM - Mono</t>
  </si>
  <si>
    <t>UPS 1kW with inverter and regulator</t>
  </si>
  <si>
    <t>Tubuar Gel deep cycle batteries 250 Ah/2V -  up to 10yrs life expectancy</t>
  </si>
  <si>
    <t>Fuel Data</t>
  </si>
  <si>
    <t>Fuel energy intensity</t>
  </si>
  <si>
    <t>Fuel price (World Bank: World Development Indicators - http://data.worldbank.org/indicator/EP.PMP.SGAS.CD/countries?display=default)</t>
  </si>
  <si>
    <t>Average over last 10 years</t>
  </si>
  <si>
    <t>GJ/L</t>
  </si>
  <si>
    <t>Prefab ribs + EPS FILL</t>
  </si>
  <si>
    <t>The solar hot water system is assumed to cover 20% of the BC heating demand (-20.836 MJ/m²·a applied to the INSUL+ scenario)</t>
  </si>
  <si>
    <t xml:space="preserve"> </t>
  </si>
  <si>
    <t>Energy inflation</t>
  </si>
  <si>
    <t>Total energy use BC</t>
  </si>
  <si>
    <t>Solar Collector + auxiliary elec</t>
  </si>
  <si>
    <t>Yellow highlights indicate changes for the zero carbon calculations</t>
  </si>
  <si>
    <t>But we want to offset an embodied energy of</t>
  </si>
  <si>
    <t>and this results in an annualised embodied energy (primary) of</t>
  </si>
  <si>
    <t>kWh to offset every year</t>
  </si>
  <si>
    <t xml:space="preserve">So an extra annual electricity generation of </t>
  </si>
  <si>
    <t>1 monocrystalline panel is</t>
  </si>
  <si>
    <t>Add 10cm of EPS insulation in the outer walls, reducing the U-value by 41%</t>
  </si>
  <si>
    <t>Insulation Data</t>
  </si>
  <si>
    <t>U-value</t>
  </si>
  <si>
    <t>Notes</t>
  </si>
  <si>
    <t>Rock Wool boards</t>
  </si>
  <si>
    <t>EPS</t>
  </si>
  <si>
    <t>Cork</t>
  </si>
  <si>
    <t>Wood Wool</t>
  </si>
  <si>
    <t>Boards of 120x60cm
Density 70 kg/m3
Thickness starting 3cm</t>
  </si>
  <si>
    <t>Price per square meter per cm thickness
(price in USD TTC)</t>
  </si>
  <si>
    <t>Boards of 200x100cm
Thickness starting 2cm</t>
  </si>
  <si>
    <t>Boards of 100x50cm
Density 110-120 kg/m3
Thickness 2.5cm or 5cm</t>
  </si>
  <si>
    <t>Price per cubic meter 
(price in USD TTC)</t>
  </si>
  <si>
    <t>Cork Material</t>
  </si>
  <si>
    <t>7W LED NEW</t>
  </si>
  <si>
    <t xml:space="preserve">Note: actually, this case can be removed later on as LED lights have become the norm and the price difference with CFL has become negligible. </t>
  </si>
  <si>
    <t>Jan</t>
  </si>
  <si>
    <t>Feb</t>
  </si>
  <si>
    <t>Mar</t>
  </si>
  <si>
    <t>Apr</t>
  </si>
  <si>
    <t>May</t>
  </si>
  <si>
    <t>Jun</t>
  </si>
  <si>
    <t>Jul</t>
  </si>
  <si>
    <t>Aug</t>
  </si>
  <si>
    <t>Sep</t>
  </si>
  <si>
    <t>Oct</t>
  </si>
  <si>
    <t>Nov</t>
  </si>
  <si>
    <t>Dec</t>
  </si>
  <si>
    <t>Average of all years</t>
  </si>
  <si>
    <t>New Price calculations</t>
  </si>
  <si>
    <t>The installation cost of the whole system is 2 300 USD based</t>
  </si>
  <si>
    <t>on three quotes from three different providers. The bulk of</t>
  </si>
  <si>
    <t>the cost is associated with the vacuum tubes (1200 USD) and</t>
  </si>
  <si>
    <t>heat exchanger (700 USD). The remaining 400 USD cover</t>
  </si>
  <si>
    <t>insulated piping and labour cost. From this total cost, the</t>
  </si>
  <si>
    <t>price of the electric hot water cylinder should be deducted</t>
  </si>
  <si>
    <t>since it is not needed anymore in this system. This amounts</t>
  </si>
  <si>
    <t>to 250 USD which results in a final net cost for the solar</t>
  </si>
  <si>
    <t>collector system of 2050 USD. The system (vacuum tubes</t>
  </si>
  <si>
    <t>and heat exchanger) is replaced once over 50 years</t>
  </si>
  <si>
    <t>Vacuum tubes</t>
  </si>
  <si>
    <t>Manpower intallation of vacuum tubes and heat exchanger</t>
  </si>
  <si>
    <t xml:space="preserve">Less the cost of the traditional Electric heat exchanger </t>
  </si>
  <si>
    <t>including installation</t>
  </si>
  <si>
    <t>NET TOTAL</t>
  </si>
  <si>
    <t>The system (vacuum tubes and heat exchanger) is changed once over 50 years (at year 25). The cost of changing the system is</t>
  </si>
  <si>
    <t xml:space="preserve">Less the cost of changing the traditional Electric heat </t>
  </si>
  <si>
    <t>exchanger which would occur at the same time</t>
  </si>
  <si>
    <t>New price calculation for PV, per Wp</t>
  </si>
  <si>
    <t>Mounting system</t>
  </si>
  <si>
    <t>Custom duties</t>
  </si>
  <si>
    <t>VAT</t>
  </si>
  <si>
    <t>Stamp fee</t>
  </si>
  <si>
    <t>for one container</t>
  </si>
  <si>
    <t>Clearance fee</t>
  </si>
  <si>
    <t>20ft container cost from China</t>
  </si>
  <si>
    <t>Inland transport</t>
  </si>
  <si>
    <t>per container. From port to warehouse and from warehouse to site</t>
  </si>
  <si>
    <t>We would need one container for all the equipment for one building</t>
  </si>
  <si>
    <t>ExWorks</t>
  </si>
  <si>
    <t>Note: One container can load 360 panels or 420 batteries. Depending on the number of panels required, we could load everything (panels, batteries and mounting system) in one container</t>
  </si>
  <si>
    <t>this component should be divided by the total Wp of the building</t>
  </si>
  <si>
    <t>Approximation</t>
  </si>
  <si>
    <t>1 Panels price</t>
  </si>
  <si>
    <t>1 Total panels price ExWorks</t>
  </si>
  <si>
    <t>2 Batteries price EXW (2v 800ah OPzV tubular gel battery ) (24 batteries)</t>
  </si>
  <si>
    <t>3 Transportation and Taxes</t>
  </si>
  <si>
    <t>3 Total Transportation and Taxes (price component per Wp)</t>
  </si>
  <si>
    <t>5 Inverter Off-grid (TTC delivered)</t>
  </si>
  <si>
    <t>6 Design and Installation manpower</t>
  </si>
  <si>
    <t>7 Electrical accessories</t>
  </si>
  <si>
    <t>TOTAL Price component per Wp</t>
  </si>
  <si>
    <t>Approximation based on current market prices</t>
  </si>
  <si>
    <t>Calculation of the difference between tiles and stamped concrete</t>
  </si>
  <si>
    <t>Total area that will replaced: balconies and all indoors (excluding bathrooms)</t>
  </si>
  <si>
    <t>m2</t>
  </si>
  <si>
    <t>Cost of stamped concrete</t>
  </si>
  <si>
    <t>USD/m2</t>
  </si>
  <si>
    <t>Price includes material (steel and concrete) and manpower</t>
  </si>
  <si>
    <t>Cost of tiles</t>
  </si>
  <si>
    <t>Ceramic tiles average price between bedrooms and living/balconies</t>
  </si>
  <si>
    <t>Manpower Price</t>
  </si>
  <si>
    <t>Material Cost (mortar, bedding and grout)</t>
  </si>
  <si>
    <t xml:space="preserve">This price excludes the wastage which is usually around 10%. </t>
  </si>
  <si>
    <t xml:space="preserve">There is no wastage that we pay for as the stamped concrete is paid per square meter </t>
  </si>
  <si>
    <t>of finished surface. The wastage is on the subcontractor account</t>
  </si>
  <si>
    <t>note: the prices, for average ceramic tiles, are almost identical and we should not take into account any price difference. Moreover, in case the living areas were made of high end ceramics or even marble, the stamped</t>
  </si>
  <si>
    <t>concrete would become much cheaper. But this does not apply to our base case.</t>
  </si>
  <si>
    <t>If we take it into account (for the tiles), the price is almost identical to the stamped concrete</t>
  </si>
  <si>
    <t>To conclude, the price difference between the two is 0 at worst and positive in case high end tiles are used. However, we have to note that the stamped concrete might not have a great appeal with all customers</t>
  </si>
  <si>
    <t>but this is outside the scope of this paper.</t>
  </si>
  <si>
    <t>Calculation of the price difference when removing the wall between the kitchen and the living</t>
  </si>
  <si>
    <t>Area of partition wall removed</t>
  </si>
  <si>
    <t>Cost of partition wall</t>
  </si>
  <si>
    <t>Unit cost of partition wall</t>
  </si>
  <si>
    <t>Masonry blocks cost</t>
  </si>
  <si>
    <t>Mortar cost</t>
  </si>
  <si>
    <t>Manpower cost</t>
  </si>
  <si>
    <t>Unit cost of plastering</t>
  </si>
  <si>
    <t>Cost of plastering</t>
  </si>
  <si>
    <t>Cost of one door</t>
  </si>
  <si>
    <t>Unit cost of Paint</t>
  </si>
  <si>
    <t>including accessories, installation and paint</t>
  </si>
  <si>
    <t>Cost of tiles skirting saved</t>
  </si>
  <si>
    <t>There are 11 linear meters of skirting. The cost of 1 lm is around 5USD</t>
  </si>
  <si>
    <t>For example, if we consider that we paint every 10 years (but based on experience, we usually don’t paint before 15 years on average), the NPV of the first re-paint (after 10 years) is:</t>
  </si>
  <si>
    <t>NPV of first paint redo after 10 years</t>
  </si>
  <si>
    <t>NPV of first paint redo after 20 years</t>
  </si>
  <si>
    <t>NPV of first paint redo after 30 years</t>
  </si>
  <si>
    <t>NPV of first paint redo after 40 years</t>
  </si>
  <si>
    <t>Total NPV of paint redos</t>
  </si>
  <si>
    <t>TOTAL NPV of partition removal</t>
  </si>
  <si>
    <t>Total initial cost of removed partition</t>
  </si>
  <si>
    <t>This total cost could be equal to the NPV of this scenario as there is no recurrent costs. We could argue that there are recurrent savings for the paint of this partition.</t>
  </si>
  <si>
    <t>Cost of paint on one side</t>
  </si>
  <si>
    <t>Cost of tiles on one side (kitchen side)</t>
  </si>
  <si>
    <t>We use the same tiles cost as in the STAMPED_CONC sheet</t>
  </si>
  <si>
    <t>Calculation of the cost difference for having an insulated double wall, painted on the external side, on the atrium</t>
  </si>
  <si>
    <t>Area of the atrium wall</t>
  </si>
  <si>
    <t>Unit cost of atrium wall (one wall 10cm thick, the second wall was already there)</t>
  </si>
  <si>
    <t>Cost of atrium wall</t>
  </si>
  <si>
    <t>Cost of plastering (only external side)</t>
  </si>
  <si>
    <t>Cost of insulation (10cm thick cork)</t>
  </si>
  <si>
    <t>Cost of 1.5m2 window in the wall</t>
  </si>
  <si>
    <t>Total initial additional cost of atrium wall</t>
  </si>
  <si>
    <t>Recurrent Costs</t>
  </si>
  <si>
    <t>Initial Costs</t>
  </si>
  <si>
    <t>The additional recurrent costs are those of the external paint</t>
  </si>
  <si>
    <t>TOTAL NPV of atrium wall</t>
  </si>
  <si>
    <t>Calculation of the cost difference for having part of the south façade cladded with PV panels instead of natural stone.</t>
  </si>
  <si>
    <t>The area that will be covered with PV panels is the balconies and flower trays south parapets which are the most exposed.</t>
  </si>
  <si>
    <t>Total Area of the south façade to be covered with PV</t>
  </si>
  <si>
    <t>Unit cost of natural stone cladding</t>
  </si>
  <si>
    <t>Stone cost</t>
  </si>
  <si>
    <t>Water repellent</t>
  </si>
  <si>
    <t>Cost of natural stone</t>
  </si>
  <si>
    <t>Cost of PV panels</t>
  </si>
  <si>
    <t>Total Wp installed</t>
  </si>
  <si>
    <t>Panels EXW price (monocrystalline, 415Wp per panel)</t>
  </si>
  <si>
    <t>Number of panels (2m2 each)</t>
  </si>
  <si>
    <t>Wp per panel</t>
  </si>
  <si>
    <t>Wp</t>
  </si>
  <si>
    <t>Roof capacity for PV panels</t>
  </si>
  <si>
    <t>The roof area available for PV panels is 190 m2 (mostly exposed east and west and a small area south)</t>
  </si>
  <si>
    <t>Available area for PV panels</t>
  </si>
  <si>
    <t>Corresponding number of panels (2m2 each)</t>
  </si>
  <si>
    <t>Cost per Wp</t>
  </si>
  <si>
    <t>Total initial additional cost PV panels</t>
  </si>
  <si>
    <t>The additional recurrent costs are as follows:</t>
  </si>
  <si>
    <t>Replacement of inverters and batteries once every 10 years</t>
  </si>
  <si>
    <t>Replacement of mirrors once every 25 years</t>
  </si>
  <si>
    <t>We consider each time half the manpower and accessories costs</t>
  </si>
  <si>
    <t>SF_PV</t>
  </si>
  <si>
    <t>1 panel is 415 Wp monocrystalline</t>
  </si>
  <si>
    <t>The average annual electricity generation of 1 kWp on the roof</t>
  </si>
  <si>
    <t>The average annual electricity generation of 1 kWp on the south façade</t>
  </si>
  <si>
    <t>The average solar radiation on a south façade in Sehaileh is 1080 kWh based on a simulator from the European Commission</t>
  </si>
  <si>
    <t>Total annual generation of roof array</t>
  </si>
  <si>
    <t>We install 49.8 kWp</t>
  </si>
  <si>
    <t>Remove all tiles and replaced with stamped concrete</t>
  </si>
  <si>
    <t>Remove ceramic tiles from BC</t>
  </si>
  <si>
    <t>Add stamped concrete</t>
  </si>
  <si>
    <t>PART_WALL</t>
  </si>
  <si>
    <t>Remove the partition wall between the kitchen and the dining room</t>
  </si>
  <si>
    <t>ATR_WALL</t>
  </si>
  <si>
    <t>kWh of embodied energy per kWp per year over 50 years</t>
  </si>
  <si>
    <t>The average annual delivered electricity demand for new efficient scenario</t>
  </si>
  <si>
    <t>The remaining electricty that needs to be offset is</t>
  </si>
  <si>
    <t>We need 24 batteries of 2V 800Ah for each array of 5kWp to have an autonomy of about 7h</t>
  </si>
  <si>
    <t>Exworks per array</t>
  </si>
  <si>
    <t>New Cases</t>
  </si>
  <si>
    <t>PV_ROOF</t>
  </si>
  <si>
    <t>Calculation of the cost savings for not having a gas heating system (with radiators) in the apartment</t>
  </si>
  <si>
    <t>Number of radiators in one apartment</t>
  </si>
  <si>
    <t>Total number of radiators elements in one apartment</t>
  </si>
  <si>
    <t>but this is included in the INSUL+ case</t>
  </si>
  <si>
    <t>Unit cost of 1 element (material)</t>
  </si>
  <si>
    <t>USD/elt</t>
  </si>
  <si>
    <t>Material cost per radiator (valve, etc)</t>
  </si>
  <si>
    <t>USD/rd</t>
  </si>
  <si>
    <t>Manpower cost per radiator including piping</t>
  </si>
  <si>
    <t>Boiler cost</t>
  </si>
  <si>
    <t>Manpower cost per boiler</t>
  </si>
  <si>
    <t>Cost of system installation</t>
  </si>
  <si>
    <t>Total cost of system installation</t>
  </si>
  <si>
    <t>Pipes cost per radiator, including accessories (approximation)</t>
  </si>
  <si>
    <t>The additional recurrent costs are those for the maintenance and replacement of the boiler (we change the boiler once every 30 years)</t>
  </si>
  <si>
    <t>Savings</t>
  </si>
  <si>
    <t xml:space="preserve">The savings are the gas savings over 50 yrs (no more gas) and the electricity savings of the boiler (the pump in the boiler). However, we have to be careful with double counting the electricity savings since when we install </t>
  </si>
  <si>
    <t>the PV system, we anyways save all the electricity costs. So it might be easier not to take them into account at all since they are anyways very small.</t>
  </si>
  <si>
    <t>Gas installation for boiler (tank+pipes+valves+manpower)</t>
  </si>
  <si>
    <t>Additional costs</t>
  </si>
  <si>
    <t>more, but we will neglect this aspect.</t>
  </si>
  <si>
    <t>AC_HEATING</t>
  </si>
  <si>
    <t>ALL_PV_ZERO_CARBON</t>
  </si>
  <si>
    <r>
      <t>IEGHG (kgCO</t>
    </r>
    <r>
      <rPr>
        <vertAlign val="subscript"/>
        <sz val="11"/>
        <color theme="1"/>
        <rFont val="Calibri"/>
        <family val="2"/>
        <scheme val="minor"/>
      </rPr>
      <t>2</t>
    </r>
    <r>
      <rPr>
        <sz val="11"/>
        <color theme="1"/>
        <rFont val="Calibri"/>
        <family val="2"/>
        <scheme val="minor"/>
      </rPr>
      <t>e)</t>
    </r>
  </si>
  <si>
    <r>
      <t>REGHG (kgCO</t>
    </r>
    <r>
      <rPr>
        <vertAlign val="subscript"/>
        <sz val="11"/>
        <color theme="1"/>
        <rFont val="Calibri"/>
        <family val="2"/>
        <scheme val="minor"/>
      </rPr>
      <t>2</t>
    </r>
    <r>
      <rPr>
        <sz val="11"/>
        <color theme="1"/>
        <rFont val="Calibri"/>
        <family val="2"/>
        <scheme val="minor"/>
      </rPr>
      <t>e)</t>
    </r>
  </si>
  <si>
    <r>
      <t>LCEGHG (kgCO</t>
    </r>
    <r>
      <rPr>
        <vertAlign val="subscript"/>
        <sz val="11"/>
        <color theme="1"/>
        <rFont val="Calibri"/>
        <family val="2"/>
        <scheme val="minor"/>
      </rPr>
      <t>2</t>
    </r>
    <r>
      <rPr>
        <sz val="11"/>
        <color theme="1"/>
        <rFont val="Calibri"/>
        <family val="2"/>
        <scheme val="minor"/>
      </rPr>
      <t>e)</t>
    </r>
  </si>
  <si>
    <t>EFElecLeb</t>
  </si>
  <si>
    <r>
      <t>kgCO</t>
    </r>
    <r>
      <rPr>
        <vertAlign val="subscript"/>
        <sz val="11"/>
        <color theme="1"/>
        <rFont val="Calibri"/>
        <family val="2"/>
        <scheme val="minor"/>
      </rPr>
      <t>2</t>
    </r>
    <r>
      <rPr>
        <sz val="11"/>
        <color theme="1"/>
        <rFont val="Calibri"/>
        <family val="2"/>
        <scheme val="minor"/>
      </rPr>
      <t>e/GJ</t>
    </r>
    <r>
      <rPr>
        <vertAlign val="superscript"/>
        <sz val="11"/>
        <color theme="1"/>
        <rFont val="Calibri"/>
        <family val="2"/>
        <scheme val="minor"/>
      </rPr>
      <t>PRIMARY</t>
    </r>
  </si>
  <si>
    <r>
      <t>LCOPGHG (kgCO</t>
    </r>
    <r>
      <rPr>
        <vertAlign val="subscript"/>
        <sz val="11"/>
        <color theme="1"/>
        <rFont val="Calibri"/>
        <family val="2"/>
        <scheme val="minor"/>
      </rPr>
      <t>2</t>
    </r>
    <r>
      <rPr>
        <sz val="11"/>
        <color theme="1"/>
        <rFont val="Calibri"/>
        <family val="2"/>
        <scheme val="minor"/>
      </rPr>
      <t>e/50 years)</t>
    </r>
  </si>
  <si>
    <t>LCOGHG (kgCO2e/50 years)</t>
  </si>
  <si>
    <t>Additional masonry blocks</t>
  </si>
  <si>
    <t>Additional double glazing</t>
  </si>
  <si>
    <t>Additional water-based paint</t>
  </si>
  <si>
    <t>Additional mortar</t>
  </si>
  <si>
    <t>Remove heating delivery units</t>
  </si>
  <si>
    <t>Remove heating generation units</t>
  </si>
  <si>
    <t>Additional primary energy (less gas burned but electricty used)</t>
  </si>
  <si>
    <t>Additional emissions (less gas burned but electricty used)</t>
  </si>
  <si>
    <t>EFGas</t>
  </si>
  <si>
    <t>Emissions offset</t>
  </si>
  <si>
    <t>Additional 10cm of EPS in outer walls</t>
  </si>
  <si>
    <t>Remove Partition wall between kitchen and dining room</t>
  </si>
  <si>
    <t>Initial embodied</t>
  </si>
  <si>
    <t>Recurrent embodied</t>
  </si>
  <si>
    <t>Life cycle embodied</t>
  </si>
  <si>
    <t>Life cycle delivered operational</t>
  </si>
  <si>
    <t>Life cycle primary operational</t>
  </si>
  <si>
    <t>Total life cycle</t>
  </si>
  <si>
    <r>
      <t>kgCO</t>
    </r>
    <r>
      <rPr>
        <vertAlign val="subscript"/>
        <sz val="11"/>
        <color theme="1"/>
        <rFont val="Calibri"/>
        <family val="2"/>
        <scheme val="minor"/>
      </rPr>
      <t>2</t>
    </r>
    <r>
      <rPr>
        <sz val="11"/>
        <color theme="1"/>
        <rFont val="Calibri"/>
        <family val="2"/>
        <scheme val="minor"/>
      </rPr>
      <t>e</t>
    </r>
  </si>
  <si>
    <r>
      <t>kgCO</t>
    </r>
    <r>
      <rPr>
        <vertAlign val="subscript"/>
        <sz val="11"/>
        <color theme="1"/>
        <rFont val="Calibri"/>
        <family val="2"/>
        <scheme val="minor"/>
      </rPr>
      <t>2</t>
    </r>
    <r>
      <rPr>
        <sz val="11"/>
        <color theme="1"/>
        <rFont val="Calibri"/>
        <family val="2"/>
        <scheme val="minor"/>
      </rPr>
      <t>e/capita</t>
    </r>
  </si>
  <si>
    <t>kgCO2e of embodied emissions per kWp per year over 50 years</t>
  </si>
  <si>
    <t>kgCO2e of emissions avoided per kWp over 50 years</t>
  </si>
  <si>
    <t>kWh generated per kWp per year over 50 years</t>
  </si>
  <si>
    <t>We are able to reach net positive life cycle energy buildings</t>
  </si>
  <si>
    <t>Emissions calculations</t>
  </si>
  <si>
    <t>We produce an extra</t>
  </si>
  <si>
    <t>kWh/year over 50 years</t>
  </si>
  <si>
    <t>Which we avoiding the generation of electricity on the Lebanese grid with a PEF of 3.8</t>
  </si>
  <si>
    <t>Which equates to saving</t>
  </si>
  <si>
    <t>Which equates to avoiding the emissions of</t>
  </si>
  <si>
    <t>kgCO2e /year over 50 years</t>
  </si>
  <si>
    <t>But we need to offset</t>
  </si>
  <si>
    <t>kgCO2e in total over 50 years</t>
  </si>
  <si>
    <t>or</t>
  </si>
  <si>
    <t>kgCO2e/year</t>
  </si>
  <si>
    <t>GJ of primary energy / year over 50 years</t>
  </si>
  <si>
    <t>kgCO2e year</t>
  </si>
  <si>
    <t>So we actually offset all of that and an extra</t>
  </si>
  <si>
    <t>Net</t>
  </si>
  <si>
    <t>BC LC</t>
  </si>
  <si>
    <t>LC NET</t>
  </si>
  <si>
    <t>The net positive LC Primary energy is</t>
  </si>
  <si>
    <t>Or in total</t>
  </si>
  <si>
    <t>GJ/unit</t>
  </si>
  <si>
    <t>kgCO2e</t>
  </si>
  <si>
    <t>kgCO2e/unit</t>
  </si>
  <si>
    <t>MATCHES calc above (difference due to rounding)</t>
  </si>
  <si>
    <t>LCEGHGE structure</t>
  </si>
  <si>
    <t>LCEGHGE envelope</t>
  </si>
  <si>
    <t>LCEGHGE finishes</t>
  </si>
  <si>
    <t>LCEGHGE systems</t>
  </si>
  <si>
    <t>LCOPGHGE thermal</t>
  </si>
  <si>
    <t>LCOPGHGE non-thermal</t>
  </si>
  <si>
    <t>LCEGHG solar photovoltaic</t>
  </si>
  <si>
    <t>LCEGHGE other</t>
  </si>
  <si>
    <t>BC apartment</t>
  </si>
  <si>
    <t>Improved apartment</t>
  </si>
  <si>
    <t>Net zero life cycle greenhouse gas emissions building</t>
  </si>
  <si>
    <t>Accumulated PV of CF</t>
  </si>
  <si>
    <t>Accumulated PV of CF for the whole building</t>
  </si>
  <si>
    <t>Base Case Building</t>
  </si>
  <si>
    <t xml:space="preserve">The additional costs will mainly come from the electricity demand to heat the house using AC's. These AC's are anyways installed for cooling and will be maintained and so on. They might wear a bit quicker because they are used </t>
  </si>
  <si>
    <t>The area that can be covered on each floor is</t>
  </si>
  <si>
    <t>The total number of storey is</t>
  </si>
  <si>
    <t>storeys</t>
  </si>
  <si>
    <t>We need 72 batteries for this system</t>
  </si>
  <si>
    <t>NPV BC of replacement at 30 yrs</t>
  </si>
  <si>
    <t>NPV low of replacement at 30 yrs</t>
  </si>
  <si>
    <t>NPV high of replacement at 30 yrs</t>
  </si>
  <si>
    <t>BC NPV of recurrent costs</t>
  </si>
  <si>
    <t>NPV low of recurrent costs</t>
  </si>
  <si>
    <t>NPV low of first paint redo after 10 years</t>
  </si>
  <si>
    <t>NPV low of first paint redo after 20 years</t>
  </si>
  <si>
    <t>NPV low of first paint redo after 30 years</t>
  </si>
  <si>
    <t>NPV low of first paint redo after 40 years</t>
  </si>
  <si>
    <t>Total NPV low of paint redos</t>
  </si>
  <si>
    <t>TOTAL NPV low of atrium wall</t>
  </si>
  <si>
    <t>NPV high of recurrent costs</t>
  </si>
  <si>
    <t>NPV high of first paint redo after 10 years</t>
  </si>
  <si>
    <t>NPV high of first paint redo after 20 years</t>
  </si>
  <si>
    <t>NPV high of first paint redo after 30 years</t>
  </si>
  <si>
    <t>NPV high of first paint redo after 40 years</t>
  </si>
  <si>
    <t>Total NPV high of paint redos</t>
  </si>
  <si>
    <t>TOTAL NPV high of atrium wall</t>
  </si>
  <si>
    <t>TOTAL NPV low of partition removal</t>
  </si>
  <si>
    <t>TOTAL NPV high of partition removal</t>
  </si>
  <si>
    <t>SF_PV_5S</t>
  </si>
  <si>
    <t>SF_PV_10S</t>
  </si>
  <si>
    <t>Total Wp installed on the south façade BC</t>
  </si>
  <si>
    <t>TOTAL Wp installed in the building BC</t>
  </si>
  <si>
    <t>Total panels in the BC with their cost</t>
  </si>
  <si>
    <t>Total Wp installed on the roof BC</t>
  </si>
  <si>
    <t>TOTAL PRICE per Wp BC</t>
  </si>
  <si>
    <t>Recurrent Costs for roof array (same for all cases)</t>
  </si>
  <si>
    <t>Total panels in the 5S scenario with their cost</t>
  </si>
  <si>
    <t>Total Wp installed on the roof 5S</t>
  </si>
  <si>
    <t>Total Wp installed on the south façade 5S</t>
  </si>
  <si>
    <t>TOTAL Wp installed in the building 5S</t>
  </si>
  <si>
    <t>TOTAL PRICE per Wp 5S</t>
  </si>
  <si>
    <t>Total panels in the 10S scenario with their cost</t>
  </si>
  <si>
    <t>TOTAL Price component in USD BC</t>
  </si>
  <si>
    <t>TOTAL Price component in USD 5S</t>
  </si>
  <si>
    <t>TOTAL Price component in USD 10S</t>
  </si>
  <si>
    <t>Total Wp installed on the roof 10S</t>
  </si>
  <si>
    <t>Total Wp installed on the south façade 10S</t>
  </si>
  <si>
    <t>TOTAL Wp installed in the building 10S</t>
  </si>
  <si>
    <t>TOTAL PRICE per Wp 10S</t>
  </si>
  <si>
    <t>Total annual generation of south façade array BC</t>
  </si>
  <si>
    <t>Total annual generation of south façade array 5S</t>
  </si>
  <si>
    <t>Total annual generation of south façade array 10S</t>
  </si>
  <si>
    <t>Total annual generation of PV array (roof + façade) BC</t>
  </si>
  <si>
    <t>Total annual generation of PV array (roof + façade) 5S</t>
  </si>
  <si>
    <t>Total annual generation of PV array (roof + façade) 10S</t>
  </si>
  <si>
    <t>Total annual generation of PV array for one apartment BC</t>
  </si>
  <si>
    <t>Total annual generation of PV array for one apartment 5S</t>
  </si>
  <si>
    <t>Total annual generation of PV array for one apartment 10S</t>
  </si>
  <si>
    <t>The average solar fraction BC</t>
  </si>
  <si>
    <t>The average solar fraction 5S</t>
  </si>
  <si>
    <t>The average solar fraction 10S</t>
  </si>
  <si>
    <t>Required number of batteries (24 batteries for each 5kWp)</t>
  </si>
  <si>
    <t>We need 168 batteries for this system</t>
  </si>
  <si>
    <t>Total number of batteries for the roof array</t>
  </si>
  <si>
    <t>batteries</t>
  </si>
  <si>
    <t>4 Total Transportation and Taxes (price component in USD) - BC</t>
  </si>
  <si>
    <t xml:space="preserve">  Total Transportation and Taxes (price component in USD) - 5S</t>
  </si>
  <si>
    <t xml:space="preserve">  Total Transportation and Taxes (price component in USD) - 10S</t>
  </si>
  <si>
    <t>The total number of aoartments is (2 apartments per storey)</t>
  </si>
  <si>
    <t>apartments</t>
  </si>
  <si>
    <t>PV_ROOF_5S</t>
  </si>
  <si>
    <t>PV_ROOF_10S</t>
  </si>
  <si>
    <t>ALL_PV_ZERO_CARBON_5S</t>
  </si>
  <si>
    <t>ALL_PV_ZERO_CARBON_10S</t>
  </si>
  <si>
    <t>We produce 14% more energy than needed in the BC</t>
  </si>
  <si>
    <t>We produce 5% less energy than needed in the BC</t>
  </si>
  <si>
    <t>We produce 43% less energy than needed in the BC</t>
  </si>
  <si>
    <t>kgCO2e/m²·a for the ZLCGHG apartment</t>
  </si>
  <si>
    <t>Gross floor area</t>
  </si>
  <si>
    <t>kgCO2e/m²·a for the BC apartment</t>
  </si>
  <si>
    <r>
      <t>kgCO</t>
    </r>
    <r>
      <rPr>
        <vertAlign val="subscript"/>
        <sz val="11"/>
        <color theme="1"/>
        <rFont val="Calibri"/>
        <family val="2"/>
        <scheme val="minor"/>
      </rPr>
      <t>2</t>
    </r>
    <r>
      <rPr>
        <sz val="11"/>
        <color theme="1"/>
        <rFont val="Calibri"/>
        <family val="2"/>
        <scheme val="minor"/>
      </rPr>
      <t>e/m²(UFA)</t>
    </r>
  </si>
  <si>
    <t>kWp/apartment</t>
  </si>
  <si>
    <t>Based on the PV scenario, we can install 6.588 kWp of panels or</t>
  </si>
  <si>
    <t>The average annual produced PV electricity</t>
  </si>
  <si>
    <t>CPI=4.4% r =15%</t>
  </si>
  <si>
    <t>EF el = 10</t>
  </si>
  <si>
    <t>EF el = 20</t>
  </si>
  <si>
    <t>EF el = 0</t>
  </si>
  <si>
    <t>EF el = 30</t>
  </si>
  <si>
    <t>EF el = 40</t>
  </si>
  <si>
    <t>EF el = 50</t>
  </si>
  <si>
    <t>EF el = 60</t>
  </si>
  <si>
    <t>NS = 5</t>
  </si>
  <si>
    <t>NS = 10</t>
  </si>
  <si>
    <t>Abbreviation</t>
  </si>
  <si>
    <t>EE | EGHG -40%</t>
  </si>
  <si>
    <t>EE |EGHG +40%</t>
  </si>
  <si>
    <t>OPE | OPGHG -20%</t>
  </si>
  <si>
    <t>OPE | OPGHG +20%</t>
  </si>
  <si>
    <t>EE -40 OPE-20</t>
  </si>
  <si>
    <t>EE -40 OPE +20</t>
  </si>
  <si>
    <t>EE +40 OPE -20</t>
  </si>
  <si>
    <t>EE +40 OPE +20</t>
  </si>
  <si>
    <t>CPI=2% r=4% EF el= 0</t>
  </si>
  <si>
    <t>CPI=2% r=4% EF el= 10</t>
  </si>
  <si>
    <t>CPI=2% r=4% EF el= 20</t>
  </si>
  <si>
    <t>CPI=2% r=4% EF el= 30</t>
  </si>
  <si>
    <t>CPI=2% r=4% EF el= 40</t>
  </si>
  <si>
    <t>CPI=2% r=4% EF el= 50</t>
  </si>
  <si>
    <t>CPI=2% r=4% EF el= 60</t>
  </si>
  <si>
    <t>CPI=4% r=15% EF el= 0</t>
  </si>
  <si>
    <t>NZLCPEGHG</t>
  </si>
  <si>
    <t>LCE (GJ/apartment)</t>
  </si>
  <si>
    <r>
      <t>LCGHG (kgCO</t>
    </r>
    <r>
      <rPr>
        <vertAlign val="subscript"/>
        <sz val="11"/>
        <color theme="1"/>
        <rFont val="Calibri"/>
        <family val="2"/>
        <scheme val="minor"/>
      </rPr>
      <t>2</t>
    </r>
    <r>
      <rPr>
        <sz val="11"/>
        <color theme="1"/>
        <rFont val="Calibri"/>
        <family val="2"/>
        <scheme val="minor"/>
      </rPr>
      <t>e/apartment)</t>
    </r>
  </si>
  <si>
    <r>
      <rPr>
        <sz val="11"/>
        <color theme="1"/>
        <rFont val="Calibri"/>
        <family val="2"/>
      </rPr>
      <t>Δ</t>
    </r>
    <r>
      <rPr>
        <sz val="11"/>
        <color theme="1"/>
        <rFont val="Calibri"/>
        <family val="2"/>
        <scheme val="minor"/>
      </rPr>
      <t>LCC (USD2020/apartment)</t>
    </r>
  </si>
  <si>
    <t>Multiplier value</t>
  </si>
  <si>
    <t>Used above</t>
  </si>
  <si>
    <t>CPI=4.4% r=15% EF el= 10</t>
  </si>
  <si>
    <t>CPI=4.4% r=15% EF el= 20</t>
  </si>
  <si>
    <t>CPI=4.4% r=15% EF el= 30</t>
  </si>
  <si>
    <t>CPI=4.4% r=15% EF el= 40</t>
  </si>
  <si>
    <t>CPI=4.4% r=15% EF el= 50</t>
  </si>
  <si>
    <t>CPI=4.4% r=15% EF el= 60</t>
  </si>
  <si>
    <t>LCE (GJ/building)</t>
  </si>
  <si>
    <r>
      <t>LCGHG (kgCO</t>
    </r>
    <r>
      <rPr>
        <vertAlign val="subscript"/>
        <sz val="11"/>
        <color theme="1"/>
        <rFont val="Calibri"/>
        <family val="2"/>
        <scheme val="minor"/>
      </rPr>
      <t>2</t>
    </r>
    <r>
      <rPr>
        <sz val="11"/>
        <color theme="1"/>
        <rFont val="Calibri"/>
        <family val="2"/>
        <scheme val="minor"/>
      </rPr>
      <t>e/building)</t>
    </r>
  </si>
  <si>
    <r>
      <rPr>
        <sz val="11"/>
        <color theme="1"/>
        <rFont val="Calibri"/>
        <family val="2"/>
      </rPr>
      <t>Δ</t>
    </r>
    <r>
      <rPr>
        <sz val="11"/>
        <color theme="1"/>
        <rFont val="Calibri"/>
        <family val="2"/>
        <scheme val="minor"/>
      </rPr>
      <t>LCC (USD2020/building)</t>
    </r>
  </si>
  <si>
    <r>
      <rPr>
        <sz val="11"/>
        <color theme="1"/>
        <rFont val="Calibri"/>
        <family val="2"/>
      </rPr>
      <t>Δ</t>
    </r>
    <r>
      <rPr>
        <sz val="11"/>
        <color theme="1"/>
        <rFont val="Calibri"/>
        <family val="2"/>
        <scheme val="minor"/>
      </rPr>
      <t>LCC (USD2020/m² GFA)</t>
    </r>
  </si>
  <si>
    <t>The average annual delivered electricity demand of the BC apartment</t>
  </si>
  <si>
    <t>The average annual delivered electricity demand of the NZLCPEGHGE apartment</t>
  </si>
  <si>
    <t>LCEE (GJ/apartment)</t>
  </si>
  <si>
    <t>LCOPE (GJ/apartment)</t>
  </si>
  <si>
    <r>
      <t>LCOPGHG (kgCO</t>
    </r>
    <r>
      <rPr>
        <vertAlign val="subscript"/>
        <sz val="11"/>
        <color theme="1"/>
        <rFont val="Calibri"/>
        <family val="2"/>
        <scheme val="minor"/>
      </rPr>
      <t>2</t>
    </r>
    <r>
      <rPr>
        <sz val="11"/>
        <color theme="1"/>
        <rFont val="Calibri"/>
        <family val="2"/>
        <scheme val="minor"/>
      </rPr>
      <t>e/apartment)</t>
    </r>
  </si>
  <si>
    <r>
      <t>LCEGHG (kgCO</t>
    </r>
    <r>
      <rPr>
        <vertAlign val="subscript"/>
        <sz val="11"/>
        <color theme="1"/>
        <rFont val="Calibri"/>
        <family val="2"/>
        <scheme val="minor"/>
      </rPr>
      <t>2</t>
    </r>
    <r>
      <rPr>
        <sz val="11"/>
        <color theme="1"/>
        <rFont val="Calibri"/>
        <family val="2"/>
        <scheme val="minor"/>
      </rPr>
      <t>e/apartment)</t>
    </r>
  </si>
  <si>
    <t>ALL_PV_ZERO_CARBON-20%_OPE</t>
  </si>
  <si>
    <t>ALL_PV_ZERO_CARBON+20%_OPE</t>
  </si>
  <si>
    <t>The average solar fraction of the BC with 20% extra operational energy use</t>
  </si>
  <si>
    <t>PEF EDL</t>
  </si>
  <si>
    <t>Share of EDL electricity</t>
  </si>
  <si>
    <t>Emissions factor of HFO used in EDL</t>
  </si>
  <si>
    <t>Variable</t>
  </si>
  <si>
    <t>Source</t>
  </si>
  <si>
    <t>PEF Generator</t>
  </si>
  <si>
    <t>Share of Generator electricity</t>
  </si>
  <si>
    <t>Emissions factor of Diesel used in EDL</t>
  </si>
  <si>
    <t>Average emissions factor for Lebanon</t>
  </si>
  <si>
    <t>Emissions factor calculation - based on our own Data</t>
  </si>
  <si>
    <t>Emissions factor calculation - based on data from</t>
  </si>
  <si>
    <t>PEF Generator at source (no distribution losses)</t>
  </si>
  <si>
    <t>PEF EDL at plant (no distribution losses, no energy generation requirements)</t>
  </si>
  <si>
    <t>Stephan and Stephan (2014)</t>
  </si>
  <si>
    <t xml:space="preserve">MOE/UNDP/GEF. (2015). National Greenhouse Gas Inventory Report and Mitigation Analysis for the Energy Sector in Lebanon. Retrieved from Beirut: </t>
  </si>
  <si>
    <t>MOE/UNDP/GEF. (2015)</t>
  </si>
  <si>
    <t>Emissions factor EDL at plant</t>
  </si>
  <si>
    <t>kgCO2e/GJ</t>
  </si>
  <si>
    <t>Additional distribution losses</t>
  </si>
  <si>
    <t>Need to normalise the losses as a ratio of the PEFs obtained with losses and without, hence the 1.25 instead of 1.2 for 20% losses on the grid</t>
  </si>
  <si>
    <t>Additional distribution and energy generation losses</t>
  </si>
  <si>
    <t>Need to normalise the losses as a ratio of the PEFs obtained with losses and without</t>
  </si>
  <si>
    <t>They report 713 tCO2e/GWh</t>
  </si>
  <si>
    <t>They report 847 tCO2e/GWh</t>
  </si>
  <si>
    <t>Emissions factor Generators at plant</t>
  </si>
  <si>
    <t>Emissions factor EDL per delivered energy unit</t>
  </si>
  <si>
    <t>Emissions factor EDL per primary energy unit</t>
  </si>
  <si>
    <t>Emissions factor of generators per primary energy unit</t>
  </si>
  <si>
    <t>kgCO2e/GJ (DELIVERED)</t>
  </si>
  <si>
    <t>kgCO2e/GJ (PRIMARY)</t>
  </si>
  <si>
    <t xml:space="preserve">Department of Climate Change and Energy Efficiency. (2011). National greenhouse accounts factors. Retrieved from Canberra: </t>
  </si>
  <si>
    <t>kgCO2e/GJ (AT PLANT)</t>
  </si>
  <si>
    <t>kgCO2e/kWh (DELIVERED)</t>
  </si>
  <si>
    <t>Very close to 1.08 kgCO2e/kWh for the state of Victoria, Australia which runs on Brown Coal</t>
  </si>
  <si>
    <t>DHW (electric)</t>
  </si>
  <si>
    <t>ALL_PV_ZERO_CARBON_+20%_OPE</t>
  </si>
  <si>
    <t>LCEE structure</t>
  </si>
  <si>
    <t>LCAGHGE solar photovoltaic</t>
  </si>
  <si>
    <t>Total LCGHGE</t>
  </si>
  <si>
    <t>Total LCE</t>
  </si>
  <si>
    <t>LCEE envelope</t>
  </si>
  <si>
    <t>LCEE systems</t>
  </si>
  <si>
    <t>LCEE finishes</t>
  </si>
  <si>
    <t>LCEE other</t>
  </si>
  <si>
    <t>LCE solar photovoltaic</t>
  </si>
  <si>
    <t>LCOPE thermal</t>
  </si>
  <si>
    <t>LCOPE non-thermal</t>
  </si>
  <si>
    <t>LCAE solar photovoltaic</t>
  </si>
  <si>
    <t>PV of Δcapex for the whole building</t>
  </si>
  <si>
    <t>PV of ES for the whole building</t>
  </si>
  <si>
    <t>PV of GS for the whole building</t>
  </si>
  <si>
    <t>PV of CF for the whole building</t>
  </si>
  <si>
    <t>εr(LCC)</t>
  </si>
  <si>
    <r>
      <t>LCGHG (kgCO</t>
    </r>
    <r>
      <rPr>
        <vertAlign val="subscript"/>
        <sz val="11"/>
        <color theme="1"/>
        <rFont val="Calibri"/>
        <family val="2"/>
        <scheme val="minor"/>
      </rPr>
      <t>2</t>
    </r>
    <r>
      <rPr>
        <sz val="11"/>
        <color theme="1"/>
        <rFont val="Calibri"/>
        <family val="2"/>
        <scheme val="minor"/>
      </rPr>
      <t>e/m² gross floor area)</t>
    </r>
  </si>
  <si>
    <t>Initial Embodied Energy (GJ/m² gross floor area)</t>
  </si>
  <si>
    <t>Recurrent Embodied Energy (GJ/m² gross floor area) - over 50 years</t>
  </si>
  <si>
    <t>Initial Embodied Greenhouse Gas Emissions (kgCO2e/m² gross floor area)</t>
  </si>
  <si>
    <t>Recurrent Embodied Greenhouse Gas Emissions (kgCO2e/m² gross floor area) - over 50 years</t>
  </si>
  <si>
    <t>Life Cycle Embodied Greenhouse Gas Emissions (kgCO2e/m² gross floor area) - over 50 years</t>
  </si>
  <si>
    <t>Life Cycle Embodied Energy (GJ/m² gross floor area) - over 50 years</t>
  </si>
  <si>
    <t>Net Zero Life Cycle Primary Energy and Greenhouse Gas Emissions Apartment Building</t>
  </si>
  <si>
    <t>GJ/m² GFA</t>
  </si>
  <si>
    <t>GJ/m² UFA</t>
  </si>
  <si>
    <r>
      <t>kgCO</t>
    </r>
    <r>
      <rPr>
        <vertAlign val="subscript"/>
        <sz val="11"/>
        <color theme="1"/>
        <rFont val="Calibri"/>
        <family val="2"/>
        <scheme val="minor"/>
      </rPr>
      <t>2</t>
    </r>
    <r>
      <rPr>
        <sz val="11"/>
        <color theme="1"/>
        <rFont val="Calibri"/>
        <family val="2"/>
        <scheme val="minor"/>
      </rPr>
      <t>e/m²(GFA)</t>
    </r>
  </si>
  <si>
    <t>PV production</t>
  </si>
  <si>
    <t>Relative Difference (%)</t>
  </si>
  <si>
    <t>Embodied environmental flow</t>
  </si>
  <si>
    <t>Base Case apartment building</t>
  </si>
  <si>
    <t>Price without batteries</t>
  </si>
  <si>
    <t>TOTAL Price component in USD BC without batteries</t>
  </si>
  <si>
    <t>Replacement of inverters once every 10 years (case without batteries)</t>
  </si>
  <si>
    <t>PV_ROOF_NO_BATT</t>
  </si>
  <si>
    <t>The total number of apartments is (2 apartments per storey)</t>
  </si>
  <si>
    <t>SF_PV_NO_BATT</t>
  </si>
  <si>
    <t>Cost per Wp without batteries</t>
  </si>
  <si>
    <t>Total initial additional cost PV panels without batteries</t>
  </si>
  <si>
    <t>ALL_PV_ZERO_CARBON_NO_BATT</t>
  </si>
  <si>
    <t>Emissions factor of generators per delivered energy unit</t>
  </si>
  <si>
    <t>Relative difference between our calculated emissions factor and the 'official' one</t>
  </si>
  <si>
    <t>Install a6.588 kWp solar system on the roof and south façade with batteries to avoid connection to generator</t>
  </si>
  <si>
    <t>See PV Sheet</t>
  </si>
  <si>
    <t>Open up the shaft as an atrium: change to single wall to double wall with airgap. Add a 1.5m² window</t>
  </si>
  <si>
    <t>Remove radiators and rely solely on the air conditioing unit for heating (with a much higher efficiency)</t>
  </si>
  <si>
    <t>Install solar collectors on the roof that provide 70% of the hot water demand</t>
  </si>
  <si>
    <t>Remove radiators and use the split system for heating as well</t>
  </si>
  <si>
    <t>Install a 6.588 kWp solar photovoltaic array for each apartment, on the roof and the south façade</t>
  </si>
  <si>
    <t>Replace ceramic tiles with stamped concrete across the apartment</t>
  </si>
  <si>
    <t>Remove partition wall between kitchen and dining room</t>
  </si>
  <si>
    <t>Replace internal shaft with atrium, add a 1.5m² window for each apartment</t>
  </si>
  <si>
    <t>15 m³ of EPS per apartment, including the insulation for the atrium</t>
  </si>
  <si>
    <t>Capex</t>
  </si>
  <si>
    <t>Capital expenditure</t>
  </si>
  <si>
    <t>CF</t>
  </si>
  <si>
    <t>Cash flow</t>
  </si>
  <si>
    <t>PV</t>
  </si>
  <si>
    <t>Present value</t>
  </si>
  <si>
    <t>Term</t>
  </si>
  <si>
    <t>Definition</t>
  </si>
  <si>
    <t>Sehaileh 818 --- Bill of materials (initial)</t>
  </si>
  <si>
    <t>Material name</t>
  </si>
  <si>
    <t>Material type</t>
  </si>
  <si>
    <t>Measured quantity</t>
  </si>
  <si>
    <t>Wastage coefficient</t>
  </si>
  <si>
    <t>Delivered quantity</t>
  </si>
  <si>
    <t>Total initial weight of material (kg)</t>
  </si>
  <si>
    <t xml:space="preserve"> List of assemblies in which the material is used</t>
  </si>
  <si>
    <t>Aluminium</t>
  </si>
  <si>
    <t>Door handle</t>
  </si>
  <si>
    <t>Exterior shutters</t>
  </si>
  <si>
    <t>Frame</t>
  </si>
  <si>
    <t>Ceramics</t>
  </si>
  <si>
    <t>Basin</t>
  </si>
  <si>
    <t>Terracotta roof tiles (20 mm)</t>
  </si>
  <si>
    <t>Tiles</t>
  </si>
  <si>
    <t>Toilet suite</t>
  </si>
  <si>
    <t>Concrete</t>
  </si>
  <si>
    <t>15 MPa</t>
  </si>
  <si>
    <t>Double concrete walls with air blade and natural stone cover---Masonry internal walls 10 cm---Medium_standing_Lebanon</t>
  </si>
  <si>
    <t>25 MPa</t>
  </si>
  <si>
    <t>Foundations concrete 25 MPa---Concrete column 60cm x 25cm---Concrete beam 25 cm x 80 cm---Cast in situ 10cm RF concrete slab---Hollow core 18 cm slab + 7 cm concrete---Alu Double glazed (concrete lintel and natural stone sill)---RF concrete tiled roof - no insulation---Medium_standing_Lebanon</t>
  </si>
  <si>
    <t>Hollow block (180 mm)</t>
  </si>
  <si>
    <t>Hollow core 18 cm slab + 7 cm concrete---RF concrete tiled roof - no insulation---Medium_standing_Lebanon</t>
  </si>
  <si>
    <t>Mortar</t>
  </si>
  <si>
    <t>Concrete column 60cm x 25cm---Concrete beam 25 cm x 80 cm---Double concrete walls with air blade and natural stone cover---Masonry internal walls 10 cm---Medium_standing_Lebanon</t>
  </si>
  <si>
    <t>Precast</t>
  </si>
  <si>
    <t>Copper</t>
  </si>
  <si>
    <t>Pipe</t>
  </si>
  <si>
    <t>Wire</t>
  </si>
  <si>
    <t>Glass</t>
  </si>
  <si>
    <t>Clear float (4 mm) window pane</t>
  </si>
  <si>
    <t>Insulation</t>
  </si>
  <si>
    <t>Expanded polystyrene</t>
  </si>
  <si>
    <t>Centralized gas heating boiler</t>
  </si>
  <si>
    <t>Paint</t>
  </si>
  <si>
    <t>oil_based</t>
  </si>
  <si>
    <t>Concrete column 60cm x 25cm---Concrete beam 25 cm x 80 cm---Double concrete walls with air blade and natural stone cover---Masonry internal walls 10 cm</t>
  </si>
  <si>
    <t>water_based</t>
  </si>
  <si>
    <t>Hollow core MDF door (concrete lintel)---Medium_standing_Lebanon</t>
  </si>
  <si>
    <t>Plastics</t>
  </si>
  <si>
    <t>General (PVC)</t>
  </si>
  <si>
    <t>PVC water pipe (20 mm)</t>
  </si>
  <si>
    <t>Wire coating</t>
  </si>
  <si>
    <t>Sand and stone</t>
  </si>
  <si>
    <t>Granite</t>
  </si>
  <si>
    <t>Granite tiles---Medium_standing_Lebanon</t>
  </si>
  <si>
    <t>Screenings</t>
  </si>
  <si>
    <t>Double concrete walls with air blade and natural stone cover---Alu Double glazed (concrete lintel and natural stone sill)</t>
  </si>
  <si>
    <t>Steel</t>
  </si>
  <si>
    <t>Door accessories</t>
  </si>
  <si>
    <t>Lintel</t>
  </si>
  <si>
    <t>Reinforcement</t>
  </si>
  <si>
    <t>Foundations steel---Concrete column 60cm x 25cm---Hollow core 18 cm slab + 7 cm concrete---Alu Double glazed (concrete lintel and natural stone sill)---RF concrete tiled roof - no insulation---Medium_standing_Lebanon</t>
  </si>
  <si>
    <t>Stainless (sink)</t>
  </si>
  <si>
    <t>Structural</t>
  </si>
  <si>
    <t>Concrete beam 25 cm x 80 cm---Cast in situ 10cm RF concrete slab</t>
  </si>
  <si>
    <t>Systems</t>
  </si>
  <si>
    <t>Heating radiator 1000W---Electric dhw tank (300L)</t>
  </si>
  <si>
    <t>Tank (solar)</t>
  </si>
  <si>
    <t>Timber</t>
  </si>
  <si>
    <t>MDF/particleboard</t>
  </si>
  <si>
    <t>Softwood (framing)</t>
  </si>
  <si>
    <t>Softwood (panels)</t>
  </si>
  <si>
    <t>Disclaimer</t>
  </si>
  <si>
    <t xml:space="preserve">The authors do not take any responsibility in any matter resulting from the use of this data. </t>
  </si>
  <si>
    <t>Licence distribution</t>
  </si>
  <si>
    <t>CC-BY 4.0</t>
  </si>
  <si>
    <t>Dataset authors</t>
  </si>
  <si>
    <t>Dataset referred to in</t>
  </si>
  <si>
    <t>Publication doi</t>
  </si>
  <si>
    <t>André Stephan</t>
  </si>
  <si>
    <t>Laurent Stephan</t>
  </si>
  <si>
    <t>Achieving net zero life cycle primary energy and greenhouse gas emissions apartment buildings in the Mediterranean</t>
  </si>
  <si>
    <t>This file contains data used to calculate the life cycle cost, primary energy and greenhouse gas emissions of a business-as-usual apartment building in Sehaileh, Lebanon and its net zero life cycle primary energy and greenhouse gas emissions counterpart</t>
  </si>
  <si>
    <t>Results are indicated at an apartment unit level, unless indicated otherwise. There are 8 apartment units in the building</t>
  </si>
  <si>
    <t>https://orcid.org/0000-0002-9278-3895</t>
  </si>
  <si>
    <t>https://orcid.org/0000-0001-9538-3830</t>
  </si>
  <si>
    <t>CPI=2% r=3%</t>
  </si>
  <si>
    <t>In this scenario, the heating demand is still delivered by as gas boiler and radiators. See AC_Heating for taking into account the COP of the air conditioning unit</t>
  </si>
  <si>
    <t>https://doi.org/10.1016/j.apenergy.2020.115932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</si>
</sst>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0.0;0.0"/>
    <numFmt numFmtId="166" formatCode="#,##0.00&quot; gas&quot;"/>
    <numFmt numFmtId="167" formatCode="#,##0.00&quot; elec&quot;"/>
    <numFmt numFmtId="168" formatCode="#,##0.000000000000"/>
    <numFmt numFmtId="169" formatCode="#,##0.00000000000"/>
    <numFmt numFmtId="170" formatCode="0.0000"/>
    <numFmt numFmtId="171" formatCode="0.0"/>
    <numFmt numFmtId="172" formatCode="\-0.0%"/>
    <numFmt numFmtId="173" formatCode="0.000"/>
    <numFmt numFmtId="174" formatCode="0.00000000000_ ;\-0.00000000000\ "/>
    <numFmt numFmtId="175" formatCode="0.0%"/>
  </numFmts>
  <fonts count="26" x14ac:knownFonts="1">
    <font>
      <sz val="11"/>
      <color theme="1"/>
      <name val="Calibri"/>
      <family val="2"/>
      <scheme val="minor"/>
    </font>
    <font>
      <sz val="11"/>
      <color theme="1"/>
      <name val="Calibri"/>
      <family val="2"/>
    </font>
    <font>
      <u/>
      <sz val="11"/>
      <color theme="10"/>
      <name val="Calibri"/>
      <family val="2"/>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0"/>
      <color theme="1"/>
      <name val="Arial"/>
      <family val="2"/>
    </font>
    <font>
      <sz val="11"/>
      <color rgb="FFFF0000"/>
      <name val="Calibri"/>
      <family val="2"/>
      <scheme val="minor"/>
    </font>
    <font>
      <b/>
      <sz val="11"/>
      <name val="Calibri"/>
      <family val="2"/>
      <scheme val="minor"/>
    </font>
    <font>
      <sz val="11"/>
      <name val="Calibri"/>
      <family val="2"/>
      <scheme val="minor"/>
    </font>
    <font>
      <b/>
      <u/>
      <sz val="11"/>
      <color theme="1"/>
      <name val="Calibri"/>
      <family val="2"/>
      <scheme val="minor"/>
    </font>
    <font>
      <b/>
      <sz val="11"/>
      <color theme="3"/>
      <name val="Calibri"/>
      <family val="2"/>
      <scheme val="minor"/>
    </font>
    <font>
      <strike/>
      <sz val="11"/>
      <color theme="1"/>
      <name val="Calibri"/>
      <family val="2"/>
      <scheme val="minor"/>
    </font>
    <font>
      <b/>
      <sz val="22"/>
      <color rgb="FFFF0000"/>
      <name val="Calibri"/>
      <family val="2"/>
      <scheme val="minor"/>
    </font>
    <font>
      <b/>
      <u/>
      <sz val="16"/>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0" tint="-0.499984740745262"/>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184">
    <xf numFmtId="0" fontId="0" fillId="0" borderId="0" xfId="0"/>
    <xf numFmtId="0" fontId="2" fillId="0" borderId="0" xfId="1" applyAlignment="1" applyProtection="1"/>
    <xf numFmtId="0" fontId="0" fillId="0" borderId="0" xfId="0" applyNumberFormat="1"/>
    <xf numFmtId="0" fontId="0" fillId="0" borderId="0" xfId="0" applyBorder="1"/>
    <xf numFmtId="0" fontId="0" fillId="0" borderId="0" xfId="0" applyNumberFormat="1" applyBorder="1"/>
    <xf numFmtId="0" fontId="2" fillId="0" borderId="0" xfId="1" applyNumberFormat="1" applyAlignment="1" applyProtection="1"/>
    <xf numFmtId="165" fontId="3" fillId="0" borderId="0" xfId="0" applyNumberFormat="1" applyFont="1"/>
    <xf numFmtId="0" fontId="6" fillId="0" borderId="0" xfId="0" applyFont="1"/>
    <xf numFmtId="0" fontId="0" fillId="2" borderId="0" xfId="0" applyFill="1"/>
    <xf numFmtId="0" fontId="3" fillId="2" borderId="0" xfId="0" applyFont="1" applyFill="1"/>
    <xf numFmtId="0" fontId="0" fillId="3" borderId="0" xfId="0" applyFill="1"/>
    <xf numFmtId="0" fontId="3" fillId="3" borderId="0" xfId="0" applyFont="1" applyFill="1"/>
    <xf numFmtId="166" fontId="0" fillId="0" borderId="0" xfId="0" applyNumberFormat="1"/>
    <xf numFmtId="167" fontId="0" fillId="0" borderId="0" xfId="0" applyNumberFormat="1"/>
    <xf numFmtId="0" fontId="7" fillId="0" borderId="0" xfId="0" applyFont="1" applyBorder="1" applyAlignment="1">
      <alignment vertical="top" wrapText="1"/>
    </xf>
    <xf numFmtId="1" fontId="7" fillId="0" borderId="0" xfId="0" applyNumberFormat="1" applyFont="1" applyBorder="1" applyAlignment="1">
      <alignment vertical="top" wrapText="1"/>
    </xf>
    <xf numFmtId="0" fontId="7" fillId="0" borderId="0" xfId="0" applyFont="1" applyFill="1" applyBorder="1" applyAlignment="1">
      <alignment vertical="top" wrapText="1"/>
    </xf>
    <xf numFmtId="1" fontId="7" fillId="0" borderId="0" xfId="0" applyNumberFormat="1" applyFont="1" applyFill="1" applyBorder="1" applyAlignment="1">
      <alignment vertical="top" wrapText="1"/>
    </xf>
    <xf numFmtId="1" fontId="0" fillId="0" borderId="0" xfId="0" applyNumberFormat="1"/>
    <xf numFmtId="167" fontId="0" fillId="0" borderId="0" xfId="0" applyNumberFormat="1" applyBorder="1"/>
    <xf numFmtId="168" fontId="0" fillId="0" borderId="0" xfId="0" applyNumberFormat="1"/>
    <xf numFmtId="169" fontId="0" fillId="0" borderId="0" xfId="0" applyNumberFormat="1"/>
    <xf numFmtId="0" fontId="3" fillId="0" borderId="0" xfId="0" applyFont="1"/>
    <xf numFmtId="0" fontId="0" fillId="0" borderId="1" xfId="0" applyBorder="1"/>
    <xf numFmtId="0" fontId="6" fillId="0" borderId="2"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8" fillId="0" borderId="0" xfId="0" applyFont="1"/>
    <xf numFmtId="0" fontId="6" fillId="0" borderId="9" xfId="0" applyFont="1" applyFill="1" applyBorder="1"/>
    <xf numFmtId="167" fontId="2" fillId="0" borderId="0" xfId="1" applyNumberFormat="1" applyAlignment="1" applyProtection="1"/>
    <xf numFmtId="0" fontId="0" fillId="0" borderId="0" xfId="0" applyAlignment="1">
      <alignment horizontal="right"/>
    </xf>
    <xf numFmtId="170" fontId="0" fillId="0" borderId="0" xfId="0" applyNumberFormat="1"/>
    <xf numFmtId="0" fontId="9" fillId="0" borderId="0" xfId="0" applyFont="1"/>
    <xf numFmtId="0" fontId="10" fillId="0" borderId="0" xfId="0" applyFont="1"/>
    <xf numFmtId="17" fontId="0" fillId="0" borderId="0" xfId="0" applyNumberFormat="1"/>
    <xf numFmtId="2" fontId="0" fillId="0" borderId="0" xfId="0" applyNumberFormat="1"/>
    <xf numFmtId="171" fontId="0" fillId="0" borderId="0" xfId="0" applyNumberFormat="1"/>
    <xf numFmtId="9" fontId="0" fillId="0" borderId="0" xfId="0" applyNumberFormat="1"/>
    <xf numFmtId="3" fontId="0" fillId="0" borderId="0" xfId="0" applyNumberFormat="1"/>
    <xf numFmtId="0" fontId="11" fillId="0" borderId="0" xfId="0" applyFont="1"/>
    <xf numFmtId="0" fontId="12" fillId="0" borderId="0" xfId="2" applyNumberFormat="1"/>
    <xf numFmtId="0" fontId="10" fillId="0" borderId="2" xfId="0" applyFont="1" applyBorder="1"/>
    <xf numFmtId="0" fontId="10" fillId="0" borderId="7" xfId="0" applyFont="1" applyBorder="1"/>
    <xf numFmtId="0" fontId="0" fillId="4" borderId="0" xfId="0" applyFill="1"/>
    <xf numFmtId="170" fontId="0" fillId="4" borderId="0" xfId="0" applyNumberFormat="1" applyFill="1"/>
    <xf numFmtId="2" fontId="0" fillId="4" borderId="0" xfId="0" applyNumberFormat="1" applyFill="1"/>
    <xf numFmtId="0" fontId="3" fillId="4" borderId="0" xfId="0" applyFont="1" applyFill="1"/>
    <xf numFmtId="2" fontId="3" fillId="4" borderId="0" xfId="0" applyNumberFormat="1" applyFont="1" applyFill="1"/>
    <xf numFmtId="2" fontId="3" fillId="0" borderId="0" xfId="0" applyNumberFormat="1" applyFont="1"/>
    <xf numFmtId="172" fontId="6" fillId="0" borderId="0" xfId="0" applyNumberFormat="1" applyFont="1"/>
    <xf numFmtId="0" fontId="14" fillId="0" borderId="0" xfId="0" applyFont="1"/>
    <xf numFmtId="0" fontId="0" fillId="0" borderId="0" xfId="0" applyAlignment="1">
      <alignment horizontal="center"/>
    </xf>
    <xf numFmtId="0" fontId="0" fillId="0" borderId="0" xfId="0" applyAlignment="1">
      <alignment horizontal="center" vertical="center" wrapText="1"/>
    </xf>
    <xf numFmtId="2" fontId="0" fillId="0" borderId="0" xfId="0" applyNumberFormat="1" applyAlignment="1">
      <alignment horizontal="center"/>
    </xf>
    <xf numFmtId="2" fontId="0" fillId="0" borderId="0" xfId="0" applyNumberFormat="1" applyAlignment="1">
      <alignment horizontal="center" vertical="center"/>
    </xf>
    <xf numFmtId="0" fontId="15" fillId="0" borderId="0" xfId="0" applyFont="1"/>
    <xf numFmtId="0" fontId="0" fillId="0" borderId="0" xfId="0" applyAlignment="1"/>
    <xf numFmtId="0" fontId="0" fillId="0" borderId="0" xfId="0" applyAlignment="1">
      <alignment horizontal="center" vertical="center"/>
    </xf>
    <xf numFmtId="0" fontId="11" fillId="5" borderId="0" xfId="0" applyFont="1" applyFill="1"/>
    <xf numFmtId="0" fontId="0" fillId="5" borderId="0" xfId="0" applyFill="1"/>
    <xf numFmtId="170" fontId="0" fillId="5" borderId="0" xfId="0" applyNumberFormat="1" applyFill="1"/>
    <xf numFmtId="0" fontId="0" fillId="5" borderId="0" xfId="0" applyFill="1" applyAlignment="1">
      <alignment horizontal="right"/>
    </xf>
    <xf numFmtId="171" fontId="0" fillId="5" borderId="0" xfId="0" applyNumberFormat="1" applyFill="1"/>
    <xf numFmtId="0" fontId="11" fillId="6" borderId="0" xfId="0" applyFont="1" applyFill="1"/>
    <xf numFmtId="0" fontId="0" fillId="6" borderId="0" xfId="0" applyFill="1"/>
    <xf numFmtId="10" fontId="0" fillId="0" borderId="0" xfId="0" applyNumberFormat="1" applyAlignment="1">
      <alignment horizontal="center"/>
    </xf>
    <xf numFmtId="10" fontId="0" fillId="0" borderId="0" xfId="0" applyNumberFormat="1" applyAlignment="1"/>
    <xf numFmtId="0" fontId="16" fillId="0" borderId="0" xfId="0" applyFont="1" applyAlignment="1">
      <alignment horizontal="center"/>
    </xf>
    <xf numFmtId="0" fontId="8" fillId="7" borderId="4" xfId="0" applyFont="1" applyFill="1" applyBorder="1"/>
    <xf numFmtId="0" fontId="8" fillId="7" borderId="0" xfId="0" applyFont="1" applyFill="1" applyBorder="1"/>
    <xf numFmtId="0" fontId="17" fillId="0" borderId="0" xfId="0" applyFont="1" applyAlignment="1">
      <alignment horizontal="center"/>
    </xf>
    <xf numFmtId="0" fontId="0" fillId="8" borderId="0" xfId="0" applyFill="1"/>
    <xf numFmtId="0" fontId="16" fillId="8" borderId="0" xfId="0" applyFont="1" applyFill="1" applyAlignment="1">
      <alignment horizontal="center"/>
    </xf>
    <xf numFmtId="1" fontId="0" fillId="8" borderId="0" xfId="0" applyNumberFormat="1" applyFill="1"/>
    <xf numFmtId="2" fontId="0" fillId="8" borderId="0" xfId="0" applyNumberFormat="1" applyFill="1"/>
    <xf numFmtId="0" fontId="3" fillId="8" borderId="0" xfId="0" applyFont="1" applyFill="1"/>
    <xf numFmtId="0" fontId="17" fillId="8" borderId="0" xfId="0" applyFont="1" applyFill="1" applyAlignment="1">
      <alignment horizontal="center"/>
    </xf>
    <xf numFmtId="0" fontId="0" fillId="9" borderId="0" xfId="0" applyFill="1"/>
    <xf numFmtId="0" fontId="0" fillId="0" borderId="0" xfId="0" applyFill="1"/>
    <xf numFmtId="0" fontId="16" fillId="0" borderId="0" xfId="0" applyFont="1" applyFill="1" applyAlignment="1">
      <alignment horizontal="center"/>
    </xf>
    <xf numFmtId="1" fontId="0" fillId="0" borderId="0" xfId="0" applyNumberFormat="1" applyFill="1"/>
    <xf numFmtId="2" fontId="0" fillId="0" borderId="0" xfId="0" applyNumberFormat="1" applyFill="1"/>
    <xf numFmtId="0" fontId="3" fillId="0" borderId="0" xfId="0" applyFont="1" applyFill="1"/>
    <xf numFmtId="0" fontId="17" fillId="0" borderId="0" xfId="0" applyFont="1" applyFill="1" applyAlignment="1">
      <alignment horizontal="center"/>
    </xf>
    <xf numFmtId="0" fontId="11" fillId="9" borderId="0" xfId="0" applyFont="1" applyFill="1"/>
    <xf numFmtId="171" fontId="0" fillId="0" borderId="0" xfId="0" applyNumberFormat="1" applyAlignment="1">
      <alignment horizontal="center" vertical="center"/>
    </xf>
    <xf numFmtId="1" fontId="3" fillId="0" borderId="0" xfId="0" applyNumberFormat="1" applyFont="1" applyFill="1"/>
    <xf numFmtId="1" fontId="3" fillId="8" borderId="0" xfId="0" applyNumberFormat="1" applyFont="1" applyFill="1"/>
    <xf numFmtId="1" fontId="3" fillId="0" borderId="0" xfId="0" applyNumberFormat="1" applyFont="1"/>
    <xf numFmtId="0" fontId="0" fillId="10" borderId="0" xfId="0" applyFill="1"/>
    <xf numFmtId="0" fontId="0" fillId="7" borderId="0" xfId="0" applyFill="1"/>
    <xf numFmtId="0" fontId="0" fillId="0" borderId="0" xfId="0" applyFill="1" applyBorder="1"/>
    <xf numFmtId="0" fontId="3" fillId="7" borderId="0" xfId="0" applyFont="1" applyFill="1"/>
    <xf numFmtId="0" fontId="0" fillId="10" borderId="0" xfId="0" applyFill="1" applyBorder="1"/>
    <xf numFmtId="0" fontId="0" fillId="10" borderId="10" xfId="0" applyFill="1" applyBorder="1" applyAlignment="1">
      <alignment horizontal="center" vertical="center" wrapText="1"/>
    </xf>
    <xf numFmtId="0" fontId="0" fillId="10" borderId="10" xfId="0" applyFill="1" applyBorder="1" applyAlignment="1">
      <alignment horizontal="center" vertical="center"/>
    </xf>
    <xf numFmtId="0" fontId="9" fillId="7" borderId="0" xfId="0" applyFont="1" applyFill="1"/>
    <xf numFmtId="17" fontId="0" fillId="5" borderId="0" xfId="0" applyNumberFormat="1" applyFill="1" applyAlignment="1">
      <alignment horizontal="right"/>
    </xf>
    <xf numFmtId="0" fontId="6" fillId="7" borderId="0" xfId="0" applyFont="1" applyFill="1"/>
    <xf numFmtId="0" fontId="0" fillId="7" borderId="0" xfId="0" applyFill="1" applyAlignment="1">
      <alignment horizontal="right"/>
    </xf>
    <xf numFmtId="0" fontId="3" fillId="7" borderId="0" xfId="0" applyFont="1" applyFill="1" applyAlignment="1">
      <alignment horizontal="right"/>
    </xf>
    <xf numFmtId="0" fontId="11" fillId="7" borderId="0" xfId="0" applyFont="1" applyFill="1"/>
    <xf numFmtId="0" fontId="0" fillId="7" borderId="0" xfId="0" applyFill="1" applyAlignment="1">
      <alignment horizontal="left" indent="1"/>
    </xf>
    <xf numFmtId="0" fontId="3" fillId="7" borderId="0" xfId="0" applyFont="1" applyFill="1" applyAlignment="1">
      <alignment horizontal="left"/>
    </xf>
    <xf numFmtId="0" fontId="0" fillId="7" borderId="0" xfId="0" applyFont="1" applyFill="1" applyAlignment="1">
      <alignment horizontal="left" indent="1"/>
    </xf>
    <xf numFmtId="0" fontId="0" fillId="7" borderId="0" xfId="0" applyFont="1" applyFill="1" applyAlignment="1">
      <alignment horizontal="left"/>
    </xf>
    <xf numFmtId="9" fontId="0" fillId="7" borderId="0" xfId="0" applyNumberFormat="1" applyFill="1"/>
    <xf numFmtId="173" fontId="3" fillId="7" borderId="0" xfId="0" applyNumberFormat="1" applyFont="1" applyFill="1"/>
    <xf numFmtId="0" fontId="10" fillId="7" borderId="0" xfId="0" applyFont="1" applyFill="1"/>
    <xf numFmtId="0" fontId="0" fillId="7" borderId="0" xfId="0" applyFont="1" applyFill="1"/>
    <xf numFmtId="0" fontId="18" fillId="7" borderId="0" xfId="0" applyFont="1" applyFill="1" applyAlignment="1">
      <alignment horizontal="right"/>
    </xf>
    <xf numFmtId="0" fontId="18" fillId="7" borderId="0" xfId="0" applyFont="1" applyFill="1"/>
    <xf numFmtId="1" fontId="18" fillId="7" borderId="0" xfId="0" applyNumberFormat="1" applyFont="1" applyFill="1"/>
    <xf numFmtId="1" fontId="3" fillId="7" borderId="0" xfId="0" applyNumberFormat="1" applyFont="1" applyFill="1"/>
    <xf numFmtId="0" fontId="0" fillId="0" borderId="0" xfId="0" applyAlignment="1">
      <alignment horizontal="center"/>
    </xf>
    <xf numFmtId="0" fontId="19" fillId="7" borderId="0" xfId="0" applyFont="1" applyFill="1" applyAlignment="1">
      <alignment horizontal="left"/>
    </xf>
    <xf numFmtId="2" fontId="3" fillId="7" borderId="0" xfId="0" applyNumberFormat="1" applyFont="1" applyFill="1"/>
    <xf numFmtId="2" fontId="0" fillId="7" borderId="0" xfId="0" applyNumberFormat="1" applyFill="1"/>
    <xf numFmtId="0" fontId="20" fillId="7" borderId="0" xfId="0" applyFont="1" applyFill="1" applyAlignment="1">
      <alignment horizontal="left"/>
    </xf>
    <xf numFmtId="174" fontId="0" fillId="0" borderId="0" xfId="0" applyNumberFormat="1"/>
    <xf numFmtId="0" fontId="3" fillId="0" borderId="0" xfId="0" applyFont="1" applyBorder="1"/>
    <xf numFmtId="3" fontId="3" fillId="0" borderId="0" xfId="0" applyNumberFormat="1" applyFont="1"/>
    <xf numFmtId="0" fontId="0" fillId="0" borderId="0" xfId="0" applyAlignment="1">
      <alignment horizontal="center"/>
    </xf>
    <xf numFmtId="2" fontId="0" fillId="5" borderId="0" xfId="0" applyNumberFormat="1" applyFill="1"/>
    <xf numFmtId="0" fontId="11" fillId="7" borderId="0" xfId="0" applyFont="1" applyFill="1" applyAlignment="1">
      <alignment horizontal="left"/>
    </xf>
    <xf numFmtId="0" fontId="18" fillId="7" borderId="0" xfId="0" applyFont="1" applyFill="1" applyAlignment="1">
      <alignment horizontal="left"/>
    </xf>
    <xf numFmtId="1" fontId="0" fillId="7" borderId="0" xfId="0" applyNumberFormat="1" applyFill="1"/>
    <xf numFmtId="10" fontId="0" fillId="0" borderId="0" xfId="0" applyNumberFormat="1" applyFill="1" applyAlignment="1">
      <alignment horizontal="center"/>
    </xf>
    <xf numFmtId="10" fontId="0" fillId="0" borderId="0" xfId="0" applyNumberFormat="1" applyFill="1" applyAlignment="1"/>
    <xf numFmtId="10" fontId="0" fillId="8" borderId="0" xfId="0" applyNumberFormat="1" applyFill="1" applyAlignment="1">
      <alignment horizontal="center"/>
    </xf>
    <xf numFmtId="164" fontId="0" fillId="2" borderId="0" xfId="0" applyNumberFormat="1" applyFill="1"/>
    <xf numFmtId="3" fontId="0" fillId="2" borderId="0" xfId="0" applyNumberFormat="1" applyFill="1"/>
    <xf numFmtId="4" fontId="23" fillId="0" borderId="0" xfId="0" applyNumberFormat="1" applyFont="1"/>
    <xf numFmtId="3" fontId="0" fillId="0" borderId="0" xfId="0" applyNumberFormat="1" applyFill="1"/>
    <xf numFmtId="4" fontId="23" fillId="0" borderId="0" xfId="0" applyNumberFormat="1" applyFont="1" applyFill="1"/>
    <xf numFmtId="0" fontId="0" fillId="0" borderId="0" xfId="0" applyFont="1"/>
    <xf numFmtId="10" fontId="3" fillId="0" borderId="0" xfId="0" applyNumberFormat="1" applyFont="1"/>
    <xf numFmtId="0" fontId="16" fillId="2" borderId="0" xfId="0" applyFont="1" applyFill="1" applyAlignment="1">
      <alignment horizontal="center"/>
    </xf>
    <xf numFmtId="1" fontId="0" fillId="2" borderId="0" xfId="0" applyNumberFormat="1" applyFill="1"/>
    <xf numFmtId="2" fontId="0" fillId="2" borderId="0" xfId="0" applyNumberFormat="1" applyFill="1"/>
    <xf numFmtId="0" fontId="17" fillId="2" borderId="0" xfId="0" applyFont="1" applyFill="1" applyAlignment="1">
      <alignment horizontal="center"/>
    </xf>
    <xf numFmtId="1" fontId="3" fillId="2" borderId="0" xfId="0" applyNumberFormat="1" applyFont="1" applyFill="1"/>
    <xf numFmtId="10" fontId="0" fillId="2" borderId="0" xfId="0" applyNumberFormat="1" applyFill="1" applyAlignment="1">
      <alignment horizontal="center"/>
    </xf>
    <xf numFmtId="10" fontId="0" fillId="2" borderId="0" xfId="0" applyNumberFormat="1" applyFill="1" applyAlignment="1"/>
    <xf numFmtId="3" fontId="0" fillId="10" borderId="0" xfId="0" applyNumberFormat="1" applyFill="1"/>
    <xf numFmtId="3" fontId="0" fillId="3" borderId="0" xfId="0" applyNumberFormat="1" applyFill="1"/>
    <xf numFmtId="3" fontId="0" fillId="0" borderId="0" xfId="0" applyNumberFormat="1" applyFont="1"/>
    <xf numFmtId="164" fontId="0" fillId="0" borderId="0" xfId="0" applyNumberFormat="1"/>
    <xf numFmtId="175" fontId="0" fillId="0" borderId="0" xfId="0" applyNumberFormat="1"/>
    <xf numFmtId="0" fontId="0" fillId="8" borderId="0" xfId="0"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xf>
    <xf numFmtId="2" fontId="0" fillId="0" borderId="0" xfId="0" applyNumberFormat="1" applyFill="1" applyAlignment="1">
      <alignment horizontal="center" vertical="center"/>
    </xf>
    <xf numFmtId="0" fontId="0" fillId="0" borderId="0" xfId="0" applyNumberFormat="1" applyFill="1"/>
    <xf numFmtId="0" fontId="9" fillId="0" borderId="0" xfId="0" applyFont="1" applyFill="1"/>
    <xf numFmtId="0" fontId="0" fillId="0" borderId="4" xfId="0" applyFill="1" applyBorder="1"/>
    <xf numFmtId="1" fontId="0" fillId="0" borderId="0" xfId="0" applyNumberFormat="1" applyFill="1" applyBorder="1"/>
    <xf numFmtId="0" fontId="3" fillId="0" borderId="4" xfId="0" applyFont="1" applyFill="1" applyBorder="1"/>
    <xf numFmtId="0" fontId="0" fillId="0" borderId="7" xfId="0" applyFill="1" applyBorder="1"/>
    <xf numFmtId="0" fontId="0" fillId="0" borderId="6" xfId="0" applyFill="1" applyBorder="1"/>
    <xf numFmtId="167" fontId="0" fillId="0" borderId="0" xfId="0" applyNumberFormat="1" applyFill="1"/>
    <xf numFmtId="0" fontId="17" fillId="0" borderId="0" xfId="0" applyFont="1"/>
    <xf numFmtId="0" fontId="0" fillId="11" borderId="0" xfId="0" applyFill="1"/>
    <xf numFmtId="0" fontId="0" fillId="11" borderId="0" xfId="0" applyFill="1" applyAlignment="1">
      <alignment horizontal="center"/>
    </xf>
    <xf numFmtId="0" fontId="3" fillId="12" borderId="0" xfId="0" applyFont="1" applyFill="1"/>
    <xf numFmtId="0" fontId="10" fillId="12" borderId="0" xfId="0" applyFont="1" applyFill="1"/>
    <xf numFmtId="0" fontId="0" fillId="12" borderId="0" xfId="0" applyFill="1"/>
    <xf numFmtId="0" fontId="8" fillId="12" borderId="0" xfId="0" applyFont="1" applyFill="1"/>
    <xf numFmtId="0" fontId="0" fillId="12" borderId="0" xfId="0" quotePrefix="1" applyFill="1" applyAlignment="1">
      <alignment horizontal="left" indent="1"/>
    </xf>
    <xf numFmtId="0" fontId="2" fillId="12" borderId="0" xfId="1" applyFill="1" applyAlignment="1" applyProtection="1"/>
    <xf numFmtId="0" fontId="2" fillId="12" borderId="0" xfId="1" applyFill="1" applyAlignment="1" applyProtection="1">
      <alignmen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8"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8" borderId="0" xfId="0" applyFill="1" applyAlignment="1">
      <alignment horizontal="center" vertical="center" wrapText="1"/>
    </xf>
  </cellXfs>
  <cellStyles count="3">
    <cellStyle name="Heading 4" xfId="2" builtinId="19"/>
    <cellStyle name="Hyperlink" xfId="1" builtinId="8"/>
    <cellStyle name="Normal" xfId="0" builtinId="0"/>
  </cellStyles>
  <dxfs count="156">
    <dxf>
      <numFmt numFmtId="3" formatCode="#,##0"/>
    </dxf>
    <dxf>
      <numFmt numFmtId="3" formatCode="#,##0"/>
    </dxf>
    <dxf>
      <numFmt numFmtId="3" formatCode="#,##0"/>
    </dxf>
    <dxf>
      <font>
        <b val="0"/>
        <i val="0"/>
        <strike val="0"/>
        <condense val="0"/>
        <extend val="0"/>
        <outline val="0"/>
        <shadow val="0"/>
        <u val="none"/>
        <vertAlign val="baseline"/>
        <sz val="11"/>
        <color theme="0" tint="-0.499984740745262"/>
        <name val="Calibri"/>
        <family val="2"/>
        <scheme val="minor"/>
      </font>
      <numFmt numFmtId="4" formatCode="#,##0.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0" formatCode="General"/>
    </dxf>
    <dxf>
      <numFmt numFmtId="0" formatCode="General"/>
    </dxf>
    <dxf>
      <numFmt numFmtId="167" formatCode="#,##0.00&quot; elec&quot;"/>
    </dxf>
    <dxf>
      <numFmt numFmtId="167" formatCode="#,##0.00&quot; elec&quo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167" formatCode="#,##0.00&quot; elec&quo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167" formatCode="#,##0.00&quot; elec&quot;"/>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167" formatCode="#,##0.00&quot; elec&quot;"/>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167" formatCode="#,##0.00&quot; elec&quo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167" formatCode="#,##0.00&quot; elec&quo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167" formatCode="#,##0.00&quot; elec&quot;"/>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5</xdr:col>
      <xdr:colOff>18397</xdr:colOff>
      <xdr:row>22</xdr:row>
      <xdr:rowOff>160020</xdr:rowOff>
    </xdr:to>
    <xdr:pic>
      <xdr:nvPicPr>
        <xdr:cNvPr id="4" name="Picture 3">
          <a:extLst>
            <a:ext uri="{FF2B5EF4-FFF2-40B4-BE49-F238E27FC236}">
              <a16:creationId xmlns:a16="http://schemas.microsoft.com/office/drawing/2014/main" id="{5052C26F-43DF-4DC3-A1BB-07512BEBC1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0"/>
          <a:ext cx="2971147" cy="731520"/>
        </a:xfrm>
        <a:prstGeom prst="rect">
          <a:avLst/>
        </a:prstGeom>
      </xdr:spPr>
    </xdr:pic>
    <xdr:clientData/>
  </xdr:twoCellAnchor>
  <xdr:twoCellAnchor editAs="oneCell">
    <xdr:from>
      <xdr:col>6</xdr:col>
      <xdr:colOff>1</xdr:colOff>
      <xdr:row>19</xdr:row>
      <xdr:rowOff>1</xdr:rowOff>
    </xdr:from>
    <xdr:to>
      <xdr:col>10</xdr:col>
      <xdr:colOff>464821</xdr:colOff>
      <xdr:row>22</xdr:row>
      <xdr:rowOff>165487</xdr:rowOff>
    </xdr:to>
    <xdr:pic>
      <xdr:nvPicPr>
        <xdr:cNvPr id="6" name="Picture 5">
          <a:extLst>
            <a:ext uri="{FF2B5EF4-FFF2-40B4-BE49-F238E27FC236}">
              <a16:creationId xmlns:a16="http://schemas.microsoft.com/office/drawing/2014/main" id="{B41AFF55-B65A-4FCF-BA65-D19C056C03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7601" y="3474721"/>
          <a:ext cx="2903220" cy="71412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15" totalsRowShown="0">
  <autoFilter ref="A1:D15" xr:uid="{00000000-0009-0000-0100-000002000000}"/>
  <tableColumns count="4">
    <tableColumn id="1" xr3:uid="{00000000-0010-0000-0000-000001000000}" name="Variable name"/>
    <tableColumn id="2" xr3:uid="{00000000-0010-0000-0000-000002000000}" name="Value"/>
    <tableColumn id="4" xr3:uid="{00000000-0010-0000-0000-000004000000}" name="Unit"/>
    <tableColumn id="3" xr3:uid="{00000000-0010-0000-0000-000003000000}" name="Comment"/>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8000000}" name="Table46911131517182021222729" displayName="Table46911131517182021222729" ref="A22:P49" totalsRowShown="0">
  <autoFilter ref="A22:P49" xr:uid="{00000000-0009-0000-0100-00001C000000}"/>
  <tableColumns count="16">
    <tableColumn id="1" xr3:uid="{00000000-0010-0000-0800-000001000000}" name="Item"/>
    <tableColumn id="20" xr3:uid="{00000000-0010-0000-0800-000014000000}" name="Specified qtty" dataDxfId="88"/>
    <tableColumn id="2" xr3:uid="{00000000-0010-0000-0800-000002000000}" name="Delivered qtty"/>
    <tableColumn id="3" xr3:uid="{00000000-0010-0000-0800-000003000000}" name="Unit"/>
    <tableColumn id="4" xr3:uid="{00000000-0010-0000-0800-000004000000}" name="IEE (GJ)" dataDxfId="87">
      <calculatedColumnFormula>28.4+5.9</calculatedColumnFormula>
    </tableColumn>
    <tableColumn id="5" xr3:uid="{00000000-0010-0000-0800-000005000000}" name="REE (GJ/50 years)" dataDxfId="86">
      <calculatedColumnFormula>Table46911131517182021222729[[#This Row],[IEE (GJ)]]</calculatedColumnFormula>
    </tableColumn>
    <tableColumn id="6" xr3:uid="{00000000-0010-0000-0800-000006000000}" name="LCEE (GJ/50 years)" dataDxfId="85">
      <calculatedColumnFormula>Table46911131517182021222729[[#This Row],[REE (GJ/50 years)]]+Table46911131517182021222729[[#This Row],[IEE (GJ)]]</calculatedColumnFormula>
    </tableColumn>
    <tableColumn id="7" xr3:uid="{00000000-0010-0000-0800-000007000000}" name="Delivered  energy (GJ/50 years)" dataDxfId="84">
      <calculatedColumnFormula>Table46911131517182021222729[[#This Row],[Primary OPE (GJ/50 years)]]/1.1</calculatedColumnFormula>
    </tableColumn>
    <tableColumn id="9" xr3:uid="{00000000-0010-0000-0800-000009000000}" name="Primary OPE (GJ/50 years)"/>
    <tableColumn id="8" xr3:uid="{00000000-0010-0000-0800-000008000000}" name="DTE (GJ/50 years)"/>
    <tableColumn id="10" xr3:uid="{00000000-0010-0000-0800-00000A000000}" name="ITE (GJ/50 years)"/>
    <tableColumn id="11" xr3:uid="{00000000-0010-0000-0800-00000B000000}" name="LCTE (GJ/50 years)"/>
    <tableColumn id="12" xr3:uid="{00000000-0010-0000-0800-00000C000000}" name="Investment cost (USD)" dataDxfId="83"/>
    <tableColumn id="13" xr3:uid="{00000000-0010-0000-0800-00000D000000}" name="Recurrent cost (USD/50 years)"/>
    <tableColumn id="17" xr3:uid="{00000000-0010-0000-0800-000011000000}" name="Energy cost (USD/50 years)"/>
    <tableColumn id="14" xr3:uid="{00000000-0010-0000-0800-00000E000000}" name="Total cost in NPV (USD/50 years)">
      <calculatedColumnFormula>N23+M23</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Table4691113151733" displayName="Table4691113151733" ref="A3:M10" totalsRowShown="0">
  <autoFilter ref="A3:M10" xr:uid="{00000000-0009-0000-0100-000020000000}"/>
  <tableColumns count="13">
    <tableColumn id="1" xr3:uid="{00000000-0010-0000-0C00-000001000000}" name="Item"/>
    <tableColumn id="20" xr3:uid="{00000000-0010-0000-0C00-000014000000}" name="Specified qtty" dataDxfId="80"/>
    <tableColumn id="2" xr3:uid="{00000000-0010-0000-0C00-000002000000}" name="Delivered qtty"/>
    <tableColumn id="3" xr3:uid="{00000000-0010-0000-0C00-000003000000}" name="Unit"/>
    <tableColumn id="4" xr3:uid="{00000000-0010-0000-0C00-000004000000}" name="IEE (GJ)" dataDxfId="79">
      <calculatedColumnFormula>28.4+5.9</calculatedColumnFormula>
    </tableColumn>
    <tableColumn id="5" xr3:uid="{00000000-0010-0000-0C00-000005000000}" name="REE (GJ/50 years)" dataDxfId="78">
      <calculatedColumnFormula>Table4691113151733[[#This Row],[IEE (GJ)]]</calculatedColumnFormula>
    </tableColumn>
    <tableColumn id="6" xr3:uid="{00000000-0010-0000-0C00-000006000000}" name="LCEE (GJ/50 years)" dataDxfId="77">
      <calculatedColumnFormula>Table4691113151733[[#This Row],[REE (GJ/50 years)]]+Table4691113151733[[#This Row],[IEE (GJ)]]</calculatedColumnFormula>
    </tableColumn>
    <tableColumn id="16" xr3:uid="{00000000-0010-0000-0C00-000010000000}" name="IEGHG (kgCO2e)" dataDxfId="76" dataCellStyle="Heading 4">
      <calculatedColumnFormula>-31.926*Table4691113151733[[#This Row],[Delivered qtty]]</calculatedColumnFormula>
    </tableColumn>
    <tableColumn id="15" xr3:uid="{00000000-0010-0000-0C00-00000F000000}" name="REGHG (kgCO2e)" dataDxfId="75" dataCellStyle="Heading 4"/>
    <tableColumn id="8" xr3:uid="{00000000-0010-0000-0C00-000008000000}" name="LCEGHG (kgCO2e)" dataDxfId="74" dataCellStyle="Heading 4">
      <calculatedColumnFormula>Table4691113151733[[#This Row],[REGHG (kgCO2e)]]+Table4691113151733[[#This Row],[IEGHG (kgCO2e)]]</calculatedColumnFormula>
    </tableColumn>
    <tableColumn id="7" xr3:uid="{00000000-0010-0000-0C00-000007000000}" name="Delivered  energy (GJ/50 years)" dataDxfId="73"/>
    <tableColumn id="9" xr3:uid="{00000000-0010-0000-0C00-000009000000}" name="Primary OPE (GJ/50 years)" dataDxfId="72"/>
    <tableColumn id="18" xr3:uid="{00000000-0010-0000-0C00-000012000000}" name="LCOPGHG (kgCO2e/50 years)" dataDxfId="71"/>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Table469111315173334" displayName="Table469111315173334" ref="A3:M10" totalsRowShown="0">
  <autoFilter ref="A3:M10" xr:uid="{00000000-0009-0000-0100-000021000000}"/>
  <tableColumns count="13">
    <tableColumn id="1" xr3:uid="{00000000-0010-0000-0D00-000001000000}" name="Item"/>
    <tableColumn id="20" xr3:uid="{00000000-0010-0000-0D00-000014000000}" name="Specified qtty" dataDxfId="68"/>
    <tableColumn id="2" xr3:uid="{00000000-0010-0000-0D00-000002000000}" name="Delivered qtty"/>
    <tableColumn id="3" xr3:uid="{00000000-0010-0000-0D00-000003000000}" name="Unit"/>
    <tableColumn id="4" xr3:uid="{00000000-0010-0000-0D00-000004000000}" name="IEE (GJ)" dataDxfId="67">
      <calculatedColumnFormula>28.4+5.9</calculatedColumnFormula>
    </tableColumn>
    <tableColumn id="5" xr3:uid="{00000000-0010-0000-0D00-000005000000}" name="REE (GJ/50 years)" dataDxfId="66">
      <calculatedColumnFormula>Table469111315173334[[#This Row],[IEE (GJ)]]</calculatedColumnFormula>
    </tableColumn>
    <tableColumn id="6" xr3:uid="{00000000-0010-0000-0D00-000006000000}" name="LCEE (GJ/50 years)" dataDxfId="65">
      <calculatedColumnFormula>Table469111315173334[[#This Row],[REE (GJ/50 years)]]+Table469111315173334[[#This Row],[IEE (GJ)]]</calculatedColumnFormula>
    </tableColumn>
    <tableColumn id="16" xr3:uid="{00000000-0010-0000-0D00-000010000000}" name="IEGHG (kgCO2e)" dataDxfId="64" dataCellStyle="Heading 4">
      <calculatedColumnFormula>-33.56883*Table469111315173334[[#This Row],[Delivered qtty]]</calculatedColumnFormula>
    </tableColumn>
    <tableColumn id="15" xr3:uid="{00000000-0010-0000-0D00-00000F000000}" name="REGHG (kgCO2e)" dataDxfId="63" dataCellStyle="Heading 4">
      <calculatedColumnFormula>-3.93831553973902*Table469111315173334[[#This Row],[Delivered qtty]]</calculatedColumnFormula>
    </tableColumn>
    <tableColumn id="8" xr3:uid="{00000000-0010-0000-0D00-000008000000}" name="LCEGHG (kgCO2e)" dataDxfId="62" dataCellStyle="Heading 4">
      <calculatedColumnFormula>SUM(Table469111315173334[[#This Row],[IEGHG (kgCO2e)]:[REGHG (kgCO2e)]])</calculatedColumnFormula>
    </tableColumn>
    <tableColumn id="7" xr3:uid="{00000000-0010-0000-0D00-000007000000}" name="Delivered  energy (GJ/50 years)"/>
    <tableColumn id="9" xr3:uid="{00000000-0010-0000-0D00-000009000000}" name="Primary OPE (GJ/50 years)" dataDxfId="61"/>
    <tableColumn id="18" xr3:uid="{00000000-0010-0000-0D00-000012000000}" name="LCOGHG (kgCO2e/50 years)" dataDxfId="60"/>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E000000}" name="Table46911131517333435" displayName="Table46911131517333435" ref="A3:L10" totalsRowShown="0">
  <autoFilter ref="A3:L10" xr:uid="{00000000-0009-0000-0100-000022000000}"/>
  <tableColumns count="12">
    <tableColumn id="1" xr3:uid="{00000000-0010-0000-0E00-000001000000}" name="Item"/>
    <tableColumn id="20" xr3:uid="{00000000-0010-0000-0E00-000014000000}" name="Specified qtty" dataDxfId="57"/>
    <tableColumn id="2" xr3:uid="{00000000-0010-0000-0E00-000002000000}" name="Delivered qtty"/>
    <tableColumn id="3" xr3:uid="{00000000-0010-0000-0E00-000003000000}" name="Unit"/>
    <tableColumn id="4" xr3:uid="{00000000-0010-0000-0E00-000004000000}" name="IEE (GJ)" dataDxfId="56">
      <calculatedColumnFormula>28.4+5.9</calculatedColumnFormula>
    </tableColumn>
    <tableColumn id="5" xr3:uid="{00000000-0010-0000-0E00-000005000000}" name="REE (GJ/50 years)" dataDxfId="55">
      <calculatedColumnFormula>Table46911131517333435[[#This Row],[IEE (GJ)]]</calculatedColumnFormula>
    </tableColumn>
    <tableColumn id="6" xr3:uid="{00000000-0010-0000-0E00-000006000000}" name="LCEE (GJ/50 years)" dataDxfId="54">
      <calculatedColumnFormula>Table46911131517333435[[#This Row],[REE (GJ/50 years)]]+Table46911131517333435[[#This Row],[IEE (GJ)]]</calculatedColumnFormula>
    </tableColumn>
    <tableColumn id="16" xr3:uid="{00000000-0010-0000-0E00-000010000000}" name="IEGHG (kgCO2e)" dataDxfId="53" dataCellStyle="Heading 4">
      <calculatedColumnFormula>18.0237325*Table46911131517333435[[#This Row],[Delivered qtty]]</calculatedColumnFormula>
    </tableColumn>
    <tableColumn id="15" xr3:uid="{00000000-0010-0000-0E00-00000F000000}" name="REGHG (kgCO2e)" dataDxfId="52" dataCellStyle="Heading 4">
      <calculatedColumnFormula>Table46911131517333435[[#This Row],[IEGHG (kgCO2e)]]</calculatedColumnFormula>
    </tableColumn>
    <tableColumn id="8" xr3:uid="{00000000-0010-0000-0E00-000008000000}" name="LCEGHG (kgCO2e)" dataDxfId="51" dataCellStyle="Heading 4">
      <calculatedColumnFormula>Table46911131517333435[[#This Row],[REGHG (kgCO2e)]]+Table46911131517333435[[#This Row],[IEGHG (kgCO2e)]]</calculatedColumnFormula>
    </tableColumn>
    <tableColumn id="7" xr3:uid="{00000000-0010-0000-0E00-000007000000}" name="Delivered  energy (GJ/50 years)"/>
    <tableColumn id="9" xr3:uid="{00000000-0010-0000-0E00-000009000000}" name="Primary OPE (GJ/50 years)" dataDxfId="50"/>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Table4691113151733343523" displayName="Table4691113151733343523" ref="A3:M10" totalsRowShown="0">
  <autoFilter ref="A3:M10" xr:uid="{00000000-0009-0000-0100-000016000000}"/>
  <tableColumns count="13">
    <tableColumn id="1" xr3:uid="{00000000-0010-0000-0F00-000001000000}" name="Item"/>
    <tableColumn id="20" xr3:uid="{00000000-0010-0000-0F00-000014000000}" name="Specified qtty" dataDxfId="47"/>
    <tableColumn id="2" xr3:uid="{00000000-0010-0000-0F00-000002000000}" name="Delivered qtty"/>
    <tableColumn id="3" xr3:uid="{00000000-0010-0000-0F00-000003000000}" name="Unit"/>
    <tableColumn id="4" xr3:uid="{00000000-0010-0000-0F00-000004000000}" name="IEE (GJ)" dataDxfId="46">
      <calculatedColumnFormula>28.4+5.9</calculatedColumnFormula>
    </tableColumn>
    <tableColumn id="5" xr3:uid="{00000000-0010-0000-0F00-000005000000}" name="REE (GJ/50 years)" dataDxfId="45">
      <calculatedColumnFormula>Table4691113151733343523[[#This Row],[IEE (GJ)]]</calculatedColumnFormula>
    </tableColumn>
    <tableColumn id="6" xr3:uid="{00000000-0010-0000-0F00-000006000000}" name="LCEE (GJ/50 years)" dataDxfId="44">
      <calculatedColumnFormula>Table4691113151733343523[[#This Row],[REE (GJ/50 years)]]+Table4691113151733343523[[#This Row],[IEE (GJ)]]</calculatedColumnFormula>
    </tableColumn>
    <tableColumn id="16" xr3:uid="{00000000-0010-0000-0F00-000010000000}" name="IEGHG (kgCO2e)" dataDxfId="43" dataCellStyle="Heading 4">
      <calculatedColumnFormula>-107.4*Table4691113151733343523[[#This Row],[Delivered qtty]]</calculatedColumnFormula>
    </tableColumn>
    <tableColumn id="15" xr3:uid="{00000000-0010-0000-0F00-00000F000000}" name="REGHG (kgCO2e)" dataDxfId="42" dataCellStyle="Heading 4">
      <calculatedColumnFormula>Table4691113151733343523[[#This Row],[IEGHG (kgCO2e)]]</calculatedColumnFormula>
    </tableColumn>
    <tableColumn id="8" xr3:uid="{00000000-0010-0000-0F00-000008000000}" name="LCEGHG (kgCO2e)" dataDxfId="41" dataCellStyle="Heading 4">
      <calculatedColumnFormula>Table4691113151733343523[[#This Row],[REGHG (kgCO2e)]]+Table4691113151733343523[[#This Row],[IEGHG (kgCO2e)]]</calculatedColumnFormula>
    </tableColumn>
    <tableColumn id="7" xr3:uid="{00000000-0010-0000-0F00-000007000000}" name="Delivered  energy (GJ/50 years)" dataDxfId="40"/>
    <tableColumn id="9" xr3:uid="{00000000-0010-0000-0F00-000009000000}" name="Primary OPE (GJ/50 years)" dataDxfId="39">
      <calculatedColumnFormula>(719/'General variables'!$B$10*0.9/2.5*'General variables'!$B$9)-719</calculatedColumnFormula>
    </tableColumn>
    <tableColumn id="18" xr3:uid="{00000000-0010-0000-0F00-000012000000}" name="LCOGHG (kgCO2e/50 years)" dataDxfId="38">
      <calculatedColumnFormula>Table4691113151733343523[[#This Row],[Primary OPE (GJ/50 years)]]*'General variables'!$B$14</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0000000}" name="Table4691113151718202122272932" displayName="Table4691113151718202122272932" ref="A19:M51" totalsRowCount="1">
  <autoFilter ref="A19:M50" xr:uid="{00000000-0009-0000-0100-00001F000000}"/>
  <tableColumns count="13">
    <tableColumn id="1" xr3:uid="{00000000-0010-0000-1000-000001000000}" name="Item"/>
    <tableColumn id="20" xr3:uid="{00000000-0010-0000-1000-000014000000}" name="Specified qtty" dataDxfId="31" totalsRowDxfId="30"/>
    <tableColumn id="2" xr3:uid="{00000000-0010-0000-1000-000002000000}" name="Delivered qtty"/>
    <tableColumn id="3" xr3:uid="{00000000-0010-0000-1000-000003000000}" name="Unit"/>
    <tableColumn id="4" xr3:uid="{00000000-0010-0000-1000-000004000000}" name="IEE (GJ)" totalsRowFunction="sum" dataDxfId="29" totalsRowDxfId="28">
      <calculatedColumnFormula>28.4+5.9</calculatedColumnFormula>
    </tableColumn>
    <tableColumn id="5" xr3:uid="{00000000-0010-0000-1000-000005000000}" name="REE (GJ/50 years)" totalsRowFunction="sum" dataDxfId="27" totalsRowDxfId="26">
      <calculatedColumnFormula>Table4691113151718202122272932[[#This Row],[IEE (GJ)]]</calculatedColumnFormula>
    </tableColumn>
    <tableColumn id="6" xr3:uid="{00000000-0010-0000-1000-000006000000}" name="LCEE (GJ/50 years)" totalsRowFunction="sum" dataDxfId="25" totalsRowDxfId="24">
      <calculatedColumnFormula>Table4691113151718202122272932[[#This Row],[REE (GJ/50 years)]]+Table4691113151718202122272932[[#This Row],[IEE (GJ)]]</calculatedColumnFormula>
    </tableColumn>
    <tableColumn id="18" xr3:uid="{00000000-0010-0000-1000-000012000000}" name="IEGHG (kgCO2e)" totalsRowFunction="sum" dataDxfId="23" totalsRowDxfId="22"/>
    <tableColumn id="16" xr3:uid="{00000000-0010-0000-1000-000010000000}" name="REGHG (kgCO2e)" totalsRowFunction="sum" dataDxfId="21" totalsRowDxfId="20"/>
    <tableColumn id="15" xr3:uid="{00000000-0010-0000-1000-00000F000000}" name="LCEGHG (kgCO2e)" totalsRowFunction="sum" dataDxfId="19" totalsRowDxfId="18"/>
    <tableColumn id="7" xr3:uid="{00000000-0010-0000-1000-000007000000}" name="Delivered  energy (GJ/50 years)" dataDxfId="17" totalsRowDxfId="16">
      <calculatedColumnFormula>Table4691113151718202122272932[[#This Row],[Primary OPE (GJ/50 years)]]/1.1</calculatedColumnFormula>
    </tableColumn>
    <tableColumn id="9" xr3:uid="{00000000-0010-0000-1000-000009000000}" name="Primary OPE (GJ/50 years)" totalsRowFunction="sum"/>
    <tableColumn id="19" xr3:uid="{00000000-0010-0000-1000-000013000000}" name="LCOGHG (kgCO2e/50 years)" dataDxfId="15" totalsRowDxfId="14"/>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4AEB9F-6255-4B3B-8654-412F5F207BBB}" name="Table1" displayName="Table1" ref="A1:O35" totalsRowShown="0" headerRowDxfId="13">
  <autoFilter ref="A1:O35" xr:uid="{293DF054-F575-435A-B485-9761367C0E6A}"/>
  <tableColumns count="15">
    <tableColumn id="1" xr3:uid="{E30B870E-30EE-4DB7-A584-BC768290D6AE}" name="ID" dataDxfId="12"/>
    <tableColumn id="2" xr3:uid="{259EE5E6-68B8-4343-95C4-EA8C40C68052}" name="Abbreviation" dataDxfId="11"/>
    <tableColumn id="3" xr3:uid="{B4EAB03F-1663-4298-A7E0-CA209740B43C}" name="LCEE (GJ/apartment)" dataDxfId="10">
      <calculatedColumnFormula>$C$2</calculatedColumnFormula>
    </tableColumn>
    <tableColumn id="4" xr3:uid="{132A496F-0E24-41BF-A80B-8C6229D76E36}" name="LCOPE (GJ/apartment)" dataDxfId="9">
      <calculatedColumnFormula>$D$2</calculatedColumnFormula>
    </tableColumn>
    <tableColumn id="5" xr3:uid="{222149A3-6635-4BFA-9102-69A900E016B0}" name="LCE (GJ/apartment)" dataDxfId="8">
      <calculatedColumnFormula>C2+D2</calculatedColumnFormula>
    </tableColumn>
    <tableColumn id="6" xr3:uid="{48C1C4B1-BE21-487C-9345-C88BCDCC9282}" name="LCEGHG (kgCO2e/apartment)" dataDxfId="7">
      <calculatedColumnFormula>$F$2</calculatedColumnFormula>
    </tableColumn>
    <tableColumn id="7" xr3:uid="{0E8BB5AA-B641-4827-B905-67D3DF163106}" name="LCOPGHG (kgCO2e/apartment)" dataDxfId="6">
      <calculatedColumnFormula>$G$2</calculatedColumnFormula>
    </tableColumn>
    <tableColumn id="8" xr3:uid="{34B8B7F9-B601-4B01-BC22-0FEFB2CF2A94}" name="LCGHG (kgCO2e/apartment)" dataDxfId="5"/>
    <tableColumn id="9" xr3:uid="{DA781A48-C6E2-4D21-94A2-86FE1557F428}" name="ΔLCC (USD2020/apartment)" dataDxfId="4">
      <calculatedColumnFormula>$I$4</calculatedColumnFormula>
    </tableColumn>
    <tableColumn id="10" xr3:uid="{796E9DC5-A028-4DFD-8A91-D1FCEEB5995A}" name="Multiplier value" dataDxfId="3"/>
    <tableColumn id="11" xr3:uid="{5F3589DD-3A82-429A-BC97-75A03AD7366A}" name="LCE (GJ/building)" dataDxfId="2">
      <calculatedColumnFormula>E2*'General variables'!$B$11</calculatedColumnFormula>
    </tableColumn>
    <tableColumn id="12" xr3:uid="{3A34C4B0-9F58-4A80-8426-32B61A8A098B}" name="LCGHG (kgCO2e/building)" dataDxfId="1">
      <calculatedColumnFormula>H2*'General variables'!$B$11</calculatedColumnFormula>
    </tableColumn>
    <tableColumn id="13" xr3:uid="{A27819C3-E747-44F4-9AAC-F62E426865C0}" name="ΔLCC (USD2020/building)" dataDxfId="0">
      <calculatedColumnFormula>I2*'General variables'!$B$11</calculatedColumnFormula>
    </tableColumn>
    <tableColumn id="14" xr3:uid="{DC28FC3D-CC5A-498F-92A1-11C502181A04}" name="ΔLCC (USD2020/m² GFA)">
      <calculatedColumnFormula>I2/'General variables'!$B$15</calculatedColumnFormula>
    </tableColumn>
    <tableColumn id="15" xr3:uid="{5ECC1A3D-BF13-43E2-90F4-11EB5D341C55}" name="LCGHG (kgCO2e/m² gross floor area)">
      <calculatedColumnFormula>L2/(154*8)</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2000000}" name="Table6" displayName="Table6" ref="A1:D24" totalsRowShown="0">
  <autoFilter ref="A1:D24" xr:uid="{00000000-0009-0000-0100-000006000000}"/>
  <tableColumns count="4">
    <tableColumn id="1" xr3:uid="{00000000-0010-0000-1200-000001000000}" name="Assembly subcategory"/>
    <tableColumn id="2" xr3:uid="{00000000-0010-0000-1200-000002000000}" name="Assembly name"/>
    <tableColumn id="3" xr3:uid="{00000000-0010-0000-1200-000003000000}" name="Quantity"/>
    <tableColumn id="4" xr3:uid="{00000000-0010-0000-1200-000004000000}" name="Unit"/>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46911131517" displayName="Table46911131517" ref="A2:L7" totalsRowShown="0">
  <autoFilter ref="A2:L7" xr:uid="{00000000-0009-0000-0100-000010000000}"/>
  <tableColumns count="12">
    <tableColumn id="1" xr3:uid="{00000000-0010-0000-0100-000001000000}" name="Item"/>
    <tableColumn id="20" xr3:uid="{00000000-0010-0000-0100-000014000000}" name="Specified qtty" dataDxfId="153"/>
    <tableColumn id="2" xr3:uid="{00000000-0010-0000-0100-000002000000}" name="Delivered qtty"/>
    <tableColumn id="3" xr3:uid="{00000000-0010-0000-0100-000003000000}" name="Unit"/>
    <tableColumn id="4" xr3:uid="{00000000-0010-0000-0100-000004000000}" name="IEE (GJ)" dataDxfId="152">
      <calculatedColumnFormula>28.4+5.9</calculatedColumnFormula>
    </tableColumn>
    <tableColumn id="5" xr3:uid="{00000000-0010-0000-0100-000005000000}" name="REE (GJ/50 years)" dataDxfId="151">
      <calculatedColumnFormula>Table46911131517[[#This Row],[IEE (GJ)]]</calculatedColumnFormula>
    </tableColumn>
    <tableColumn id="6" xr3:uid="{00000000-0010-0000-0100-000006000000}" name="LCEE (GJ/50 years)" dataDxfId="150">
      <calculatedColumnFormula>Table46911131517[[#This Row],[REE (GJ/50 years)]]+Table46911131517[[#This Row],[IEE (GJ)]]</calculatedColumnFormula>
    </tableColumn>
    <tableColumn id="16" xr3:uid="{00000000-0010-0000-0100-000010000000}" name="IEGHG (kgCO2e)" dataDxfId="149" dataCellStyle="Heading 4"/>
    <tableColumn id="15" xr3:uid="{00000000-0010-0000-0100-00000F000000}" name="REGHG (kgCO2e)" dataDxfId="148" dataCellStyle="Heading 4"/>
    <tableColumn id="8" xr3:uid="{00000000-0010-0000-0100-000008000000}" name="LCEGHG (kgCO2e)" dataDxfId="147" dataCellStyle="Heading 4"/>
    <tableColumn id="7" xr3:uid="{00000000-0010-0000-0100-000007000000}" name="Delivered  energy (GJ/50 years)"/>
    <tableColumn id="9" xr3:uid="{00000000-0010-0000-0100-000009000000}" name="Primary OPE (GJ/50 years)" dataDxfId="14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le4691113151718" displayName="Table4691113151718" ref="A2:L8" totalsRowShown="0">
  <autoFilter ref="A2:L8" xr:uid="{00000000-0009-0000-0100-000011000000}"/>
  <tableColumns count="12">
    <tableColumn id="1" xr3:uid="{00000000-0010-0000-0200-000001000000}" name="Item"/>
    <tableColumn id="20" xr3:uid="{00000000-0010-0000-0200-000014000000}" name="Specified qtty" dataDxfId="143"/>
    <tableColumn id="2" xr3:uid="{00000000-0010-0000-0200-000002000000}" name="Delivered qtty"/>
    <tableColumn id="3" xr3:uid="{00000000-0010-0000-0200-000003000000}" name="Unit"/>
    <tableColumn id="4" xr3:uid="{00000000-0010-0000-0200-000004000000}" name="IEE (GJ)" dataDxfId="142">
      <calculatedColumnFormula>28.4+5.9</calculatedColumnFormula>
    </tableColumn>
    <tableColumn id="5" xr3:uid="{00000000-0010-0000-0200-000005000000}" name="REE (GJ/50 years)" dataDxfId="141">
      <calculatedColumnFormula>Table4691113151718[[#This Row],[IEE (GJ)]]</calculatedColumnFormula>
    </tableColumn>
    <tableColumn id="6" xr3:uid="{00000000-0010-0000-0200-000006000000}" name="LCEE (GJ/50 years)" dataDxfId="140">
      <calculatedColumnFormula>Table4691113151718[[#This Row],[REE (GJ/50 years)]]+Table4691113151718[[#This Row],[IEE (GJ)]]</calculatedColumnFormula>
    </tableColumn>
    <tableColumn id="15" xr3:uid="{00000000-0010-0000-0200-00000F000000}" name="IEGHG (kgCO2e)" dataDxfId="139"/>
    <tableColumn id="11" xr3:uid="{00000000-0010-0000-0200-00000B000000}" name="REGHG (kgCO2e)" dataDxfId="138"/>
    <tableColumn id="8" xr3:uid="{00000000-0010-0000-0200-000008000000}" name="LCEGHG (kgCO2e)" dataDxfId="137"/>
    <tableColumn id="7" xr3:uid="{00000000-0010-0000-0200-000007000000}" name="Delivered Lighting energy (GJ/50 years)"/>
    <tableColumn id="9" xr3:uid="{00000000-0010-0000-0200-000009000000}" name="Primary OPE (GJ/50 yea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Table469111315171819" displayName="Table469111315171819" ref="A2:I10" totalsRowShown="0">
  <autoFilter ref="A2:I10" xr:uid="{00000000-0009-0000-0100-000012000000}"/>
  <tableColumns count="9">
    <tableColumn id="1" xr3:uid="{00000000-0010-0000-0300-000001000000}" name="Item"/>
    <tableColumn id="20" xr3:uid="{00000000-0010-0000-0300-000014000000}" name="Specified qtty" dataDxfId="134"/>
    <tableColumn id="2" xr3:uid="{00000000-0010-0000-0300-000002000000}" name="Delivered qtty"/>
    <tableColumn id="3" xr3:uid="{00000000-0010-0000-0300-000003000000}" name="Unit"/>
    <tableColumn id="4" xr3:uid="{00000000-0010-0000-0300-000004000000}" name="IEE (GJ)" dataDxfId="133">
      <calculatedColumnFormula>28.4+5.9</calculatedColumnFormula>
    </tableColumn>
    <tableColumn id="5" xr3:uid="{00000000-0010-0000-0300-000005000000}" name="REE (GJ/50 years)" dataDxfId="132">
      <calculatedColumnFormula>Table469111315171819[[#This Row],[IEE (GJ)]]</calculatedColumnFormula>
    </tableColumn>
    <tableColumn id="6" xr3:uid="{00000000-0010-0000-0300-000006000000}" name="LCEE (GJ/50 years)" dataDxfId="131">
      <calculatedColumnFormula>Table469111315171819[[#This Row],[REE (GJ/50 years)]]+Table469111315171819[[#This Row],[IEE (GJ)]]</calculatedColumnFormula>
    </tableColumn>
    <tableColumn id="7" xr3:uid="{00000000-0010-0000-0300-000007000000}" name="Delivered energy (GJ/50 years)" dataDxfId="130">
      <calculatedColumnFormula>Table469111315171819[[#This Row],[Primary OPE (GJ/50 years)]]/3.8</calculatedColumnFormula>
    </tableColumn>
    <tableColumn id="9" xr3:uid="{00000000-0010-0000-0300-000009000000}" name="Primary OPE (GJ/50 year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4000000}" name="Table469111315171820" displayName="Table469111315171820" ref="A2:I8" totalsRowShown="0">
  <autoFilter ref="A2:I8" xr:uid="{00000000-0009-0000-0100-000013000000}"/>
  <tableColumns count="9">
    <tableColumn id="1" xr3:uid="{00000000-0010-0000-0400-000001000000}" name="Item"/>
    <tableColumn id="20" xr3:uid="{00000000-0010-0000-0400-000014000000}" name="Specified qtty" dataDxfId="127"/>
    <tableColumn id="2" xr3:uid="{00000000-0010-0000-0400-000002000000}" name="Delivered qtty"/>
    <tableColumn id="3" xr3:uid="{00000000-0010-0000-0400-000003000000}" name="Unit"/>
    <tableColumn id="4" xr3:uid="{00000000-0010-0000-0400-000004000000}" name="IEE (GJ)" dataDxfId="126">
      <calculatedColumnFormula>28.4+5.9</calculatedColumnFormula>
    </tableColumn>
    <tableColumn id="5" xr3:uid="{00000000-0010-0000-0400-000005000000}" name="REE (GJ/50 years)" dataDxfId="125">
      <calculatedColumnFormula>Table469111315171820[[#This Row],[IEE (GJ)]]</calculatedColumnFormula>
    </tableColumn>
    <tableColumn id="6" xr3:uid="{00000000-0010-0000-0400-000006000000}" name="LCEE (GJ/50 years)" dataDxfId="124">
      <calculatedColumnFormula>Table469111315171820[[#This Row],[REE (GJ/50 years)]]+Table469111315171820[[#This Row],[IEE (GJ)]]</calculatedColumnFormula>
    </tableColumn>
    <tableColumn id="7" xr3:uid="{00000000-0010-0000-0400-000007000000}" name="Delivered cooling energy (GJ/50 years)"/>
    <tableColumn id="9" xr3:uid="{00000000-0010-0000-0400-000009000000}" name="Primary OPE (GJ/50 year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5000000}" name="Table46911131517182021" displayName="Table46911131517182021" ref="A2:L8" totalsRowShown="0">
  <autoFilter ref="A2:L8" xr:uid="{00000000-0009-0000-0100-000014000000}"/>
  <tableColumns count="12">
    <tableColumn id="1" xr3:uid="{00000000-0010-0000-0500-000001000000}" name="Item"/>
    <tableColumn id="20" xr3:uid="{00000000-0010-0000-0500-000014000000}" name="Specified qtty" dataDxfId="117"/>
    <tableColumn id="2" xr3:uid="{00000000-0010-0000-0500-000002000000}" name="Delivered qtty"/>
    <tableColumn id="3" xr3:uid="{00000000-0010-0000-0500-000003000000}" name="Unit"/>
    <tableColumn id="4" xr3:uid="{00000000-0010-0000-0500-000004000000}" name="IEE (GJ)" dataDxfId="116">
      <calculatedColumnFormula>Table46911131517182021[[#This Row],[Specified qtty]]*3.7168</calculatedColumnFormula>
    </tableColumn>
    <tableColumn id="5" xr3:uid="{00000000-0010-0000-0500-000005000000}" name="REE (GJ/50 years)" dataDxfId="115">
      <calculatedColumnFormula>Table46911131517182021[[#This Row],[IEE (GJ)]]</calculatedColumnFormula>
    </tableColumn>
    <tableColumn id="6" xr3:uid="{00000000-0010-0000-0500-000006000000}" name="LCEE (GJ/50 years)" dataDxfId="114">
      <calculatedColumnFormula>Table46911131517182021[[#This Row],[REE (GJ/50 years)]]+Table46911131517182021[[#This Row],[IEE (GJ)]]</calculatedColumnFormula>
    </tableColumn>
    <tableColumn id="15" xr3:uid="{00000000-0010-0000-0500-00000F000000}" name="IEGHG (kgCO2e)" dataDxfId="113"/>
    <tableColumn id="11" xr3:uid="{00000000-0010-0000-0500-00000B000000}" name="REGHG (kgCO2e)" dataDxfId="112"/>
    <tableColumn id="8" xr3:uid="{00000000-0010-0000-0500-000008000000}" name="LCEGHG (kgCO2e)" dataDxfId="111"/>
    <tableColumn id="7" xr3:uid="{00000000-0010-0000-0500-000007000000}" name="Delivered energy (GJ/50 years)" dataDxfId="110">
      <calculatedColumnFormula>Table46911131517182021[[#This Row],[Primary OPE (GJ/50 years)]]/1.1</calculatedColumnFormula>
    </tableColumn>
    <tableColumn id="9" xr3:uid="{00000000-0010-0000-0500-000009000000}" name="Primary OPE (GJ/50 years)"/>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Table4691113151716" displayName="Table4691113151716" ref="A2:M8" totalsRowShown="0">
  <autoFilter ref="A2:M8" xr:uid="{00000000-0009-0000-0100-00000F000000}"/>
  <tableColumns count="13">
    <tableColumn id="1" xr3:uid="{00000000-0010-0000-0600-000001000000}" name="Item"/>
    <tableColumn id="20" xr3:uid="{00000000-0010-0000-0600-000014000000}" name="Specified qtty" dataDxfId="107"/>
    <tableColumn id="2" xr3:uid="{00000000-0010-0000-0600-000002000000}" name="Delivered qtty"/>
    <tableColumn id="3" xr3:uid="{00000000-0010-0000-0600-000003000000}" name="Unit"/>
    <tableColumn id="4" xr3:uid="{00000000-0010-0000-0600-000004000000}" name="IEE (GJ)" dataDxfId="106">
      <calculatedColumnFormula>28.4+5.9</calculatedColumnFormula>
    </tableColumn>
    <tableColumn id="5" xr3:uid="{00000000-0010-0000-0600-000005000000}" name="REE (GJ/50 years)" dataDxfId="105">
      <calculatedColumnFormula>Table4691113151716[[#This Row],[IEE (GJ)]]</calculatedColumnFormula>
    </tableColumn>
    <tableColumn id="6" xr3:uid="{00000000-0010-0000-0600-000006000000}" name="LCEE (GJ/50 years)" dataDxfId="104">
      <calculatedColumnFormula>Table4691113151716[[#This Row],[REE (GJ/50 years)]]+Table4691113151716[[#This Row],[IEE (GJ)]]</calculatedColumnFormula>
    </tableColumn>
    <tableColumn id="15" xr3:uid="{00000000-0010-0000-0600-00000F000000}" name="IEGHG (kgCO2e)" dataDxfId="103">
      <calculatedColumnFormula>0.469641556*Table4691113151716[[#This Row],[Delivered qtty]]*B22*1.5*1000</calculatedColumnFormula>
    </tableColumn>
    <tableColumn id="10" xr3:uid="{00000000-0010-0000-0600-00000A000000}" name="REGHG (kgCO2e)" dataDxfId="102">
      <calculatedColumnFormula>Table4691113151716[[#This Row],[IEGHG (kgCO2e)]]</calculatedColumnFormula>
    </tableColumn>
    <tableColumn id="8" xr3:uid="{00000000-0010-0000-0600-000008000000}" name="LCEGHG (kgCO2e)" dataDxfId="101">
      <calculatedColumnFormula>I3+H3</calculatedColumnFormula>
    </tableColumn>
    <tableColumn id="7" xr3:uid="{00000000-0010-0000-0600-000007000000}" name="Delivered  energy (GJ/50 years)" dataDxfId="100">
      <calculatedColumnFormula>ALL_OPE!H22+ALL_OPE!H23+ALL_OPE!H24+ALL_OPE!H26</calculatedColumnFormula>
    </tableColumn>
    <tableColumn id="9" xr3:uid="{00000000-0010-0000-0600-000009000000}" name="Primary OPE (GJ/50 years)" dataDxfId="99">
      <calculatedColumnFormula>Table4691113151716[[#This Row],[Delivered  energy (GJ/50 years)]]*'General variables'!$B$9</calculatedColumnFormula>
    </tableColumn>
    <tableColumn id="16" xr3:uid="{00000000-0010-0000-0600-000010000000}" name="LCOGHG (kgCO2e/50 years)" dataDxfId="98">
      <calculatedColumnFormula>Table4691113151716[[#This Row],[Primary OPE (GJ/50 years)]]*'General variables'!$B$13</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7000000}" name="Table4691113151718202122" displayName="Table4691113151718202122" ref="A15:M36" totalsRowShown="0">
  <autoFilter ref="A15:M36" xr:uid="{00000000-0009-0000-0100-000015000000}"/>
  <tableColumns count="13">
    <tableColumn id="1" xr3:uid="{00000000-0010-0000-0700-000001000000}" name="Item"/>
    <tableColumn id="20" xr3:uid="{00000000-0010-0000-0700-000014000000}" name="Specified qtty" dataDxfId="95"/>
    <tableColumn id="2" xr3:uid="{00000000-0010-0000-0700-000002000000}" name="Delivered qtty"/>
    <tableColumn id="3" xr3:uid="{00000000-0010-0000-0700-000003000000}" name="Unit"/>
    <tableColumn id="4" xr3:uid="{00000000-0010-0000-0700-000004000000}" name="IEE (GJ)" dataDxfId="94">
      <calculatedColumnFormula>28.4+5.9</calculatedColumnFormula>
    </tableColumn>
    <tableColumn id="5" xr3:uid="{00000000-0010-0000-0700-000005000000}" name="REE (GJ/50 years)" dataDxfId="93">
      <calculatedColumnFormula>Table4691113151718202122[[#This Row],[IEE (GJ)]]</calculatedColumnFormula>
    </tableColumn>
    <tableColumn id="6" xr3:uid="{00000000-0010-0000-0700-000006000000}" name="LCEE (GJ/50 years)" dataDxfId="92">
      <calculatedColumnFormula>Table4691113151718202122[[#This Row],[REE (GJ/50 years)]]+Table4691113151718202122[[#This Row],[IEE (GJ)]]</calculatedColumnFormula>
    </tableColumn>
    <tableColumn id="7" xr3:uid="{00000000-0010-0000-0700-000007000000}" name="Delivered  energy (GJ/50 years)" dataDxfId="91">
      <calculatedColumnFormula>Table4691113151718202122[[#This Row],[Primary OPE (GJ/50 years)]]/1.1</calculatedColumnFormula>
    </tableColumn>
    <tableColumn id="9" xr3:uid="{00000000-0010-0000-0700-000009000000}" name="Primary OPE (GJ/50 years)"/>
    <tableColumn id="12" xr3:uid="{00000000-0010-0000-0700-00000C000000}" name="Investment cost (USD)"/>
    <tableColumn id="13" xr3:uid="{00000000-0010-0000-0700-00000D000000}" name="Recurrent cost (USD/50 years)"/>
    <tableColumn id="17" xr3:uid="{00000000-0010-0000-0700-000011000000}" name="Energy cost (USD/50 years)"/>
    <tableColumn id="14" xr3:uid="{00000000-0010-0000-0700-00000E000000}" name="Total cost in NPV (USD/50 years)">
      <calculatedColumnFormula>K16+J16</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016/j.apenergy.2020.115932" TargetMode="External"/><Relationship Id="rId2" Type="http://schemas.openxmlformats.org/officeDocument/2006/relationships/hyperlink" Target="https://orcid.org/0000-0001-9538-3830" TargetMode="External"/><Relationship Id="rId1" Type="http://schemas.openxmlformats.org/officeDocument/2006/relationships/hyperlink" Target="https://orcid.org/0000-0002-9278-389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5.v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6.v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hyperlink" Target="http://www.rtings.com/info/lcd-vs-led-vs-plasma/power-consumption-and-electricity-cost" TargetMode="External"/><Relationship Id="rId7" Type="http://schemas.openxmlformats.org/officeDocument/2006/relationships/comments" Target="../comments7.xml"/><Relationship Id="rId2" Type="http://schemas.openxmlformats.org/officeDocument/2006/relationships/hyperlink" Target="http://www.bosch-home.be/fr/produits/laver-et-secher/lave-linge/WAY32541FG.html?source=browse" TargetMode="External"/><Relationship Id="rId1" Type="http://schemas.openxmlformats.org/officeDocument/2006/relationships/hyperlink" Target="http://www.bosch-home.be/fr/produits/refrigerer-et-surgeler/refrigerateurs-surgelateurs/KIS86AD40.html?source=browse" TargetMode="External"/><Relationship Id="rId6" Type="http://schemas.openxmlformats.org/officeDocument/2006/relationships/table" Target="../tables/table5.xml"/><Relationship Id="rId5" Type="http://schemas.openxmlformats.org/officeDocument/2006/relationships/vmlDrawing" Target="../drawings/vmlDrawing7.vml"/><Relationship Id="rId4"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reg.energyrating.gov.au/comparator/product_types/64/search/" TargetMode="External"/><Relationship Id="rId1" Type="http://schemas.openxmlformats.org/officeDocument/2006/relationships/hyperlink" Target="http://www.topten.eu/english/building_components/air_conditioners/monosplit-3kw.html" TargetMode="External"/><Relationship Id="rId4" Type="http://schemas.openxmlformats.org/officeDocument/2006/relationships/table" Target="../tables/table6.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holesalesolar.com/battery_sizing.html" TargetMode="External"/><Relationship Id="rId1" Type="http://schemas.openxmlformats.org/officeDocument/2006/relationships/hyperlink" Target="http://www.aussiebatteries.com.au/batteries/tubular-gel/270ah-2v-tubular-gel-battery" TargetMode="External"/><Relationship Id="rId6" Type="http://schemas.openxmlformats.org/officeDocument/2006/relationships/comments" Target="../comments8.xml"/><Relationship Id="rId5" Type="http://schemas.openxmlformats.org/officeDocument/2006/relationships/table" Target="../tables/table8.xml"/><Relationship Id="rId4"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9.v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0.v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1.v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2.v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table" Target="../tables/table16.xml"/><Relationship Id="rId1" Type="http://schemas.openxmlformats.org/officeDocument/2006/relationships/vmlDrawing" Target="../drawings/vmlDrawing13.v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64796-F721-4D34-9ED5-942D6D4BA168}">
  <sheetPr>
    <tabColor theme="3"/>
  </sheetPr>
  <dimension ref="A1:C21"/>
  <sheetViews>
    <sheetView tabSelected="1" workbookViewId="0">
      <selection activeCell="D18" sqref="D18"/>
    </sheetView>
  </sheetViews>
  <sheetFormatPr defaultColWidth="8.85546875" defaultRowHeight="15" x14ac:dyDescent="0.25"/>
  <cols>
    <col min="1" max="16384" width="8.85546875" style="171"/>
  </cols>
  <sheetData>
    <row r="1" spans="1:3" x14ac:dyDescent="0.25">
      <c r="A1" s="169" t="s">
        <v>943</v>
      </c>
    </row>
    <row r="2" spans="1:3" x14ac:dyDescent="0.25">
      <c r="A2" s="170" t="s">
        <v>953</v>
      </c>
    </row>
    <row r="3" spans="1:3" x14ac:dyDescent="0.25">
      <c r="A3" s="172" t="s">
        <v>954</v>
      </c>
    </row>
    <row r="4" spans="1:3" x14ac:dyDescent="0.25">
      <c r="A4" s="171" t="s">
        <v>944</v>
      </c>
    </row>
    <row r="6" spans="1:3" x14ac:dyDescent="0.25">
      <c r="A6" s="169" t="s">
        <v>945</v>
      </c>
    </row>
    <row r="7" spans="1:3" x14ac:dyDescent="0.25">
      <c r="A7" s="171" t="s">
        <v>946</v>
      </c>
    </row>
    <row r="9" spans="1:3" x14ac:dyDescent="0.25">
      <c r="A9" s="169" t="s">
        <v>947</v>
      </c>
    </row>
    <row r="10" spans="1:3" x14ac:dyDescent="0.25">
      <c r="A10" s="171" t="s">
        <v>950</v>
      </c>
      <c r="C10" s="174" t="s">
        <v>956</v>
      </c>
    </row>
    <row r="11" spans="1:3" x14ac:dyDescent="0.25">
      <c r="A11" s="171" t="s">
        <v>951</v>
      </c>
      <c r="C11" s="175" t="s">
        <v>955</v>
      </c>
    </row>
    <row r="13" spans="1:3" x14ac:dyDescent="0.25">
      <c r="A13" s="169" t="s">
        <v>948</v>
      </c>
    </row>
    <row r="14" spans="1:3" x14ac:dyDescent="0.25">
      <c r="A14" s="171" t="s">
        <v>952</v>
      </c>
    </row>
    <row r="16" spans="1:3" x14ac:dyDescent="0.25">
      <c r="A16" s="169" t="s">
        <v>949</v>
      </c>
    </row>
    <row r="17" spans="1:1" x14ac:dyDescent="0.25">
      <c r="A17" s="1" t="s">
        <v>959</v>
      </c>
    </row>
    <row r="20" spans="1:1" x14ac:dyDescent="0.25">
      <c r="A20" s="173"/>
    </row>
    <row r="21" spans="1:1" x14ac:dyDescent="0.25">
      <c r="A21" s="173"/>
    </row>
  </sheetData>
  <hyperlinks>
    <hyperlink ref="C11" r:id="rId1" xr:uid="{76484B96-E717-4019-8695-C0F688B79F9D}"/>
    <hyperlink ref="C10" r:id="rId2" xr:uid="{4F7705BD-505A-41C3-AA8C-8B94C37DFBCA}"/>
    <hyperlink ref="A17" r:id="rId3" tooltip="Persistent link using digital object identifier" xr:uid="{D4750DF7-C392-4E57-9379-9B637F768D9B}"/>
  </hyperlinks>
  <pageMargins left="0.7" right="0.7" top="0.75" bottom="0.75" header="0.3" footer="0.3"/>
  <pageSetup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BB176"/>
  <sheetViews>
    <sheetView zoomScale="89" zoomScaleNormal="89" workbookViewId="0">
      <selection activeCell="C13" sqref="C13"/>
    </sheetView>
  </sheetViews>
  <sheetFormatPr defaultRowHeight="15" x14ac:dyDescent="0.25"/>
  <cols>
    <col min="1" max="1" width="25.42578125" style="61" customWidth="1"/>
    <col min="2" max="2" width="41.42578125" bestFit="1" customWidth="1"/>
    <col min="3" max="3" width="14.28515625" style="127" bestFit="1" customWidth="1"/>
    <col min="4" max="54" width="8.7109375" customWidth="1"/>
  </cols>
  <sheetData>
    <row r="1" spans="1:54" x14ac:dyDescent="0.25">
      <c r="A1" t="s">
        <v>15</v>
      </c>
      <c r="C1" s="70">
        <v>4.3999999999999997E-2</v>
      </c>
      <c r="D1" s="71"/>
      <c r="E1" s="71"/>
      <c r="F1" s="166" t="s">
        <v>877</v>
      </c>
      <c r="G1" s="166" t="s">
        <v>878</v>
      </c>
    </row>
    <row r="2" spans="1:54" x14ac:dyDescent="0.25">
      <c r="A2" t="s">
        <v>354</v>
      </c>
      <c r="C2" s="70">
        <v>0.15</v>
      </c>
      <c r="E2" s="71"/>
      <c r="F2" t="s">
        <v>871</v>
      </c>
      <c r="G2" t="s">
        <v>872</v>
      </c>
    </row>
    <row r="3" spans="1:54" x14ac:dyDescent="0.25">
      <c r="A3" t="s">
        <v>376</v>
      </c>
      <c r="C3" s="70">
        <v>4.3999999999999997E-2</v>
      </c>
      <c r="E3" s="71"/>
      <c r="F3" t="s">
        <v>873</v>
      </c>
      <c r="G3" t="s">
        <v>874</v>
      </c>
    </row>
    <row r="4" spans="1:54" x14ac:dyDescent="0.25">
      <c r="A4"/>
      <c r="C4" s="70"/>
      <c r="E4" s="71"/>
      <c r="F4" t="s">
        <v>875</v>
      </c>
      <c r="G4" t="s">
        <v>876</v>
      </c>
    </row>
    <row r="5" spans="1:54" x14ac:dyDescent="0.25">
      <c r="A5" s="44" t="s">
        <v>555</v>
      </c>
      <c r="C5" s="70"/>
      <c r="E5" s="71"/>
    </row>
    <row r="6" spans="1:54" x14ac:dyDescent="0.25">
      <c r="A6" s="61" t="s">
        <v>248</v>
      </c>
      <c r="B6" t="s">
        <v>355</v>
      </c>
      <c r="D6">
        <v>0</v>
      </c>
      <c r="E6">
        <v>1</v>
      </c>
      <c r="F6">
        <v>2</v>
      </c>
      <c r="G6">
        <v>3</v>
      </c>
      <c r="H6">
        <v>4</v>
      </c>
      <c r="I6">
        <v>5</v>
      </c>
      <c r="J6">
        <v>6</v>
      </c>
      <c r="K6">
        <v>7</v>
      </c>
      <c r="L6">
        <v>8</v>
      </c>
      <c r="M6">
        <v>9</v>
      </c>
      <c r="N6">
        <v>10</v>
      </c>
      <c r="O6">
        <v>11</v>
      </c>
      <c r="P6">
        <v>12</v>
      </c>
      <c r="Q6">
        <v>13</v>
      </c>
      <c r="R6">
        <v>14</v>
      </c>
      <c r="S6">
        <v>15</v>
      </c>
      <c r="T6">
        <v>16</v>
      </c>
      <c r="U6">
        <v>17</v>
      </c>
      <c r="V6">
        <v>18</v>
      </c>
      <c r="W6">
        <v>19</v>
      </c>
      <c r="X6">
        <v>20</v>
      </c>
      <c r="Y6">
        <v>21</v>
      </c>
      <c r="Z6">
        <v>22</v>
      </c>
      <c r="AA6">
        <v>23</v>
      </c>
      <c r="AB6">
        <v>24</v>
      </c>
      <c r="AC6">
        <v>25</v>
      </c>
      <c r="AD6">
        <v>26</v>
      </c>
      <c r="AE6">
        <v>27</v>
      </c>
      <c r="AF6">
        <v>28</v>
      </c>
      <c r="AG6">
        <v>29</v>
      </c>
      <c r="AH6">
        <v>30</v>
      </c>
      <c r="AI6">
        <v>31</v>
      </c>
      <c r="AJ6">
        <v>32</v>
      </c>
      <c r="AK6">
        <v>33</v>
      </c>
      <c r="AL6">
        <v>34</v>
      </c>
      <c r="AM6">
        <v>35</v>
      </c>
      <c r="AN6">
        <v>36</v>
      </c>
      <c r="AO6">
        <v>37</v>
      </c>
      <c r="AP6">
        <v>38</v>
      </c>
      <c r="AQ6">
        <v>39</v>
      </c>
      <c r="AR6">
        <v>40</v>
      </c>
      <c r="AS6">
        <v>41</v>
      </c>
      <c r="AT6">
        <v>42</v>
      </c>
      <c r="AU6">
        <v>43</v>
      </c>
      <c r="AV6">
        <v>44</v>
      </c>
      <c r="AW6">
        <v>45</v>
      </c>
      <c r="AX6">
        <v>46</v>
      </c>
      <c r="AY6">
        <v>47</v>
      </c>
      <c r="AZ6">
        <v>48</v>
      </c>
      <c r="BA6">
        <v>49</v>
      </c>
      <c r="BB6">
        <v>50</v>
      </c>
    </row>
    <row r="7" spans="1:54" s="76" customFormat="1" x14ac:dyDescent="0.25">
      <c r="A7" s="180" t="s">
        <v>35</v>
      </c>
      <c r="B7" s="76" t="s">
        <v>363</v>
      </c>
      <c r="C7" s="77" t="s">
        <v>362</v>
      </c>
      <c r="D7" s="76">
        <f>-SOLAR_COLL!$B$25</f>
        <v>-2050</v>
      </c>
      <c r="E7" s="76">
        <v>0</v>
      </c>
      <c r="F7" s="76">
        <v>0</v>
      </c>
      <c r="G7" s="76">
        <v>0</v>
      </c>
      <c r="H7" s="76">
        <v>0</v>
      </c>
      <c r="I7" s="76">
        <v>0</v>
      </c>
      <c r="J7" s="76">
        <v>0</v>
      </c>
      <c r="K7" s="76">
        <v>0</v>
      </c>
      <c r="L7" s="76">
        <v>0</v>
      </c>
      <c r="M7" s="76">
        <v>0</v>
      </c>
      <c r="N7" s="76">
        <v>0</v>
      </c>
      <c r="O7" s="76">
        <v>0</v>
      </c>
      <c r="P7" s="76">
        <v>0</v>
      </c>
      <c r="Q7" s="76">
        <v>0</v>
      </c>
      <c r="R7" s="76">
        <v>0</v>
      </c>
      <c r="S7" s="76">
        <v>0</v>
      </c>
      <c r="T7" s="76">
        <v>0</v>
      </c>
      <c r="U7" s="76">
        <v>0</v>
      </c>
      <c r="V7" s="76">
        <v>0</v>
      </c>
      <c r="W7" s="76">
        <v>0</v>
      </c>
      <c r="X7" s="76">
        <v>0</v>
      </c>
      <c r="Y7" s="76">
        <v>0</v>
      </c>
      <c r="Z7" s="76">
        <v>0</v>
      </c>
      <c r="AA7" s="76">
        <v>0</v>
      </c>
      <c r="AB7" s="76">
        <v>0</v>
      </c>
      <c r="AC7" s="76">
        <f>-SOLAR_COLL!$B$36*(1+$C$1)^AC6</f>
        <v>-5428.5544096485019</v>
      </c>
      <c r="AD7" s="76">
        <v>0</v>
      </c>
      <c r="AE7" s="76">
        <v>0</v>
      </c>
      <c r="AF7" s="76">
        <v>0</v>
      </c>
      <c r="AG7" s="76">
        <v>0</v>
      </c>
      <c r="AH7" s="76">
        <v>0</v>
      </c>
      <c r="AI7" s="76">
        <v>0</v>
      </c>
      <c r="AJ7" s="76">
        <v>0</v>
      </c>
      <c r="AK7" s="76">
        <v>0</v>
      </c>
      <c r="AL7" s="76">
        <v>0</v>
      </c>
      <c r="AM7" s="76">
        <v>0</v>
      </c>
      <c r="AN7" s="76">
        <v>0</v>
      </c>
      <c r="AO7" s="76">
        <v>0</v>
      </c>
      <c r="AP7" s="76">
        <v>0</v>
      </c>
      <c r="AQ7" s="76">
        <v>0</v>
      </c>
      <c r="AR7" s="76">
        <v>0</v>
      </c>
      <c r="AS7" s="76">
        <v>0</v>
      </c>
      <c r="AT7" s="76">
        <v>0</v>
      </c>
      <c r="AU7" s="76">
        <v>0</v>
      </c>
      <c r="AV7" s="76">
        <v>0</v>
      </c>
      <c r="AW7" s="76">
        <v>0</v>
      </c>
      <c r="AX7" s="76">
        <v>0</v>
      </c>
      <c r="AY7" s="76">
        <v>0</v>
      </c>
      <c r="AZ7" s="76">
        <v>0</v>
      </c>
      <c r="BA7" s="76">
        <v>0</v>
      </c>
      <c r="BB7" s="76">
        <v>0</v>
      </c>
    </row>
    <row r="8" spans="1:54" s="76" customFormat="1" x14ac:dyDescent="0.25">
      <c r="A8" s="180"/>
      <c r="B8" s="76" t="s">
        <v>356</v>
      </c>
      <c r="C8" s="77" t="s">
        <v>362</v>
      </c>
      <c r="D8" s="76">
        <v>0</v>
      </c>
      <c r="E8" s="78">
        <f>ABS('Annual Calculations'!$Q$6)*(1+$C$3)^E$176</f>
        <v>256.28325965248592</v>
      </c>
      <c r="F8" s="78">
        <f>ABS('Annual Calculations'!$Q$6)*(1+$C$3)^F$176</f>
        <v>267.55972307719531</v>
      </c>
      <c r="G8" s="78">
        <f>ABS('Annual Calculations'!$Q$6)*(1+$C$3)^G$176</f>
        <v>279.33235089259193</v>
      </c>
      <c r="H8" s="78">
        <f>ABS('Annual Calculations'!$Q$6)*(1+$C$3)^H$176</f>
        <v>291.62297433186592</v>
      </c>
      <c r="I8" s="78">
        <f>ABS('Annual Calculations'!$Q$6)*(1+$C$3)^I$176</f>
        <v>304.45438520246802</v>
      </c>
      <c r="J8" s="78">
        <f>ABS('Annual Calculations'!$Q$6)*(1+$C$3)^J$176</f>
        <v>317.85037815137667</v>
      </c>
      <c r="K8" s="78">
        <f>ABS('Annual Calculations'!$Q$6)*(1+$C$3)^K$176</f>
        <v>331.83579479003726</v>
      </c>
      <c r="L8" s="78">
        <f>ABS('Annual Calculations'!$Q$6)*(1+$C$3)^L$176</f>
        <v>346.43656976079887</v>
      </c>
      <c r="M8" s="78">
        <f>ABS('Annual Calculations'!$Q$6)*(1+$C$3)^M$176</f>
        <v>361.67977883027407</v>
      </c>
      <c r="N8" s="78">
        <f>ABS('Annual Calculations'!$Q$6)*(1+$C$3)^N$176</f>
        <v>377.59368909880612</v>
      </c>
      <c r="O8" s="78">
        <f>ABS('Annual Calculations'!$Q$6)*(1+$C$3)^O$176</f>
        <v>394.20781141915364</v>
      </c>
      <c r="P8" s="78">
        <f>ABS('Annual Calculations'!$Q$6)*(1+$C$3)^P$176</f>
        <v>411.55295512159637</v>
      </c>
      <c r="Q8" s="78">
        <f>ABS('Annual Calculations'!$Q$6)*(1+$C$3)^Q$176</f>
        <v>429.66128514694657</v>
      </c>
      <c r="R8" s="78">
        <f>ABS('Annual Calculations'!$Q$6)*(1+$C$3)^R$176</f>
        <v>448.56638169341227</v>
      </c>
      <c r="S8" s="78">
        <f>ABS('Annual Calculations'!$Q$6)*(1+$C$3)^S$176</f>
        <v>468.30330248792245</v>
      </c>
      <c r="T8" s="78">
        <f>ABS('Annual Calculations'!$Q$6)*(1+$C$3)^T$176</f>
        <v>488.90864779739098</v>
      </c>
      <c r="U8" s="78">
        <f>ABS('Annual Calculations'!$Q$6)*(1+$C$3)^U$176</f>
        <v>510.42062830047615</v>
      </c>
      <c r="V8" s="78">
        <f>ABS('Annual Calculations'!$Q$6)*(1+$C$3)^V$176</f>
        <v>532.87913594569716</v>
      </c>
      <c r="W8" s="78">
        <f>ABS('Annual Calculations'!$Q$6)*(1+$C$3)^W$176</f>
        <v>556.32581792730787</v>
      </c>
      <c r="X8" s="78">
        <f>ABS('Annual Calculations'!$Q$6)*(1+$C$3)^X$176</f>
        <v>580.8041539161095</v>
      </c>
      <c r="Y8" s="78">
        <f>ABS('Annual Calculations'!$Q$6)*(1+$C$3)^Y$176</f>
        <v>606.35953668841819</v>
      </c>
      <c r="Z8" s="78">
        <f>ABS('Annual Calculations'!$Q$6)*(1+$C$3)^Z$176</f>
        <v>633.03935630270871</v>
      </c>
      <c r="AA8" s="78">
        <f>ABS('Annual Calculations'!$Q$6)*(1+$C$3)^AA$176</f>
        <v>660.89308798002787</v>
      </c>
      <c r="AB8" s="78">
        <f>ABS('Annual Calculations'!$Q$6)*(1+$C$3)^AB$176</f>
        <v>689.97238385114917</v>
      </c>
      <c r="AC8" s="78">
        <f>ABS('Annual Calculations'!$Q$6)*(1+$C$3)^AC$176</f>
        <v>720.33116874059976</v>
      </c>
      <c r="AD8" s="78">
        <f>ABS('Annual Calculations'!$Q$6)*(1+$C$3)^AD$176</f>
        <v>752.02574016518611</v>
      </c>
      <c r="AE8" s="78">
        <f>ABS('Annual Calculations'!$Q$6)*(1+$C$3)^AE$176</f>
        <v>785.11487273245439</v>
      </c>
      <c r="AF8" s="78">
        <f>ABS('Annual Calculations'!$Q$6)*(1+$C$3)^AF$176</f>
        <v>819.65992713268224</v>
      </c>
      <c r="AG8" s="78">
        <f>ABS('Annual Calculations'!$Q$6)*(1+$C$3)^AG$176</f>
        <v>855.72496392652022</v>
      </c>
      <c r="AH8" s="78">
        <f>ABS('Annual Calculations'!$Q$6)*(1+$C$3)^AH$176</f>
        <v>893.37686233928719</v>
      </c>
      <c r="AI8" s="78">
        <f>ABS('Annual Calculations'!$Q$6)*(1+$C$3)^AI$176</f>
        <v>932.68544428221605</v>
      </c>
      <c r="AJ8" s="78">
        <f>ABS('Annual Calculations'!$Q$6)*(1+$C$3)^AJ$176</f>
        <v>973.72360383063335</v>
      </c>
      <c r="AK8" s="78">
        <f>ABS('Annual Calculations'!$Q$6)*(1+$C$3)^AK$176</f>
        <v>1016.5674423991813</v>
      </c>
      <c r="AL8" s="78">
        <f>ABS('Annual Calculations'!$Q$6)*(1+$C$3)^AL$176</f>
        <v>1061.2964098647453</v>
      </c>
      <c r="AM8" s="78">
        <f>ABS('Annual Calculations'!$Q$6)*(1+$C$3)^AM$176</f>
        <v>1107.9934518987941</v>
      </c>
      <c r="AN8" s="78">
        <f>ABS('Annual Calculations'!$Q$6)*(1+$C$3)^AN$176</f>
        <v>1156.7451637823413</v>
      </c>
      <c r="AO8" s="78">
        <f>ABS('Annual Calculations'!$Q$6)*(1+$C$3)^AO$176</f>
        <v>1207.6419509887642</v>
      </c>
      <c r="AP8" s="78">
        <f>ABS('Annual Calculations'!$Q$6)*(1+$C$3)^AP$176</f>
        <v>1260.7781968322697</v>
      </c>
      <c r="AQ8" s="78">
        <f>ABS('Annual Calculations'!$Q$6)*(1+$C$3)^AQ$176</f>
        <v>1316.2524374928898</v>
      </c>
      <c r="AR8" s="78">
        <f>ABS('Annual Calculations'!$Q$6)*(1+$C$3)^AR$176</f>
        <v>1374.1675447425769</v>
      </c>
      <c r="AS8" s="78">
        <f>ABS('Annual Calculations'!$Q$6)*(1+$C$3)^AS$176</f>
        <v>1434.6309167112504</v>
      </c>
      <c r="AT8" s="78">
        <f>ABS('Annual Calculations'!$Q$6)*(1+$C$3)^AT$176</f>
        <v>1497.7546770465453</v>
      </c>
      <c r="AU8" s="78">
        <f>ABS('Annual Calculations'!$Q$6)*(1+$C$3)^AU$176</f>
        <v>1563.6558828365935</v>
      </c>
      <c r="AV8" s="78">
        <f>ABS('Annual Calculations'!$Q$6)*(1+$C$3)^AV$176</f>
        <v>1632.4567416814036</v>
      </c>
      <c r="AW8" s="78">
        <f>ABS('Annual Calculations'!$Q$6)*(1+$C$3)^AW$176</f>
        <v>1704.2848383153853</v>
      </c>
      <c r="AX8" s="78">
        <f>ABS('Annual Calculations'!$Q$6)*(1+$C$3)^AX$176</f>
        <v>1779.2733712012623</v>
      </c>
      <c r="AY8" s="78">
        <f>ABS('Annual Calculations'!$Q$6)*(1+$C$3)^AY$176</f>
        <v>1857.561399534118</v>
      </c>
      <c r="AZ8" s="78">
        <f>ABS('Annual Calculations'!$Q$6)*(1+$C$3)^AZ$176</f>
        <v>1939.294101113619</v>
      </c>
      <c r="BA8" s="78">
        <f>ABS('Annual Calculations'!$Q$6)*(1+$C$3)^BA$176</f>
        <v>2024.6230415626183</v>
      </c>
      <c r="BB8" s="78">
        <f>ABS('Annual Calculations'!$Q$6)*(1+$C$3)^BB$176</f>
        <v>2113.7064553913738</v>
      </c>
    </row>
    <row r="9" spans="1:54" s="76" customFormat="1" x14ac:dyDescent="0.25">
      <c r="A9" s="180"/>
      <c r="B9" s="76" t="s">
        <v>357</v>
      </c>
      <c r="C9" s="77" t="s">
        <v>362</v>
      </c>
      <c r="D9" s="76">
        <v>0</v>
      </c>
      <c r="E9" s="78">
        <f>ABS('Annual Calculations'!$L$29)*(1+$C$3)^E$176</f>
        <v>50.073917522222374</v>
      </c>
      <c r="F9" s="78">
        <f>ABS('Annual Calculations'!$L$29)*(1+$C$3)^F$176</f>
        <v>52.277169893200153</v>
      </c>
      <c r="G9" s="78">
        <f>ABS('Annual Calculations'!$L$29)*(1+$C$3)^G$176</f>
        <v>54.577365368500971</v>
      </c>
      <c r="H9" s="78">
        <f>ABS('Annual Calculations'!$L$29)*(1+$C$3)^H$176</f>
        <v>56.978769444715006</v>
      </c>
      <c r="I9" s="78">
        <f>ABS('Annual Calculations'!$L$29)*(1+$C$3)^I$176</f>
        <v>59.485835300282467</v>
      </c>
      <c r="J9" s="78">
        <f>ABS('Annual Calculations'!$L$29)*(1+$C$3)^J$176</f>
        <v>62.1032120534949</v>
      </c>
      <c r="K9" s="78">
        <f>ABS('Annual Calculations'!$L$29)*(1+$C$3)^K$176</f>
        <v>64.835753383848683</v>
      </c>
      <c r="L9" s="78">
        <f>ABS('Annual Calculations'!$L$29)*(1+$C$3)^L$176</f>
        <v>67.688526532738024</v>
      </c>
      <c r="M9" s="78">
        <f>ABS('Annual Calculations'!$L$29)*(1+$C$3)^M$176</f>
        <v>70.666821700178502</v>
      </c>
      <c r="N9" s="78">
        <f>ABS('Annual Calculations'!$L$29)*(1+$C$3)^N$176</f>
        <v>73.776161854986356</v>
      </c>
      <c r="O9" s="78">
        <f>ABS('Annual Calculations'!$L$29)*(1+$C$3)^O$176</f>
        <v>77.022312976605761</v>
      </c>
      <c r="P9" s="78">
        <f>ABS('Annual Calculations'!$L$29)*(1+$C$3)^P$176</f>
        <v>80.411294747576406</v>
      </c>
      <c r="Q9" s="78">
        <f>ABS('Annual Calculations'!$L$29)*(1+$C$3)^Q$176</f>
        <v>83.949391716469762</v>
      </c>
      <c r="R9" s="78">
        <f>ABS('Annual Calculations'!$L$29)*(1+$C$3)^R$176</f>
        <v>87.643164951994436</v>
      </c>
      <c r="S9" s="78">
        <f>ABS('Annual Calculations'!$L$29)*(1+$C$3)^S$176</f>
        <v>91.499464209882206</v>
      </c>
      <c r="T9" s="78">
        <f>ABS('Annual Calculations'!$L$29)*(1+$C$3)^T$176</f>
        <v>95.525440635117022</v>
      </c>
      <c r="U9" s="78">
        <f>ABS('Annual Calculations'!$L$29)*(1+$C$3)^U$176</f>
        <v>99.728560023062158</v>
      </c>
      <c r="V9" s="78">
        <f>ABS('Annual Calculations'!$L$29)*(1+$C$3)^V$176</f>
        <v>104.11661666407691</v>
      </c>
      <c r="W9" s="78">
        <f>ABS('Annual Calculations'!$L$29)*(1+$C$3)^W$176</f>
        <v>108.6977477972963</v>
      </c>
      <c r="X9" s="78">
        <f>ABS('Annual Calculations'!$L$29)*(1+$C$3)^X$176</f>
        <v>113.48044870037734</v>
      </c>
      <c r="Y9" s="78">
        <f>ABS('Annual Calculations'!$L$29)*(1+$C$3)^Y$176</f>
        <v>118.47358844319392</v>
      </c>
      <c r="Z9" s="78">
        <f>ABS('Annual Calculations'!$L$29)*(1+$C$3)^Z$176</f>
        <v>123.68642633469447</v>
      </c>
      <c r="AA9" s="78">
        <f>ABS('Annual Calculations'!$L$29)*(1+$C$3)^AA$176</f>
        <v>129.12862909342104</v>
      </c>
      <c r="AB9" s="78">
        <f>ABS('Annual Calculations'!$L$29)*(1+$C$3)^AB$176</f>
        <v>134.81028877353157</v>
      </c>
      <c r="AC9" s="78">
        <f>ABS('Annual Calculations'!$L$29)*(1+$C$3)^AC$176</f>
        <v>140.74194147956695</v>
      </c>
      <c r="AD9" s="78">
        <f>ABS('Annual Calculations'!$L$29)*(1+$C$3)^AD$176</f>
        <v>146.9345869046679</v>
      </c>
      <c r="AE9" s="78">
        <f>ABS('Annual Calculations'!$L$29)*(1+$C$3)^AE$176</f>
        <v>153.39970872847331</v>
      </c>
      <c r="AF9" s="78">
        <f>ABS('Annual Calculations'!$L$29)*(1+$C$3)^AF$176</f>
        <v>160.14929591252613</v>
      </c>
      <c r="AG9" s="78">
        <f>ABS('Annual Calculations'!$L$29)*(1+$C$3)^AG$176</f>
        <v>167.19586493267724</v>
      </c>
      <c r="AH9" s="78">
        <f>ABS('Annual Calculations'!$L$29)*(1+$C$3)^AH$176</f>
        <v>174.55248298971506</v>
      </c>
      <c r="AI9" s="78">
        <f>ABS('Annual Calculations'!$L$29)*(1+$C$3)^AI$176</f>
        <v>182.23279224126256</v>
      </c>
      <c r="AJ9" s="78">
        <f>ABS('Annual Calculations'!$L$29)*(1+$C$3)^AJ$176</f>
        <v>190.2510350998781</v>
      </c>
      <c r="AK9" s="78">
        <f>ABS('Annual Calculations'!$L$29)*(1+$C$3)^AK$176</f>
        <v>198.62208064427276</v>
      </c>
      <c r="AL9" s="78">
        <f>ABS('Annual Calculations'!$L$29)*(1+$C$3)^AL$176</f>
        <v>207.36145219262073</v>
      </c>
      <c r="AM9" s="78">
        <f>ABS('Annual Calculations'!$L$29)*(1+$C$3)^AM$176</f>
        <v>216.48535608909606</v>
      </c>
      <c r="AN9" s="78">
        <f>ABS('Annual Calculations'!$L$29)*(1+$C$3)^AN$176</f>
        <v>226.01071175701631</v>
      </c>
      <c r="AO9" s="78">
        <f>ABS('Annual Calculations'!$L$29)*(1+$C$3)^AO$176</f>
        <v>235.95518307432499</v>
      </c>
      <c r="AP9" s="78">
        <f>ABS('Annual Calculations'!$L$29)*(1+$C$3)^AP$176</f>
        <v>246.33721112959532</v>
      </c>
      <c r="AQ9" s="78">
        <f>ABS('Annual Calculations'!$L$29)*(1+$C$3)^AQ$176</f>
        <v>257.17604841929756</v>
      </c>
      <c r="AR9" s="78">
        <f>ABS('Annual Calculations'!$L$29)*(1+$C$3)^AR$176</f>
        <v>268.4917945497466</v>
      </c>
      <c r="AS9" s="78">
        <f>ABS('Annual Calculations'!$L$29)*(1+$C$3)^AS$176</f>
        <v>280.30543350993548</v>
      </c>
      <c r="AT9" s="78">
        <f>ABS('Annual Calculations'!$L$29)*(1+$C$3)^AT$176</f>
        <v>292.63887258437268</v>
      </c>
      <c r="AU9" s="78">
        <f>ABS('Annual Calculations'!$L$29)*(1+$C$3)^AU$176</f>
        <v>305.51498297808507</v>
      </c>
      <c r="AV9" s="78">
        <f>ABS('Annual Calculations'!$L$29)*(1+$C$3)^AV$176</f>
        <v>318.95764222912084</v>
      </c>
      <c r="AW9" s="78">
        <f>ABS('Annual Calculations'!$L$29)*(1+$C$3)^AW$176</f>
        <v>332.99177848720211</v>
      </c>
      <c r="AX9" s="78">
        <f>ABS('Annual Calculations'!$L$29)*(1+$C$3)^AX$176</f>
        <v>347.643416740639</v>
      </c>
      <c r="AY9" s="78">
        <f>ABS('Annual Calculations'!$L$29)*(1+$C$3)^AY$176</f>
        <v>362.93972707722719</v>
      </c>
      <c r="AZ9" s="78">
        <f>ABS('Annual Calculations'!$L$29)*(1+$C$3)^AZ$176</f>
        <v>378.90907506862516</v>
      </c>
      <c r="BA9" s="78">
        <f>ABS('Annual Calculations'!$L$29)*(1+$C$3)^BA$176</f>
        <v>395.58107437164466</v>
      </c>
      <c r="BB9" s="78">
        <f>ABS('Annual Calculations'!$L$29)*(1+$C$3)^BB$176</f>
        <v>412.98664164399707</v>
      </c>
    </row>
    <row r="10" spans="1:54" s="76" customFormat="1" x14ac:dyDescent="0.25">
      <c r="A10" s="180"/>
      <c r="B10" s="76" t="s">
        <v>358</v>
      </c>
      <c r="C10" s="77" t="s">
        <v>362</v>
      </c>
      <c r="D10" s="76">
        <f>SUM(D7:D9)</f>
        <v>-2050</v>
      </c>
      <c r="E10" s="78">
        <f t="shared" ref="E10:BB10" si="0">SUM(E7:E9)</f>
        <v>306.35717717470828</v>
      </c>
      <c r="F10" s="78">
        <f t="shared" si="0"/>
        <v>319.83689297039547</v>
      </c>
      <c r="G10" s="78">
        <f t="shared" si="0"/>
        <v>333.90971626109291</v>
      </c>
      <c r="H10" s="78">
        <f t="shared" si="0"/>
        <v>348.60174377658092</v>
      </c>
      <c r="I10" s="78">
        <f t="shared" si="0"/>
        <v>363.94022050275049</v>
      </c>
      <c r="J10" s="78">
        <f t="shared" si="0"/>
        <v>379.9535902048716</v>
      </c>
      <c r="K10" s="78">
        <f t="shared" si="0"/>
        <v>396.67154817388592</v>
      </c>
      <c r="L10" s="78">
        <f t="shared" si="0"/>
        <v>414.1250962935369</v>
      </c>
      <c r="M10" s="78">
        <f t="shared" si="0"/>
        <v>432.34660053045258</v>
      </c>
      <c r="N10" s="78">
        <f t="shared" si="0"/>
        <v>451.36985095379248</v>
      </c>
      <c r="O10" s="78">
        <f t="shared" si="0"/>
        <v>471.23012439575939</v>
      </c>
      <c r="P10" s="78">
        <f t="shared" si="0"/>
        <v>491.96424986917276</v>
      </c>
      <c r="Q10" s="78">
        <f t="shared" si="0"/>
        <v>513.6106768634163</v>
      </c>
      <c r="R10" s="78">
        <f t="shared" si="0"/>
        <v>536.2095466454067</v>
      </c>
      <c r="S10" s="78">
        <f t="shared" si="0"/>
        <v>559.8027666978046</v>
      </c>
      <c r="T10" s="78">
        <f t="shared" si="0"/>
        <v>584.43408843250802</v>
      </c>
      <c r="U10" s="78">
        <f t="shared" si="0"/>
        <v>610.14918832353828</v>
      </c>
      <c r="V10" s="78">
        <f t="shared" si="0"/>
        <v>636.99575260977406</v>
      </c>
      <c r="W10" s="78">
        <f t="shared" si="0"/>
        <v>665.02356572460417</v>
      </c>
      <c r="X10" s="78">
        <f t="shared" si="0"/>
        <v>694.28460261648684</v>
      </c>
      <c r="Y10" s="78">
        <f t="shared" si="0"/>
        <v>724.83312513161206</v>
      </c>
      <c r="Z10" s="78">
        <f t="shared" si="0"/>
        <v>756.7257826374032</v>
      </c>
      <c r="AA10" s="78">
        <f t="shared" si="0"/>
        <v>790.02171707344894</v>
      </c>
      <c r="AB10" s="78">
        <f t="shared" si="0"/>
        <v>824.7826726246808</v>
      </c>
      <c r="AC10" s="78">
        <f t="shared" si="0"/>
        <v>-4567.4812994283357</v>
      </c>
      <c r="AD10" s="78">
        <f t="shared" si="0"/>
        <v>898.96032706985397</v>
      </c>
      <c r="AE10" s="78">
        <f t="shared" si="0"/>
        <v>938.51458146092773</v>
      </c>
      <c r="AF10" s="78">
        <f t="shared" si="0"/>
        <v>979.80922304520834</v>
      </c>
      <c r="AG10" s="78">
        <f t="shared" si="0"/>
        <v>1022.9208288591974</v>
      </c>
      <c r="AH10" s="78">
        <f t="shared" si="0"/>
        <v>1067.9293453290022</v>
      </c>
      <c r="AI10" s="78">
        <f t="shared" si="0"/>
        <v>1114.9182365234785</v>
      </c>
      <c r="AJ10" s="78">
        <f t="shared" si="0"/>
        <v>1163.9746389305114</v>
      </c>
      <c r="AK10" s="78">
        <f t="shared" si="0"/>
        <v>1215.1895230434541</v>
      </c>
      <c r="AL10" s="78">
        <f t="shared" si="0"/>
        <v>1268.6578620573659</v>
      </c>
      <c r="AM10" s="78">
        <f t="shared" si="0"/>
        <v>1324.4788079878901</v>
      </c>
      <c r="AN10" s="78">
        <f t="shared" si="0"/>
        <v>1382.7558755393575</v>
      </c>
      <c r="AO10" s="78">
        <f t="shared" si="0"/>
        <v>1443.5971340630892</v>
      </c>
      <c r="AP10" s="78">
        <f t="shared" si="0"/>
        <v>1507.115407961865</v>
      </c>
      <c r="AQ10" s="78">
        <f t="shared" si="0"/>
        <v>1573.4284859121874</v>
      </c>
      <c r="AR10" s="78">
        <f t="shared" si="0"/>
        <v>1642.6593392923235</v>
      </c>
      <c r="AS10" s="78">
        <f t="shared" si="0"/>
        <v>1714.9363502211859</v>
      </c>
      <c r="AT10" s="78">
        <f t="shared" si="0"/>
        <v>1790.393549630918</v>
      </c>
      <c r="AU10" s="78">
        <f t="shared" si="0"/>
        <v>1869.1708658146786</v>
      </c>
      <c r="AV10" s="78">
        <f t="shared" si="0"/>
        <v>1951.4143839105245</v>
      </c>
      <c r="AW10" s="78">
        <f t="shared" si="0"/>
        <v>2037.2766168025873</v>
      </c>
      <c r="AX10" s="78">
        <f t="shared" si="0"/>
        <v>2126.9167879419015</v>
      </c>
      <c r="AY10" s="78">
        <f t="shared" si="0"/>
        <v>2220.5011266113452</v>
      </c>
      <c r="AZ10" s="78">
        <f t="shared" si="0"/>
        <v>2318.2031761822441</v>
      </c>
      <c r="BA10" s="78">
        <f t="shared" si="0"/>
        <v>2420.204115934263</v>
      </c>
      <c r="BB10" s="78">
        <f t="shared" si="0"/>
        <v>2526.693097035371</v>
      </c>
    </row>
    <row r="11" spans="1:54" s="76" customFormat="1" x14ac:dyDescent="0.25">
      <c r="A11" s="180"/>
      <c r="B11" s="76" t="s">
        <v>359</v>
      </c>
      <c r="C11" s="77"/>
      <c r="D11" s="76">
        <f t="shared" ref="D11:AI11" si="1">(1+$C$2)^D$176</f>
        <v>1</v>
      </c>
      <c r="E11" s="79">
        <f t="shared" si="1"/>
        <v>1.1499999999999999</v>
      </c>
      <c r="F11" s="79">
        <f t="shared" si="1"/>
        <v>1.3224999999999998</v>
      </c>
      <c r="G11" s="79">
        <f t="shared" si="1"/>
        <v>1.5208749999999995</v>
      </c>
      <c r="H11" s="79">
        <f t="shared" si="1"/>
        <v>1.7490062499999994</v>
      </c>
      <c r="I11" s="79">
        <f t="shared" si="1"/>
        <v>2.0113571874999994</v>
      </c>
      <c r="J11" s="79">
        <f t="shared" si="1"/>
        <v>2.3130607656249991</v>
      </c>
      <c r="K11" s="79">
        <f t="shared" si="1"/>
        <v>2.6600198804687483</v>
      </c>
      <c r="L11" s="79">
        <f t="shared" si="1"/>
        <v>3.0590228625390603</v>
      </c>
      <c r="M11" s="79">
        <f t="shared" si="1"/>
        <v>3.5178762919199191</v>
      </c>
      <c r="N11" s="79">
        <f t="shared" si="1"/>
        <v>4.0455577357079067</v>
      </c>
      <c r="O11" s="79">
        <f t="shared" si="1"/>
        <v>4.6523913960640924</v>
      </c>
      <c r="P11" s="79">
        <f t="shared" si="1"/>
        <v>5.3502501054737053</v>
      </c>
      <c r="Q11" s="79">
        <f t="shared" si="1"/>
        <v>6.1527876212947614</v>
      </c>
      <c r="R11" s="79">
        <f t="shared" si="1"/>
        <v>7.0757057644889754</v>
      </c>
      <c r="S11" s="79">
        <f t="shared" si="1"/>
        <v>8.1370616291623197</v>
      </c>
      <c r="T11" s="79">
        <f t="shared" si="1"/>
        <v>9.3576208735366659</v>
      </c>
      <c r="U11" s="79">
        <f t="shared" si="1"/>
        <v>10.761264004567165</v>
      </c>
      <c r="V11" s="79">
        <f t="shared" si="1"/>
        <v>12.375453605252238</v>
      </c>
      <c r="W11" s="79">
        <f t="shared" si="1"/>
        <v>14.231771646040073</v>
      </c>
      <c r="X11" s="79">
        <f t="shared" si="1"/>
        <v>16.366537392946082</v>
      </c>
      <c r="Y11" s="79">
        <f t="shared" si="1"/>
        <v>18.821518001887995</v>
      </c>
      <c r="Z11" s="79">
        <f t="shared" si="1"/>
        <v>21.644745702171193</v>
      </c>
      <c r="AA11" s="79">
        <f t="shared" si="1"/>
        <v>24.891457557496867</v>
      </c>
      <c r="AB11" s="79">
        <f t="shared" si="1"/>
        <v>28.625176191121394</v>
      </c>
      <c r="AC11" s="79">
        <f t="shared" si="1"/>
        <v>32.9189526197896</v>
      </c>
      <c r="AD11" s="79">
        <f t="shared" si="1"/>
        <v>37.85679551275804</v>
      </c>
      <c r="AE11" s="79">
        <f t="shared" si="1"/>
        <v>43.535314839671742</v>
      </c>
      <c r="AF11" s="79">
        <f t="shared" si="1"/>
        <v>50.065612065622496</v>
      </c>
      <c r="AG11" s="79">
        <f t="shared" si="1"/>
        <v>57.575453875465868</v>
      </c>
      <c r="AH11" s="79">
        <f t="shared" si="1"/>
        <v>66.211771956785753</v>
      </c>
      <c r="AI11" s="79">
        <f t="shared" si="1"/>
        <v>76.143537750303594</v>
      </c>
      <c r="AJ11" s="79">
        <f t="shared" ref="AJ11:BB11" si="2">(1+$C$2)^AJ$176</f>
        <v>87.565068412849115</v>
      </c>
      <c r="AK11" s="79">
        <f t="shared" si="2"/>
        <v>100.69982867477647</v>
      </c>
      <c r="AL11" s="79">
        <f t="shared" si="2"/>
        <v>115.80480297599294</v>
      </c>
      <c r="AM11" s="79">
        <f t="shared" si="2"/>
        <v>133.17552342239185</v>
      </c>
      <c r="AN11" s="79">
        <f t="shared" si="2"/>
        <v>153.15185193575064</v>
      </c>
      <c r="AO11" s="79">
        <f t="shared" si="2"/>
        <v>176.12462972611323</v>
      </c>
      <c r="AP11" s="79">
        <f t="shared" si="2"/>
        <v>202.5433241850302</v>
      </c>
      <c r="AQ11" s="79">
        <f t="shared" si="2"/>
        <v>232.92482281278467</v>
      </c>
      <c r="AR11" s="79">
        <f t="shared" si="2"/>
        <v>267.86354623470237</v>
      </c>
      <c r="AS11" s="79">
        <f t="shared" si="2"/>
        <v>308.04307816990769</v>
      </c>
      <c r="AT11" s="79">
        <f t="shared" si="2"/>
        <v>354.24953989539381</v>
      </c>
      <c r="AU11" s="79">
        <f t="shared" si="2"/>
        <v>407.38697087970286</v>
      </c>
      <c r="AV11" s="79">
        <f t="shared" si="2"/>
        <v>468.49501651165821</v>
      </c>
      <c r="AW11" s="79">
        <f t="shared" si="2"/>
        <v>538.76926898840691</v>
      </c>
      <c r="AX11" s="79">
        <f t="shared" si="2"/>
        <v>619.58465933666798</v>
      </c>
      <c r="AY11" s="79">
        <f t="shared" si="2"/>
        <v>712.52235823716796</v>
      </c>
      <c r="AZ11" s="79">
        <f t="shared" si="2"/>
        <v>819.40071197274301</v>
      </c>
      <c r="BA11" s="79">
        <f t="shared" si="2"/>
        <v>942.31081876865449</v>
      </c>
      <c r="BB11" s="79">
        <f t="shared" si="2"/>
        <v>1083.6574415839525</v>
      </c>
    </row>
    <row r="12" spans="1:54" s="76" customFormat="1" x14ac:dyDescent="0.25">
      <c r="A12" s="180"/>
      <c r="B12" s="76" t="s">
        <v>360</v>
      </c>
      <c r="C12" s="77" t="s">
        <v>362</v>
      </c>
      <c r="D12" s="76">
        <f>D10/D11</f>
        <v>-2050</v>
      </c>
      <c r="E12" s="78">
        <f>E10/E11</f>
        <v>266.39754536931156</v>
      </c>
      <c r="F12" s="78">
        <f>F10/F11</f>
        <v>241.84264118744463</v>
      </c>
      <c r="G12" s="78">
        <f t="shared" ref="G12:BB12" si="3">G10/G11</f>
        <v>219.55105860842806</v>
      </c>
      <c r="H12" s="78">
        <f t="shared" si="3"/>
        <v>199.31417842365116</v>
      </c>
      <c r="I12" s="78">
        <f t="shared" si="3"/>
        <v>180.94261067329722</v>
      </c>
      <c r="J12" s="78">
        <f t="shared" si="3"/>
        <v>164.26442221123685</v>
      </c>
      <c r="K12" s="78">
        <f t="shared" si="3"/>
        <v>149.12352764220114</v>
      </c>
      <c r="L12" s="78">
        <f t="shared" si="3"/>
        <v>135.37822857257217</v>
      </c>
      <c r="M12" s="78">
        <f t="shared" si="3"/>
        <v>122.89988750414379</v>
      </c>
      <c r="N12" s="78">
        <f t="shared" si="3"/>
        <v>111.57172396028359</v>
      </c>
      <c r="O12" s="78">
        <f t="shared" si="3"/>
        <v>101.28772157785747</v>
      </c>
      <c r="P12" s="78">
        <f t="shared" si="3"/>
        <v>91.951635936768</v>
      </c>
      <c r="Q12" s="78">
        <f t="shared" si="3"/>
        <v>83.476093841726765</v>
      </c>
      <c r="R12" s="78">
        <f t="shared" si="3"/>
        <v>75.781775626750232</v>
      </c>
      <c r="S12" s="78">
        <f t="shared" si="3"/>
        <v>68.796672829849783</v>
      </c>
      <c r="T12" s="78">
        <f t="shared" si="3"/>
        <v>62.455414290750603</v>
      </c>
      <c r="U12" s="78">
        <f t="shared" si="3"/>
        <v>56.698654364820541</v>
      </c>
      <c r="V12" s="78">
        <f t="shared" si="3"/>
        <v>51.472517527715361</v>
      </c>
      <c r="W12" s="78">
        <f t="shared" si="3"/>
        <v>46.728094172986822</v>
      </c>
      <c r="X12" s="78">
        <f t="shared" si="3"/>
        <v>42.420982883998477</v>
      </c>
      <c r="Y12" s="78">
        <f t="shared" si="3"/>
        <v>38.510874896429911</v>
      </c>
      <c r="Z12" s="78">
        <f t="shared" si="3"/>
        <v>34.961176862498121</v>
      </c>
      <c r="AA12" s="78">
        <f t="shared" si="3"/>
        <v>31.738668386476562</v>
      </c>
      <c r="AB12" s="78">
        <f t="shared" si="3"/>
        <v>28.813191126505686</v>
      </c>
      <c r="AC12" s="78">
        <f t="shared" si="3"/>
        <v>-138.74928987511416</v>
      </c>
      <c r="AD12" s="78">
        <f t="shared" si="3"/>
        <v>23.74633972299365</v>
      </c>
      <c r="AE12" s="78">
        <f t="shared" si="3"/>
        <v>21.557546670265545</v>
      </c>
      <c r="AF12" s="78">
        <f t="shared" si="3"/>
        <v>19.570503238049763</v>
      </c>
      <c r="AG12" s="78">
        <f t="shared" si="3"/>
        <v>17.766613374368653</v>
      </c>
      <c r="AH12" s="78">
        <f t="shared" si="3"/>
        <v>16.128995098122498</v>
      </c>
      <c r="AI12" s="78">
        <f t="shared" si="3"/>
        <v>14.642322506469476</v>
      </c>
      <c r="AJ12" s="78">
        <f t="shared" si="3"/>
        <v>13.292682345003595</v>
      </c>
      <c r="AK12" s="78">
        <f t="shared" si="3"/>
        <v>12.067443798420658</v>
      </c>
      <c r="AL12" s="78">
        <f t="shared" si="3"/>
        <v>10.955140283087971</v>
      </c>
      <c r="AM12" s="78">
        <f t="shared" si="3"/>
        <v>9.9453621352555182</v>
      </c>
      <c r="AN12" s="78">
        <f t="shared" si="3"/>
        <v>9.0286591906145741</v>
      </c>
      <c r="AO12" s="78">
        <f t="shared" si="3"/>
        <v>8.1964523434796668</v>
      </c>
      <c r="AP12" s="78">
        <f t="shared" si="3"/>
        <v>7.4409532579067577</v>
      </c>
      <c r="AQ12" s="78">
        <f t="shared" si="3"/>
        <v>6.7550914793518766</v>
      </c>
      <c r="AR12" s="78">
        <f t="shared" si="3"/>
        <v>6.1324482647333554</v>
      </c>
      <c r="AS12" s="78">
        <f t="shared" si="3"/>
        <v>5.5671965116361948</v>
      </c>
      <c r="AT12" s="78">
        <f t="shared" si="3"/>
        <v>5.0540462244766848</v>
      </c>
      <c r="AU12" s="78">
        <f t="shared" si="3"/>
        <v>4.5881950072640523</v>
      </c>
      <c r="AV12" s="78">
        <f t="shared" si="3"/>
        <v>4.1652831196379756</v>
      </c>
      <c r="AW12" s="78">
        <f t="shared" si="3"/>
        <v>3.7813526755669966</v>
      </c>
      <c r="AX12" s="78">
        <f t="shared" si="3"/>
        <v>3.4328106028625607</v>
      </c>
      <c r="AY12" s="78">
        <f t="shared" si="3"/>
        <v>3.116395016859578</v>
      </c>
      <c r="AZ12" s="78">
        <f t="shared" si="3"/>
        <v>2.8291446935664344</v>
      </c>
      <c r="BA12" s="78">
        <f t="shared" si="3"/>
        <v>2.5683713565942239</v>
      </c>
      <c r="BB12" s="78">
        <f t="shared" si="3"/>
        <v>2.3316345185081482</v>
      </c>
    </row>
    <row r="13" spans="1:54" s="76" customFormat="1" x14ac:dyDescent="0.25">
      <c r="A13" s="180"/>
      <c r="B13" s="76" t="s">
        <v>645</v>
      </c>
      <c r="C13" s="77" t="s">
        <v>362</v>
      </c>
      <c r="D13" s="76">
        <f>D12</f>
        <v>-2050</v>
      </c>
      <c r="E13" s="78">
        <f>E12+D13</f>
        <v>-1783.6024546306885</v>
      </c>
      <c r="F13" s="78">
        <f t="shared" ref="F13:BB13" si="4">F12+E13</f>
        <v>-1541.759813443244</v>
      </c>
      <c r="G13" s="78">
        <f t="shared" si="4"/>
        <v>-1322.2087548348159</v>
      </c>
      <c r="H13" s="78">
        <f t="shared" si="4"/>
        <v>-1122.8945764111647</v>
      </c>
      <c r="I13" s="78">
        <f t="shared" si="4"/>
        <v>-941.95196573786757</v>
      </c>
      <c r="J13" s="78">
        <f t="shared" si="4"/>
        <v>-777.68754352663075</v>
      </c>
      <c r="K13" s="78">
        <f t="shared" si="4"/>
        <v>-628.56401588442964</v>
      </c>
      <c r="L13" s="78">
        <f t="shared" si="4"/>
        <v>-493.18578731185744</v>
      </c>
      <c r="M13" s="78">
        <f t="shared" si="4"/>
        <v>-370.28589980771363</v>
      </c>
      <c r="N13" s="78">
        <f t="shared" si="4"/>
        <v>-258.71417584743006</v>
      </c>
      <c r="O13" s="78">
        <f t="shared" si="4"/>
        <v>-157.42645426957259</v>
      </c>
      <c r="P13" s="78">
        <f t="shared" si="4"/>
        <v>-65.474818332804588</v>
      </c>
      <c r="Q13" s="78">
        <f t="shared" si="4"/>
        <v>18.001275508922177</v>
      </c>
      <c r="R13" s="78">
        <f t="shared" si="4"/>
        <v>93.783051135672409</v>
      </c>
      <c r="S13" s="78">
        <f t="shared" si="4"/>
        <v>162.57972396552219</v>
      </c>
      <c r="T13" s="78">
        <f t="shared" si="4"/>
        <v>225.0351382562728</v>
      </c>
      <c r="U13" s="78">
        <f t="shared" si="4"/>
        <v>281.73379262109336</v>
      </c>
      <c r="V13" s="78">
        <f t="shared" si="4"/>
        <v>333.20631014880871</v>
      </c>
      <c r="W13" s="78">
        <f t="shared" si="4"/>
        <v>379.93440432179551</v>
      </c>
      <c r="X13" s="78">
        <f t="shared" si="4"/>
        <v>422.35538720579399</v>
      </c>
      <c r="Y13" s="78">
        <f t="shared" si="4"/>
        <v>460.86626210222391</v>
      </c>
      <c r="Z13" s="78">
        <f t="shared" si="4"/>
        <v>495.82743896472203</v>
      </c>
      <c r="AA13" s="78">
        <f t="shared" si="4"/>
        <v>527.56610735119864</v>
      </c>
      <c r="AB13" s="78">
        <f t="shared" si="4"/>
        <v>556.37929847770431</v>
      </c>
      <c r="AC13" s="78">
        <f t="shared" si="4"/>
        <v>417.63000860259012</v>
      </c>
      <c r="AD13" s="78">
        <f t="shared" si="4"/>
        <v>441.37634832558376</v>
      </c>
      <c r="AE13" s="78">
        <f t="shared" si="4"/>
        <v>462.9338949958493</v>
      </c>
      <c r="AF13" s="78">
        <f t="shared" si="4"/>
        <v>482.50439823389905</v>
      </c>
      <c r="AG13" s="78">
        <f t="shared" si="4"/>
        <v>500.27101160826771</v>
      </c>
      <c r="AH13" s="78">
        <f t="shared" si="4"/>
        <v>516.40000670639017</v>
      </c>
      <c r="AI13" s="78">
        <f t="shared" si="4"/>
        <v>531.04232921285961</v>
      </c>
      <c r="AJ13" s="78">
        <f t="shared" si="4"/>
        <v>544.33501155786325</v>
      </c>
      <c r="AK13" s="78">
        <f t="shared" si="4"/>
        <v>556.40245535628389</v>
      </c>
      <c r="AL13" s="78">
        <f t="shared" si="4"/>
        <v>567.35759563937188</v>
      </c>
      <c r="AM13" s="78">
        <f t="shared" si="4"/>
        <v>577.30295777462743</v>
      </c>
      <c r="AN13" s="78">
        <f t="shared" si="4"/>
        <v>586.33161696524201</v>
      </c>
      <c r="AO13" s="78">
        <f t="shared" si="4"/>
        <v>594.52806930872168</v>
      </c>
      <c r="AP13" s="78">
        <f t="shared" si="4"/>
        <v>601.9690225666285</v>
      </c>
      <c r="AQ13" s="78">
        <f t="shared" si="4"/>
        <v>608.7241140459804</v>
      </c>
      <c r="AR13" s="78">
        <f t="shared" si="4"/>
        <v>614.8565623107138</v>
      </c>
      <c r="AS13" s="78">
        <f t="shared" si="4"/>
        <v>620.42375882235001</v>
      </c>
      <c r="AT13" s="78">
        <f t="shared" si="4"/>
        <v>625.47780504682669</v>
      </c>
      <c r="AU13" s="78">
        <f t="shared" si="4"/>
        <v>630.06600005409075</v>
      </c>
      <c r="AV13" s="78">
        <f t="shared" si="4"/>
        <v>634.23128317372868</v>
      </c>
      <c r="AW13" s="78">
        <f t="shared" si="4"/>
        <v>638.01263584929563</v>
      </c>
      <c r="AX13" s="78">
        <f t="shared" si="4"/>
        <v>641.44544645215819</v>
      </c>
      <c r="AY13" s="78">
        <f t="shared" si="4"/>
        <v>644.56184146901774</v>
      </c>
      <c r="AZ13" s="78">
        <f t="shared" si="4"/>
        <v>647.39098616258423</v>
      </c>
      <c r="BA13" s="78">
        <f t="shared" si="4"/>
        <v>649.95935751917841</v>
      </c>
      <c r="BB13" s="78">
        <f t="shared" si="4"/>
        <v>652.29099203768658</v>
      </c>
    </row>
    <row r="14" spans="1:54" s="76" customFormat="1" x14ac:dyDescent="0.25">
      <c r="A14" s="180"/>
      <c r="B14" s="80" t="s">
        <v>361</v>
      </c>
      <c r="C14" s="81" t="s">
        <v>362</v>
      </c>
      <c r="D14" s="92">
        <f>SUM(D12:BB12)</f>
        <v>652.29099203768658</v>
      </c>
    </row>
    <row r="15" spans="1:54" x14ac:dyDescent="0.25">
      <c r="A15" s="178" t="s">
        <v>2</v>
      </c>
      <c r="B15" t="s">
        <v>363</v>
      </c>
      <c r="C15" s="72" t="s">
        <v>362</v>
      </c>
      <c r="D15">
        <f>-LED!$B$3*(LED!$B$20-LED!$B$18)</f>
        <v>-12.5</v>
      </c>
      <c r="E15">
        <v>0</v>
      </c>
      <c r="F15">
        <v>0</v>
      </c>
      <c r="G15">
        <v>0</v>
      </c>
      <c r="H15">
        <v>0</v>
      </c>
      <c r="I15" s="41">
        <f>-LED!$B$3*(LED!$B$20-LED!$B$18)*(1+$C$1)^I6</f>
        <v>-15.5028843174528</v>
      </c>
      <c r="J15">
        <v>0</v>
      </c>
      <c r="K15">
        <v>0</v>
      </c>
      <c r="L15">
        <v>0</v>
      </c>
      <c r="M15">
        <v>0</v>
      </c>
      <c r="N15" s="41">
        <f>-LED!$B$3*(LED!$B$20-LED!$B$18)*(1+$C$1)^N6</f>
        <v>-19.227153772825922</v>
      </c>
      <c r="O15">
        <v>0</v>
      </c>
      <c r="P15">
        <v>0</v>
      </c>
      <c r="Q15">
        <v>0</v>
      </c>
      <c r="R15">
        <v>0</v>
      </c>
      <c r="S15" s="41">
        <f>-LED!$B$3*(LED!$B$20-LED!$B$18)*(1+$C$1)^S6</f>
        <v>-23.846107255519719</v>
      </c>
      <c r="T15">
        <v>0</v>
      </c>
      <c r="U15">
        <v>0</v>
      </c>
      <c r="V15">
        <v>0</v>
      </c>
      <c r="W15">
        <v>0</v>
      </c>
      <c r="X15" s="41">
        <f>-LED!$B$3*(LED!$B$20-LED!$B$18)*(1+$C$1)^X6</f>
        <v>-29.574675376311525</v>
      </c>
      <c r="Y15">
        <v>0</v>
      </c>
      <c r="Z15">
        <v>0</v>
      </c>
      <c r="AA15">
        <v>0</v>
      </c>
      <c r="AB15">
        <v>0</v>
      </c>
      <c r="AC15" s="41">
        <f>-LED!$B$3*(LED!$B$20-LED!$B$18)*(1+$C$1)^AC6</f>
        <v>-36.679421686814202</v>
      </c>
      <c r="AD15">
        <v>0</v>
      </c>
      <c r="AE15">
        <v>0</v>
      </c>
      <c r="AF15">
        <v>0</v>
      </c>
      <c r="AG15">
        <v>0</v>
      </c>
      <c r="AH15" s="41">
        <f>-LED!$B$3*(LED!$B$20-LED!$B$18)*(1+$C$1)^AH6</f>
        <v>-45.490946499339998</v>
      </c>
      <c r="AI15">
        <v>0</v>
      </c>
      <c r="AJ15">
        <v>0</v>
      </c>
      <c r="AK15">
        <v>0</v>
      </c>
      <c r="AL15">
        <v>0</v>
      </c>
      <c r="AM15" s="41">
        <f>-LED!$B$3*(LED!$B$20-LED!$B$18)*(1+$C$1)^AM6</f>
        <v>-56.419270485656206</v>
      </c>
      <c r="AN15">
        <v>0</v>
      </c>
      <c r="AO15">
        <v>0</v>
      </c>
      <c r="AP15">
        <v>0</v>
      </c>
      <c r="AQ15">
        <v>0</v>
      </c>
      <c r="AR15" s="41">
        <f>-LED!$B$3*(LED!$B$20-LED!$B$18)*(1+$C$1)^AR6</f>
        <v>-69.972913889136578</v>
      </c>
      <c r="AS15">
        <v>0</v>
      </c>
      <c r="AT15">
        <v>0</v>
      </c>
      <c r="AU15">
        <v>0</v>
      </c>
      <c r="AV15">
        <v>0</v>
      </c>
      <c r="AW15" s="41">
        <f>-LED!$B$3*(LED!$B$20-LED!$B$18)*(1+$C$1)^AW6</f>
        <v>-86.782559150269662</v>
      </c>
      <c r="AX15">
        <v>0</v>
      </c>
      <c r="AY15">
        <v>0</v>
      </c>
      <c r="AZ15">
        <v>0</v>
      </c>
      <c r="BA15">
        <v>0</v>
      </c>
      <c r="BB15" s="41">
        <f>-LED!$B$3*(LED!$B$20-LED!$B$18)*(1+$C$1)^BB6</f>
        <v>-107.63039802233088</v>
      </c>
    </row>
    <row r="16" spans="1:54" x14ac:dyDescent="0.25">
      <c r="A16" s="178"/>
      <c r="B16" t="s">
        <v>356</v>
      </c>
      <c r="C16" s="72" t="s">
        <v>362</v>
      </c>
      <c r="D16">
        <v>0</v>
      </c>
      <c r="E16" s="18">
        <f>ABS('Annual Calculations'!$Q$7)*(1+$C$3)^E$176</f>
        <v>12.573901833111959</v>
      </c>
      <c r="F16" s="18">
        <f>ABS('Annual Calculations'!$Q$7)*(1+$C$3)^F$176</f>
        <v>13.127153513768885</v>
      </c>
      <c r="G16" s="18">
        <f>ABS('Annual Calculations'!$Q$7)*(1+$C$3)^G$176</f>
        <v>13.704748268374717</v>
      </c>
      <c r="H16" s="18">
        <f>ABS('Annual Calculations'!$Q$7)*(1+$C$3)^H$176</f>
        <v>14.307757192183203</v>
      </c>
      <c r="I16" s="18">
        <f>ABS('Annual Calculations'!$Q$7)*(1+$C$3)^I$176</f>
        <v>14.937298508639264</v>
      </c>
      <c r="J16" s="18">
        <f>ABS('Annual Calculations'!$Q$7)*(1+$C$3)^J$176</f>
        <v>15.594539643019393</v>
      </c>
      <c r="K16" s="18">
        <f>ABS('Annual Calculations'!$Q$7)*(1+$C$3)^K$176</f>
        <v>16.28069938731225</v>
      </c>
      <c r="L16" s="18">
        <f>ABS('Annual Calculations'!$Q$7)*(1+$C$3)^L$176</f>
        <v>16.997050160353986</v>
      </c>
      <c r="M16" s="18">
        <f>ABS('Annual Calculations'!$Q$7)*(1+$C$3)^M$176</f>
        <v>17.744920367409563</v>
      </c>
      <c r="N16" s="18">
        <f>ABS('Annual Calculations'!$Q$7)*(1+$C$3)^N$176</f>
        <v>18.525696863575583</v>
      </c>
      <c r="O16" s="18">
        <f>ABS('Annual Calculations'!$Q$7)*(1+$C$3)^O$176</f>
        <v>19.340827525572912</v>
      </c>
      <c r="P16" s="18">
        <f>ABS('Annual Calculations'!$Q$7)*(1+$C$3)^P$176</f>
        <v>20.191823936698118</v>
      </c>
      <c r="Q16" s="18">
        <f>ABS('Annual Calculations'!$Q$7)*(1+$C$3)^Q$176</f>
        <v>21.080264189912835</v>
      </c>
      <c r="R16" s="18">
        <f>ABS('Annual Calculations'!$Q$7)*(1+$C$3)^R$176</f>
        <v>22.007795814269002</v>
      </c>
      <c r="S16" s="18">
        <f>ABS('Annual Calculations'!$Q$7)*(1+$C$3)^S$176</f>
        <v>22.97613883009684</v>
      </c>
      <c r="T16" s="18">
        <f>ABS('Annual Calculations'!$Q$7)*(1+$C$3)^T$176</f>
        <v>23.987088938621099</v>
      </c>
      <c r="U16" s="18">
        <f>ABS('Annual Calculations'!$Q$7)*(1+$C$3)^U$176</f>
        <v>25.042520851920425</v>
      </c>
      <c r="V16" s="18">
        <f>ABS('Annual Calculations'!$Q$7)*(1+$C$3)^V$176</f>
        <v>26.144391769404926</v>
      </c>
      <c r="W16" s="18">
        <f>ABS('Annual Calculations'!$Q$7)*(1+$C$3)^W$176</f>
        <v>27.294745007258744</v>
      </c>
      <c r="X16" s="18">
        <f>ABS('Annual Calculations'!$Q$7)*(1+$C$3)^X$176</f>
        <v>28.495713787578129</v>
      </c>
      <c r="Y16" s="18">
        <f>ABS('Annual Calculations'!$Q$7)*(1+$C$3)^Y$176</f>
        <v>29.749525194231566</v>
      </c>
      <c r="Z16" s="18">
        <f>ABS('Annual Calculations'!$Q$7)*(1+$C$3)^Z$176</f>
        <v>31.058504302777759</v>
      </c>
      <c r="AA16" s="18">
        <f>ABS('Annual Calculations'!$Q$7)*(1+$C$3)^AA$176</f>
        <v>32.425078492099985</v>
      </c>
      <c r="AB16" s="18">
        <f>ABS('Annual Calculations'!$Q$7)*(1+$C$3)^AB$176</f>
        <v>33.851781945752379</v>
      </c>
      <c r="AC16" s="18">
        <f>ABS('Annual Calculations'!$Q$7)*(1+$C$3)^AC$176</f>
        <v>35.341260351365484</v>
      </c>
      <c r="AD16" s="18">
        <f>ABS('Annual Calculations'!$Q$7)*(1+$C$3)^AD$176</f>
        <v>36.896275806825571</v>
      </c>
      <c r="AE16" s="18">
        <f>ABS('Annual Calculations'!$Q$7)*(1+$C$3)^AE$176</f>
        <v>38.519711942325898</v>
      </c>
      <c r="AF16" s="18">
        <f>ABS('Annual Calculations'!$Q$7)*(1+$C$3)^AF$176</f>
        <v>40.214579267788231</v>
      </c>
      <c r="AG16" s="18">
        <f>ABS('Annual Calculations'!$Q$7)*(1+$C$3)^AG$176</f>
        <v>41.98402075557091</v>
      </c>
      <c r="AH16" s="18">
        <f>ABS('Annual Calculations'!$Q$7)*(1+$C$3)^AH$176</f>
        <v>43.831317668816034</v>
      </c>
      <c r="AI16" s="18">
        <f>ABS('Annual Calculations'!$Q$7)*(1+$C$3)^AI$176</f>
        <v>45.759895646243947</v>
      </c>
      <c r="AJ16" s="18">
        <f>ABS('Annual Calculations'!$Q$7)*(1+$C$3)^AJ$176</f>
        <v>47.773331054678678</v>
      </c>
      <c r="AK16" s="18">
        <f>ABS('Annual Calculations'!$Q$7)*(1+$C$3)^AK$176</f>
        <v>49.875357621084547</v>
      </c>
      <c r="AL16" s="18">
        <f>ABS('Annual Calculations'!$Q$7)*(1+$C$3)^AL$176</f>
        <v>52.069873356412259</v>
      </c>
      <c r="AM16" s="18">
        <f>ABS('Annual Calculations'!$Q$7)*(1+$C$3)^AM$176</f>
        <v>54.3609477840944</v>
      </c>
      <c r="AN16" s="18">
        <f>ABS('Annual Calculations'!$Q$7)*(1+$C$3)^AN$176</f>
        <v>56.752829486594557</v>
      </c>
      <c r="AO16" s="18">
        <f>ABS('Annual Calculations'!$Q$7)*(1+$C$3)^AO$176</f>
        <v>59.249953984004712</v>
      </c>
      <c r="AP16" s="18">
        <f>ABS('Annual Calculations'!$Q$7)*(1+$C$3)^AP$176</f>
        <v>61.856951959300929</v>
      </c>
      <c r="AQ16" s="18">
        <f>ABS('Annual Calculations'!$Q$7)*(1+$C$3)^AQ$176</f>
        <v>64.578657845510179</v>
      </c>
      <c r="AR16" s="18">
        <f>ABS('Annual Calculations'!$Q$7)*(1+$C$3)^AR$176</f>
        <v>67.420118790712621</v>
      </c>
      <c r="AS16" s="18">
        <f>ABS('Annual Calculations'!$Q$7)*(1+$C$3)^AS$176</f>
        <v>70.386604017503984</v>
      </c>
      <c r="AT16" s="18">
        <f>ABS('Annual Calculations'!$Q$7)*(1+$C$3)^AT$176</f>
        <v>73.483614594274158</v>
      </c>
      <c r="AU16" s="18">
        <f>ABS('Annual Calculations'!$Q$7)*(1+$C$3)^AU$176</f>
        <v>76.716893636422228</v>
      </c>
      <c r="AV16" s="18">
        <f>ABS('Annual Calculations'!$Q$7)*(1+$C$3)^AV$176</f>
        <v>80.092436956424805</v>
      </c>
      <c r="AW16" s="18">
        <f>ABS('Annual Calculations'!$Q$7)*(1+$C$3)^AW$176</f>
        <v>83.616504182507484</v>
      </c>
      <c r="AX16" s="18">
        <f>ABS('Annual Calculations'!$Q$7)*(1+$C$3)^AX$176</f>
        <v>87.295630366537821</v>
      </c>
      <c r="AY16" s="18">
        <f>ABS('Annual Calculations'!$Q$7)*(1+$C$3)^AY$176</f>
        <v>91.136638102665501</v>
      </c>
      <c r="AZ16" s="18">
        <f>ABS('Annual Calculations'!$Q$7)*(1+$C$3)^AZ$176</f>
        <v>95.146650179182771</v>
      </c>
      <c r="BA16" s="18">
        <f>ABS('Annual Calculations'!$Q$7)*(1+$C$3)^BA$176</f>
        <v>99.333102787066807</v>
      </c>
      <c r="BB16" s="18">
        <f>ABS('Annual Calculations'!$Q$7)*(1+$C$3)^BB$176</f>
        <v>103.70375930969777</v>
      </c>
    </row>
    <row r="17" spans="1:54" x14ac:dyDescent="0.25">
      <c r="A17" s="178"/>
      <c r="B17" t="s">
        <v>357</v>
      </c>
      <c r="C17" s="72" t="s">
        <v>362</v>
      </c>
      <c r="D17">
        <v>0</v>
      </c>
      <c r="E17" s="18">
        <f t="shared" ref="E17:AJ17" si="5">0*(1+$C$3)^E$176</f>
        <v>0</v>
      </c>
      <c r="F17" s="18">
        <f t="shared" si="5"/>
        <v>0</v>
      </c>
      <c r="G17" s="18">
        <f t="shared" si="5"/>
        <v>0</v>
      </c>
      <c r="H17" s="18">
        <f t="shared" si="5"/>
        <v>0</v>
      </c>
      <c r="I17" s="18">
        <f t="shared" si="5"/>
        <v>0</v>
      </c>
      <c r="J17" s="18">
        <f t="shared" si="5"/>
        <v>0</v>
      </c>
      <c r="K17" s="18">
        <f t="shared" si="5"/>
        <v>0</v>
      </c>
      <c r="L17" s="18">
        <f t="shared" si="5"/>
        <v>0</v>
      </c>
      <c r="M17" s="18">
        <f t="shared" si="5"/>
        <v>0</v>
      </c>
      <c r="N17" s="18">
        <f t="shared" si="5"/>
        <v>0</v>
      </c>
      <c r="O17" s="18">
        <f t="shared" si="5"/>
        <v>0</v>
      </c>
      <c r="P17" s="18">
        <f t="shared" si="5"/>
        <v>0</v>
      </c>
      <c r="Q17" s="18">
        <f t="shared" si="5"/>
        <v>0</v>
      </c>
      <c r="R17" s="18">
        <f t="shared" si="5"/>
        <v>0</v>
      </c>
      <c r="S17" s="18">
        <f t="shared" si="5"/>
        <v>0</v>
      </c>
      <c r="T17" s="18">
        <f t="shared" si="5"/>
        <v>0</v>
      </c>
      <c r="U17" s="18">
        <f t="shared" si="5"/>
        <v>0</v>
      </c>
      <c r="V17" s="18">
        <f t="shared" si="5"/>
        <v>0</v>
      </c>
      <c r="W17" s="18">
        <f t="shared" si="5"/>
        <v>0</v>
      </c>
      <c r="X17" s="18">
        <f t="shared" si="5"/>
        <v>0</v>
      </c>
      <c r="Y17" s="18">
        <f t="shared" si="5"/>
        <v>0</v>
      </c>
      <c r="Z17" s="18">
        <f t="shared" si="5"/>
        <v>0</v>
      </c>
      <c r="AA17" s="18">
        <f t="shared" si="5"/>
        <v>0</v>
      </c>
      <c r="AB17" s="18">
        <f t="shared" si="5"/>
        <v>0</v>
      </c>
      <c r="AC17" s="18">
        <f t="shared" si="5"/>
        <v>0</v>
      </c>
      <c r="AD17" s="18">
        <f t="shared" si="5"/>
        <v>0</v>
      </c>
      <c r="AE17" s="18">
        <f t="shared" si="5"/>
        <v>0</v>
      </c>
      <c r="AF17" s="18">
        <f t="shared" si="5"/>
        <v>0</v>
      </c>
      <c r="AG17" s="18">
        <f t="shared" si="5"/>
        <v>0</v>
      </c>
      <c r="AH17" s="18">
        <f t="shared" si="5"/>
        <v>0</v>
      </c>
      <c r="AI17" s="18">
        <f t="shared" si="5"/>
        <v>0</v>
      </c>
      <c r="AJ17" s="18">
        <f t="shared" si="5"/>
        <v>0</v>
      </c>
      <c r="AK17" s="18">
        <f t="shared" ref="AK17:BB17" si="6">0*(1+$C$3)^AK$176</f>
        <v>0</v>
      </c>
      <c r="AL17" s="18">
        <f t="shared" si="6"/>
        <v>0</v>
      </c>
      <c r="AM17" s="18">
        <f t="shared" si="6"/>
        <v>0</v>
      </c>
      <c r="AN17" s="18">
        <f t="shared" si="6"/>
        <v>0</v>
      </c>
      <c r="AO17" s="18">
        <f t="shared" si="6"/>
        <v>0</v>
      </c>
      <c r="AP17" s="18">
        <f t="shared" si="6"/>
        <v>0</v>
      </c>
      <c r="AQ17" s="18">
        <f t="shared" si="6"/>
        <v>0</v>
      </c>
      <c r="AR17" s="18">
        <f t="shared" si="6"/>
        <v>0</v>
      </c>
      <c r="AS17" s="18">
        <f t="shared" si="6"/>
        <v>0</v>
      </c>
      <c r="AT17" s="18">
        <f t="shared" si="6"/>
        <v>0</v>
      </c>
      <c r="AU17" s="18">
        <f t="shared" si="6"/>
        <v>0</v>
      </c>
      <c r="AV17" s="18">
        <f t="shared" si="6"/>
        <v>0</v>
      </c>
      <c r="AW17" s="18">
        <f t="shared" si="6"/>
        <v>0</v>
      </c>
      <c r="AX17" s="18">
        <f t="shared" si="6"/>
        <v>0</v>
      </c>
      <c r="AY17" s="18">
        <f t="shared" si="6"/>
        <v>0</v>
      </c>
      <c r="AZ17" s="18">
        <f t="shared" si="6"/>
        <v>0</v>
      </c>
      <c r="BA17" s="18">
        <f t="shared" si="6"/>
        <v>0</v>
      </c>
      <c r="BB17" s="18">
        <f t="shared" si="6"/>
        <v>0</v>
      </c>
    </row>
    <row r="18" spans="1:54" x14ac:dyDescent="0.25">
      <c r="A18" s="178"/>
      <c r="B18" t="s">
        <v>358</v>
      </c>
      <c r="C18" s="72" t="s">
        <v>362</v>
      </c>
      <c r="D18">
        <f>SUM(D15:D17)</f>
        <v>-12.5</v>
      </c>
      <c r="E18" s="18">
        <f t="shared" ref="E18:BB18" si="7">SUM(E15:E17)</f>
        <v>12.573901833111959</v>
      </c>
      <c r="F18" s="18">
        <f t="shared" si="7"/>
        <v>13.127153513768885</v>
      </c>
      <c r="G18" s="18">
        <f t="shared" si="7"/>
        <v>13.704748268374717</v>
      </c>
      <c r="H18" s="18">
        <f t="shared" si="7"/>
        <v>14.307757192183203</v>
      </c>
      <c r="I18" s="18">
        <f t="shared" si="7"/>
        <v>-0.56558580881353571</v>
      </c>
      <c r="J18" s="18">
        <f t="shared" si="7"/>
        <v>15.594539643019393</v>
      </c>
      <c r="K18" s="18">
        <f t="shared" si="7"/>
        <v>16.28069938731225</v>
      </c>
      <c r="L18" s="18">
        <f t="shared" si="7"/>
        <v>16.997050160353986</v>
      </c>
      <c r="M18" s="18">
        <f t="shared" si="7"/>
        <v>17.744920367409563</v>
      </c>
      <c r="N18" s="18">
        <f t="shared" si="7"/>
        <v>-0.70145690925033932</v>
      </c>
      <c r="O18" s="18">
        <f t="shared" si="7"/>
        <v>19.340827525572912</v>
      </c>
      <c r="P18" s="18">
        <f t="shared" si="7"/>
        <v>20.191823936698118</v>
      </c>
      <c r="Q18" s="18">
        <f t="shared" si="7"/>
        <v>21.080264189912835</v>
      </c>
      <c r="R18" s="18">
        <f t="shared" si="7"/>
        <v>22.007795814269002</v>
      </c>
      <c r="S18" s="18">
        <f t="shared" si="7"/>
        <v>-0.86996842542287922</v>
      </c>
      <c r="T18" s="18">
        <f t="shared" si="7"/>
        <v>23.987088938621099</v>
      </c>
      <c r="U18" s="18">
        <f t="shared" si="7"/>
        <v>25.042520851920425</v>
      </c>
      <c r="V18" s="18">
        <f t="shared" si="7"/>
        <v>26.144391769404926</v>
      </c>
      <c r="W18" s="18">
        <f t="shared" si="7"/>
        <v>27.294745007258744</v>
      </c>
      <c r="X18" s="18">
        <f t="shared" si="7"/>
        <v>-1.0789615887333959</v>
      </c>
      <c r="Y18" s="18">
        <f t="shared" si="7"/>
        <v>29.749525194231566</v>
      </c>
      <c r="Z18" s="18">
        <f t="shared" si="7"/>
        <v>31.058504302777759</v>
      </c>
      <c r="AA18" s="18">
        <f t="shared" si="7"/>
        <v>32.425078492099985</v>
      </c>
      <c r="AB18" s="18">
        <f t="shared" si="7"/>
        <v>33.851781945752379</v>
      </c>
      <c r="AC18" s="18">
        <f t="shared" si="7"/>
        <v>-1.3381613354487172</v>
      </c>
      <c r="AD18" s="18">
        <f t="shared" si="7"/>
        <v>36.896275806825571</v>
      </c>
      <c r="AE18" s="18">
        <f t="shared" si="7"/>
        <v>38.519711942325898</v>
      </c>
      <c r="AF18" s="18">
        <f t="shared" si="7"/>
        <v>40.214579267788231</v>
      </c>
      <c r="AG18" s="18">
        <f t="shared" si="7"/>
        <v>41.98402075557091</v>
      </c>
      <c r="AH18" s="18">
        <f t="shared" si="7"/>
        <v>-1.6596288305239639</v>
      </c>
      <c r="AI18" s="18">
        <f t="shared" si="7"/>
        <v>45.759895646243947</v>
      </c>
      <c r="AJ18" s="18">
        <f t="shared" si="7"/>
        <v>47.773331054678678</v>
      </c>
      <c r="AK18" s="18">
        <f t="shared" si="7"/>
        <v>49.875357621084547</v>
      </c>
      <c r="AL18" s="18">
        <f t="shared" si="7"/>
        <v>52.069873356412259</v>
      </c>
      <c r="AM18" s="18">
        <f t="shared" si="7"/>
        <v>-2.0583227015618064</v>
      </c>
      <c r="AN18" s="18">
        <f t="shared" si="7"/>
        <v>56.752829486594557</v>
      </c>
      <c r="AO18" s="18">
        <f t="shared" si="7"/>
        <v>59.249953984004712</v>
      </c>
      <c r="AP18" s="18">
        <f t="shared" si="7"/>
        <v>61.856951959300929</v>
      </c>
      <c r="AQ18" s="18">
        <f t="shared" si="7"/>
        <v>64.578657845510179</v>
      </c>
      <c r="AR18" s="18">
        <f t="shared" si="7"/>
        <v>-2.5527950984239567</v>
      </c>
      <c r="AS18" s="18">
        <f t="shared" si="7"/>
        <v>70.386604017503984</v>
      </c>
      <c r="AT18" s="18">
        <f t="shared" si="7"/>
        <v>73.483614594274158</v>
      </c>
      <c r="AU18" s="18">
        <f t="shared" si="7"/>
        <v>76.716893636422228</v>
      </c>
      <c r="AV18" s="18">
        <f t="shared" si="7"/>
        <v>80.092436956424805</v>
      </c>
      <c r="AW18" s="18">
        <f t="shared" si="7"/>
        <v>-3.1660549677621788</v>
      </c>
      <c r="AX18" s="18">
        <f t="shared" si="7"/>
        <v>87.295630366537821</v>
      </c>
      <c r="AY18" s="18">
        <f t="shared" si="7"/>
        <v>91.136638102665501</v>
      </c>
      <c r="AZ18" s="18">
        <f t="shared" si="7"/>
        <v>95.146650179182771</v>
      </c>
      <c r="BA18" s="18">
        <f t="shared" si="7"/>
        <v>99.333102787066807</v>
      </c>
      <c r="BB18" s="18">
        <f t="shared" si="7"/>
        <v>-3.9266387126331068</v>
      </c>
    </row>
    <row r="19" spans="1:54" x14ac:dyDescent="0.25">
      <c r="A19" s="178"/>
      <c r="B19" t="s">
        <v>359</v>
      </c>
      <c r="C19" s="72"/>
      <c r="D19">
        <f t="shared" ref="D19:AI19" si="8">(1+$C$2)^D$176</f>
        <v>1</v>
      </c>
      <c r="E19" s="40">
        <f t="shared" si="8"/>
        <v>1.1499999999999999</v>
      </c>
      <c r="F19" s="40">
        <f t="shared" si="8"/>
        <v>1.3224999999999998</v>
      </c>
      <c r="G19" s="40">
        <f t="shared" si="8"/>
        <v>1.5208749999999995</v>
      </c>
      <c r="H19" s="40">
        <f t="shared" si="8"/>
        <v>1.7490062499999994</v>
      </c>
      <c r="I19" s="40">
        <f t="shared" si="8"/>
        <v>2.0113571874999994</v>
      </c>
      <c r="J19" s="40">
        <f t="shared" si="8"/>
        <v>2.3130607656249991</v>
      </c>
      <c r="K19" s="40">
        <f t="shared" si="8"/>
        <v>2.6600198804687483</v>
      </c>
      <c r="L19" s="40">
        <f t="shared" si="8"/>
        <v>3.0590228625390603</v>
      </c>
      <c r="M19" s="40">
        <f t="shared" si="8"/>
        <v>3.5178762919199191</v>
      </c>
      <c r="N19" s="40">
        <f t="shared" si="8"/>
        <v>4.0455577357079067</v>
      </c>
      <c r="O19" s="40">
        <f t="shared" si="8"/>
        <v>4.6523913960640924</v>
      </c>
      <c r="P19" s="40">
        <f t="shared" si="8"/>
        <v>5.3502501054737053</v>
      </c>
      <c r="Q19" s="40">
        <f t="shared" si="8"/>
        <v>6.1527876212947614</v>
      </c>
      <c r="R19" s="40">
        <f t="shared" si="8"/>
        <v>7.0757057644889754</v>
      </c>
      <c r="S19" s="40">
        <f t="shared" si="8"/>
        <v>8.1370616291623197</v>
      </c>
      <c r="T19" s="40">
        <f t="shared" si="8"/>
        <v>9.3576208735366659</v>
      </c>
      <c r="U19" s="40">
        <f t="shared" si="8"/>
        <v>10.761264004567165</v>
      </c>
      <c r="V19" s="40">
        <f t="shared" si="8"/>
        <v>12.375453605252238</v>
      </c>
      <c r="W19" s="40">
        <f t="shared" si="8"/>
        <v>14.231771646040073</v>
      </c>
      <c r="X19" s="40">
        <f t="shared" si="8"/>
        <v>16.366537392946082</v>
      </c>
      <c r="Y19" s="40">
        <f t="shared" si="8"/>
        <v>18.821518001887995</v>
      </c>
      <c r="Z19" s="40">
        <f t="shared" si="8"/>
        <v>21.644745702171193</v>
      </c>
      <c r="AA19" s="40">
        <f t="shared" si="8"/>
        <v>24.891457557496867</v>
      </c>
      <c r="AB19" s="40">
        <f t="shared" si="8"/>
        <v>28.625176191121394</v>
      </c>
      <c r="AC19" s="40">
        <f t="shared" si="8"/>
        <v>32.9189526197896</v>
      </c>
      <c r="AD19" s="40">
        <f t="shared" si="8"/>
        <v>37.85679551275804</v>
      </c>
      <c r="AE19" s="40">
        <f t="shared" si="8"/>
        <v>43.535314839671742</v>
      </c>
      <c r="AF19" s="40">
        <f t="shared" si="8"/>
        <v>50.065612065622496</v>
      </c>
      <c r="AG19" s="40">
        <f t="shared" si="8"/>
        <v>57.575453875465868</v>
      </c>
      <c r="AH19" s="40">
        <f t="shared" si="8"/>
        <v>66.211771956785753</v>
      </c>
      <c r="AI19" s="40">
        <f t="shared" si="8"/>
        <v>76.143537750303594</v>
      </c>
      <c r="AJ19" s="40">
        <f t="shared" ref="AJ19:BB19" si="9">(1+$C$2)^AJ$176</f>
        <v>87.565068412849115</v>
      </c>
      <c r="AK19" s="40">
        <f t="shared" si="9"/>
        <v>100.69982867477647</v>
      </c>
      <c r="AL19" s="40">
        <f t="shared" si="9"/>
        <v>115.80480297599294</v>
      </c>
      <c r="AM19" s="40">
        <f t="shared" si="9"/>
        <v>133.17552342239185</v>
      </c>
      <c r="AN19" s="40">
        <f t="shared" si="9"/>
        <v>153.15185193575064</v>
      </c>
      <c r="AO19" s="40">
        <f t="shared" si="9"/>
        <v>176.12462972611323</v>
      </c>
      <c r="AP19" s="40">
        <f t="shared" si="9"/>
        <v>202.5433241850302</v>
      </c>
      <c r="AQ19" s="40">
        <f t="shared" si="9"/>
        <v>232.92482281278467</v>
      </c>
      <c r="AR19" s="40">
        <f t="shared" si="9"/>
        <v>267.86354623470237</v>
      </c>
      <c r="AS19" s="40">
        <f t="shared" si="9"/>
        <v>308.04307816990769</v>
      </c>
      <c r="AT19" s="40">
        <f t="shared" si="9"/>
        <v>354.24953989539381</v>
      </c>
      <c r="AU19" s="40">
        <f t="shared" si="9"/>
        <v>407.38697087970286</v>
      </c>
      <c r="AV19" s="40">
        <f t="shared" si="9"/>
        <v>468.49501651165821</v>
      </c>
      <c r="AW19" s="40">
        <f t="shared" si="9"/>
        <v>538.76926898840691</v>
      </c>
      <c r="AX19" s="40">
        <f t="shared" si="9"/>
        <v>619.58465933666798</v>
      </c>
      <c r="AY19" s="40">
        <f t="shared" si="9"/>
        <v>712.52235823716796</v>
      </c>
      <c r="AZ19" s="40">
        <f t="shared" si="9"/>
        <v>819.40071197274301</v>
      </c>
      <c r="BA19" s="40">
        <f t="shared" si="9"/>
        <v>942.31081876865449</v>
      </c>
      <c r="BB19" s="40">
        <f t="shared" si="9"/>
        <v>1083.6574415839525</v>
      </c>
    </row>
    <row r="20" spans="1:54" x14ac:dyDescent="0.25">
      <c r="A20" s="178"/>
      <c r="B20" t="s">
        <v>360</v>
      </c>
      <c r="C20" s="72" t="s">
        <v>362</v>
      </c>
      <c r="D20">
        <f t="shared" ref="D20:BB20" si="10">D18/D19</f>
        <v>-12.5</v>
      </c>
      <c r="E20" s="18">
        <f t="shared" si="10"/>
        <v>10.933827680966921</v>
      </c>
      <c r="F20" s="18">
        <f t="shared" si="10"/>
        <v>9.9260139990691023</v>
      </c>
      <c r="G20" s="18">
        <f t="shared" si="10"/>
        <v>9.0110944478505601</v>
      </c>
      <c r="H20" s="18">
        <f t="shared" si="10"/>
        <v>8.1805066117878127</v>
      </c>
      <c r="I20" s="18">
        <f t="shared" si="10"/>
        <v>-0.28119610595695643</v>
      </c>
      <c r="J20" s="18">
        <f t="shared" si="10"/>
        <v>6.7419498332140364</v>
      </c>
      <c r="K20" s="18">
        <f t="shared" si="10"/>
        <v>6.1205179355438757</v>
      </c>
      <c r="L20" s="18">
        <f t="shared" si="10"/>
        <v>5.556365847572005</v>
      </c>
      <c r="M20" s="18">
        <f t="shared" si="10"/>
        <v>5.0442138651001507</v>
      </c>
      <c r="N20" s="18">
        <f t="shared" si="10"/>
        <v>-0.17338941997019747</v>
      </c>
      <c r="O20" s="18">
        <f t="shared" si="10"/>
        <v>4.1571797983151608</v>
      </c>
      <c r="P20" s="18">
        <f t="shared" si="10"/>
        <v>3.7739962690791549</v>
      </c>
      <c r="Q20" s="18">
        <f t="shared" si="10"/>
        <v>3.426132265146641</v>
      </c>
      <c r="R20" s="18">
        <f t="shared" si="10"/>
        <v>3.11033224766356</v>
      </c>
      <c r="S20" s="18">
        <f t="shared" si="10"/>
        <v>-0.10691432178724192</v>
      </c>
      <c r="T20" s="18">
        <f t="shared" si="10"/>
        <v>2.5633747362490973</v>
      </c>
      <c r="U20" s="18">
        <f t="shared" si="10"/>
        <v>2.3270984562122239</v>
      </c>
      <c r="V20" s="18">
        <f t="shared" si="10"/>
        <v>2.1126006854657065</v>
      </c>
      <c r="W20" s="18">
        <f t="shared" si="10"/>
        <v>1.9178740135879979</v>
      </c>
      <c r="X20" s="18">
        <f t="shared" si="10"/>
        <v>-6.5924854037752931E-2</v>
      </c>
      <c r="Y20" s="18">
        <f t="shared" si="10"/>
        <v>1.5806124241013599</v>
      </c>
      <c r="Z20" s="18">
        <f t="shared" si="10"/>
        <v>1.4349211919667999</v>
      </c>
      <c r="AA20" s="18">
        <f t="shared" si="10"/>
        <v>1.3026588907942085</v>
      </c>
      <c r="AB20" s="18">
        <f t="shared" si="10"/>
        <v>1.1825877234688291</v>
      </c>
      <c r="AC20" s="18">
        <f t="shared" si="10"/>
        <v>-4.065017957601319E-2</v>
      </c>
      <c r="AD20" s="18">
        <f t="shared" si="10"/>
        <v>0.97462754855706768</v>
      </c>
      <c r="AE20" s="18">
        <f t="shared" si="10"/>
        <v>0.88479231364659039</v>
      </c>
      <c r="AF20" s="18">
        <f t="shared" si="10"/>
        <v>0.80323754386699153</v>
      </c>
      <c r="AG20" s="18">
        <f t="shared" si="10"/>
        <v>0.72919999634533839</v>
      </c>
      <c r="AH20" s="18">
        <f t="shared" si="10"/>
        <v>-2.506546466702551E-2</v>
      </c>
      <c r="AI20" s="18">
        <f t="shared" si="10"/>
        <v>0.60096886746060729</v>
      </c>
      <c r="AJ20" s="18">
        <f t="shared" si="10"/>
        <v>0.54557521532945574</v>
      </c>
      <c r="AK20" s="18">
        <f t="shared" si="10"/>
        <v>0.49528741287300165</v>
      </c>
      <c r="AL20" s="18">
        <f t="shared" si="10"/>
        <v>0.44963483394731624</v>
      </c>
      <c r="AM20" s="18">
        <f t="shared" si="10"/>
        <v>-1.5455713247196627E-2</v>
      </c>
      <c r="AN20" s="18">
        <f t="shared" si="10"/>
        <v>0.37056574092491656</v>
      </c>
      <c r="AO20" s="18">
        <f t="shared" si="10"/>
        <v>0.33640924654401122</v>
      </c>
      <c r="AP20" s="18">
        <f t="shared" si="10"/>
        <v>0.30540108990604153</v>
      </c>
      <c r="AQ20" s="18">
        <f t="shared" si="10"/>
        <v>0.27725107640165869</v>
      </c>
      <c r="AR20" s="18">
        <f t="shared" si="10"/>
        <v>-9.5302072055269312E-3</v>
      </c>
      <c r="AS20" s="18">
        <f t="shared" si="10"/>
        <v>0.22849597671751859</v>
      </c>
      <c r="AT20" s="18">
        <f t="shared" si="10"/>
        <v>0.2074346084287734</v>
      </c>
      <c r="AU20" s="18">
        <f t="shared" si="10"/>
        <v>0.18831454886925172</v>
      </c>
      <c r="AV20" s="18">
        <f t="shared" si="10"/>
        <v>0.17095686001695551</v>
      </c>
      <c r="AW20" s="18">
        <f t="shared" si="10"/>
        <v>-5.8764579756131283E-3</v>
      </c>
      <c r="AX20" s="18">
        <f t="shared" si="10"/>
        <v>0.14089378917159953</v>
      </c>
      <c r="AY20" s="18">
        <f t="shared" si="10"/>
        <v>0.12790705730013044</v>
      </c>
      <c r="AZ20" s="18">
        <f t="shared" si="10"/>
        <v>0.11611736332290101</v>
      </c>
      <c r="BA20" s="18">
        <f t="shared" si="10"/>
        <v>0.10541437157313796</v>
      </c>
      <c r="BB20" s="18">
        <f t="shared" si="10"/>
        <v>-3.6235055119389448E-3</v>
      </c>
    </row>
    <row r="21" spans="1:54" x14ac:dyDescent="0.25">
      <c r="A21" s="178"/>
      <c r="B21" s="76" t="s">
        <v>645</v>
      </c>
      <c r="C21" s="77" t="s">
        <v>362</v>
      </c>
      <c r="D21" s="76">
        <f>D20</f>
        <v>-12.5</v>
      </c>
      <c r="E21" s="78">
        <f>E20+D21</f>
        <v>-1.566172319033079</v>
      </c>
      <c r="F21" s="78">
        <f t="shared" ref="F21:BB21" si="11">F20+E21</f>
        <v>8.3598416800360233</v>
      </c>
      <c r="G21" s="78">
        <f t="shared" si="11"/>
        <v>17.370936127886583</v>
      </c>
      <c r="H21" s="78">
        <f t="shared" si="11"/>
        <v>25.551442739674396</v>
      </c>
      <c r="I21" s="78">
        <f t="shared" si="11"/>
        <v>25.270246633717441</v>
      </c>
      <c r="J21" s="78">
        <f t="shared" si="11"/>
        <v>32.012196466931478</v>
      </c>
      <c r="K21" s="78">
        <f t="shared" si="11"/>
        <v>38.132714402475351</v>
      </c>
      <c r="L21" s="78">
        <f t="shared" si="11"/>
        <v>43.689080250047354</v>
      </c>
      <c r="M21" s="78">
        <f t="shared" si="11"/>
        <v>48.733294115147501</v>
      </c>
      <c r="N21" s="78">
        <f t="shared" si="11"/>
        <v>48.559904695177302</v>
      </c>
      <c r="O21" s="78">
        <f t="shared" si="11"/>
        <v>52.717084493492465</v>
      </c>
      <c r="P21" s="78">
        <f t="shared" si="11"/>
        <v>56.49108076257162</v>
      </c>
      <c r="Q21" s="78">
        <f t="shared" si="11"/>
        <v>59.917213027718262</v>
      </c>
      <c r="R21" s="78">
        <f t="shared" si="11"/>
        <v>63.027545275381819</v>
      </c>
      <c r="S21" s="78">
        <f t="shared" si="11"/>
        <v>62.920630953594575</v>
      </c>
      <c r="T21" s="78">
        <f t="shared" si="11"/>
        <v>65.48400568984367</v>
      </c>
      <c r="U21" s="78">
        <f t="shared" si="11"/>
        <v>67.811104146055897</v>
      </c>
      <c r="V21" s="78">
        <f t="shared" si="11"/>
        <v>69.923704831521604</v>
      </c>
      <c r="W21" s="78">
        <f t="shared" si="11"/>
        <v>71.841578845109609</v>
      </c>
      <c r="X21" s="78">
        <f t="shared" si="11"/>
        <v>71.775653991071863</v>
      </c>
      <c r="Y21" s="78">
        <f t="shared" si="11"/>
        <v>73.356266415173224</v>
      </c>
      <c r="Z21" s="78">
        <f t="shared" si="11"/>
        <v>74.791187607140017</v>
      </c>
      <c r="AA21" s="78">
        <f t="shared" si="11"/>
        <v>76.093846497934223</v>
      </c>
      <c r="AB21" s="78">
        <f t="shared" si="11"/>
        <v>77.276434221403051</v>
      </c>
      <c r="AC21" s="78">
        <f t="shared" si="11"/>
        <v>77.235784041827031</v>
      </c>
      <c r="AD21" s="78">
        <f t="shared" si="11"/>
        <v>78.210411590384098</v>
      </c>
      <c r="AE21" s="78">
        <f t="shared" si="11"/>
        <v>79.095203904030683</v>
      </c>
      <c r="AF21" s="78">
        <f t="shared" si="11"/>
        <v>79.898441447897667</v>
      </c>
      <c r="AG21" s="78">
        <f t="shared" si="11"/>
        <v>80.627641444243011</v>
      </c>
      <c r="AH21" s="78">
        <f t="shared" si="11"/>
        <v>80.602575979575988</v>
      </c>
      <c r="AI21" s="78">
        <f t="shared" si="11"/>
        <v>81.203544847036596</v>
      </c>
      <c r="AJ21" s="78">
        <f t="shared" si="11"/>
        <v>81.749120062366046</v>
      </c>
      <c r="AK21" s="78">
        <f t="shared" si="11"/>
        <v>82.244407475239043</v>
      </c>
      <c r="AL21" s="78">
        <f t="shared" si="11"/>
        <v>82.694042309186358</v>
      </c>
      <c r="AM21" s="78">
        <f t="shared" si="11"/>
        <v>82.678586595939166</v>
      </c>
      <c r="AN21" s="78">
        <f t="shared" si="11"/>
        <v>83.049152336864083</v>
      </c>
      <c r="AO21" s="78">
        <f t="shared" si="11"/>
        <v>83.385561583408091</v>
      </c>
      <c r="AP21" s="78">
        <f t="shared" si="11"/>
        <v>83.690962673314132</v>
      </c>
      <c r="AQ21" s="78">
        <f t="shared" si="11"/>
        <v>83.968213749715787</v>
      </c>
      <c r="AR21" s="78">
        <f t="shared" si="11"/>
        <v>83.958683542510258</v>
      </c>
      <c r="AS21" s="78">
        <f t="shared" si="11"/>
        <v>84.187179519227783</v>
      </c>
      <c r="AT21" s="78">
        <f t="shared" si="11"/>
        <v>84.394614127656553</v>
      </c>
      <c r="AU21" s="78">
        <f t="shared" si="11"/>
        <v>84.58292867652581</v>
      </c>
      <c r="AV21" s="78">
        <f t="shared" si="11"/>
        <v>84.753885536542768</v>
      </c>
      <c r="AW21" s="78">
        <f t="shared" si="11"/>
        <v>84.748009078567151</v>
      </c>
      <c r="AX21" s="78">
        <f t="shared" si="11"/>
        <v>84.88890286773875</v>
      </c>
      <c r="AY21" s="78">
        <f t="shared" si="11"/>
        <v>85.016809925038885</v>
      </c>
      <c r="AZ21" s="78">
        <f t="shared" si="11"/>
        <v>85.132927288361785</v>
      </c>
      <c r="BA21" s="78">
        <f t="shared" si="11"/>
        <v>85.238341659934918</v>
      </c>
      <c r="BB21" s="78">
        <f t="shared" si="11"/>
        <v>85.234718154422978</v>
      </c>
    </row>
    <row r="22" spans="1:54" s="76" customFormat="1" x14ac:dyDescent="0.25">
      <c r="A22" s="178"/>
      <c r="B22" s="22" t="s">
        <v>361</v>
      </c>
      <c r="C22" s="75" t="s">
        <v>362</v>
      </c>
      <c r="D22" s="93">
        <f>SUM(D20:BB20)</f>
        <v>85.234718154422978</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76" customFormat="1" x14ac:dyDescent="0.25">
      <c r="A23" s="180" t="s">
        <v>3</v>
      </c>
      <c r="B23" s="76" t="s">
        <v>363</v>
      </c>
      <c r="C23" s="77" t="s">
        <v>362</v>
      </c>
      <c r="D23" s="76">
        <f>-0.15*(1239+529+2*350)</f>
        <v>-370.2</v>
      </c>
      <c r="E23" s="76">
        <v>0</v>
      </c>
      <c r="F23" s="76">
        <v>0</v>
      </c>
      <c r="G23" s="76">
        <v>0</v>
      </c>
      <c r="H23" s="76">
        <v>0</v>
      </c>
      <c r="I23" s="76">
        <v>0</v>
      </c>
      <c r="J23" s="76">
        <v>0</v>
      </c>
      <c r="K23" s="76">
        <v>0</v>
      </c>
      <c r="L23" s="76">
        <v>0</v>
      </c>
      <c r="M23" s="76">
        <v>0</v>
      </c>
      <c r="N23" s="76">
        <f>-0.15*700*(1+$C$1)^N6</f>
        <v>-161.50809169173775</v>
      </c>
      <c r="O23" s="76">
        <v>0</v>
      </c>
      <c r="P23" s="76">
        <v>0</v>
      </c>
      <c r="Q23" s="76">
        <v>0</v>
      </c>
      <c r="R23" s="76">
        <v>0</v>
      </c>
      <c r="S23" s="76">
        <v>0</v>
      </c>
      <c r="T23" s="76">
        <f>-(0.15*(1239+529))*(1+$C$1)^T6</f>
        <v>-528.17944804056299</v>
      </c>
      <c r="U23" s="76">
        <v>0</v>
      </c>
      <c r="V23" s="76">
        <v>0</v>
      </c>
      <c r="W23" s="76">
        <v>0</v>
      </c>
      <c r="X23" s="76">
        <f>-0.15*700*(1+$C$1)^X6</f>
        <v>-248.42727316101681</v>
      </c>
      <c r="Y23" s="76">
        <v>0</v>
      </c>
      <c r="Z23" s="76">
        <v>0</v>
      </c>
      <c r="AA23" s="76">
        <v>0</v>
      </c>
      <c r="AB23" s="76">
        <v>0</v>
      </c>
      <c r="AC23" s="76">
        <v>0</v>
      </c>
      <c r="AD23" s="76">
        <v>0</v>
      </c>
      <c r="AE23" s="76">
        <v>0</v>
      </c>
      <c r="AF23" s="76">
        <v>0</v>
      </c>
      <c r="AG23" s="76">
        <v>0</v>
      </c>
      <c r="AH23" s="76">
        <f>-0.15*700*(1+$C$1)^AH6</f>
        <v>-382.12395059445601</v>
      </c>
      <c r="AI23" s="76">
        <v>0</v>
      </c>
      <c r="AJ23" s="76">
        <f>-(0.15*(1239+529))*(1+$C$1)^AJ6</f>
        <v>-1051.9363851147577</v>
      </c>
      <c r="AK23" s="76">
        <v>0</v>
      </c>
      <c r="AL23" s="76">
        <v>0</v>
      </c>
      <c r="AM23" s="76">
        <v>0</v>
      </c>
      <c r="AN23" s="76">
        <v>0</v>
      </c>
      <c r="AO23" s="76">
        <v>0</v>
      </c>
      <c r="AP23" s="76">
        <v>0</v>
      </c>
      <c r="AQ23" s="76">
        <v>0</v>
      </c>
      <c r="AR23" s="76">
        <f>-0.15*700*(1+$C$1)^AR6</f>
        <v>-587.77247666874723</v>
      </c>
      <c r="AS23" s="76">
        <v>0</v>
      </c>
      <c r="AT23" s="76">
        <v>0</v>
      </c>
      <c r="AU23" s="76">
        <v>0</v>
      </c>
      <c r="AV23" s="76">
        <v>0</v>
      </c>
      <c r="AW23" s="76">
        <v>0</v>
      </c>
      <c r="AX23" s="76">
        <v>0</v>
      </c>
      <c r="AY23" s="76">
        <v>0</v>
      </c>
      <c r="AZ23" s="76">
        <v>0</v>
      </c>
      <c r="BA23" s="76">
        <v>0</v>
      </c>
      <c r="BB23" s="76">
        <v>0</v>
      </c>
    </row>
    <row r="24" spans="1:54" s="76" customFormat="1" x14ac:dyDescent="0.25">
      <c r="A24" s="180"/>
      <c r="B24" s="76" t="s">
        <v>356</v>
      </c>
      <c r="C24" s="77" t="s">
        <v>362</v>
      </c>
      <c r="D24" s="76">
        <v>0</v>
      </c>
      <c r="E24" s="78">
        <f>ABS('Annual Calculations'!$Q$8)*(1+$C$3)^E$176</f>
        <v>93.064678899702585</v>
      </c>
      <c r="F24" s="78">
        <f>ABS('Annual Calculations'!$Q$8)*(1+$C$3)^F$176</f>
        <v>97.159524771289497</v>
      </c>
      <c r="G24" s="78">
        <f>ABS('Annual Calculations'!$Q$8)*(1+$C$3)^G$176</f>
        <v>101.43454386122626</v>
      </c>
      <c r="H24" s="78">
        <f>ABS('Annual Calculations'!$Q$8)*(1+$C$3)^H$176</f>
        <v>105.89766379112019</v>
      </c>
      <c r="I24" s="78">
        <f>ABS('Annual Calculations'!$Q$8)*(1+$C$3)^I$176</f>
        <v>110.55716099792949</v>
      </c>
      <c r="J24" s="78">
        <f>ABS('Annual Calculations'!$Q$8)*(1+$C$3)^J$176</f>
        <v>115.4216760818384</v>
      </c>
      <c r="K24" s="78">
        <f>ABS('Annual Calculations'!$Q$8)*(1+$C$3)^K$176</f>
        <v>120.50022982943931</v>
      </c>
      <c r="L24" s="78">
        <f>ABS('Annual Calculations'!$Q$8)*(1+$C$3)^L$176</f>
        <v>125.80223994193462</v>
      </c>
      <c r="M24" s="78">
        <f>ABS('Annual Calculations'!$Q$8)*(1+$C$3)^M$176</f>
        <v>131.33753849937975</v>
      </c>
      <c r="N24" s="78">
        <f>ABS('Annual Calculations'!$Q$8)*(1+$C$3)^N$176</f>
        <v>137.11639019335246</v>
      </c>
      <c r="O24" s="78">
        <f>ABS('Annual Calculations'!$Q$8)*(1+$C$3)^O$176</f>
        <v>143.14951136185999</v>
      </c>
      <c r="P24" s="78">
        <f>ABS('Annual Calculations'!$Q$8)*(1+$C$3)^P$176</f>
        <v>149.44808986178182</v>
      </c>
      <c r="Q24" s="78">
        <f>ABS('Annual Calculations'!$Q$8)*(1+$C$3)^Q$176</f>
        <v>156.0238058157002</v>
      </c>
      <c r="R24" s="78">
        <f>ABS('Annual Calculations'!$Q$8)*(1+$C$3)^R$176</f>
        <v>162.88885327159102</v>
      </c>
      <c r="S24" s="78">
        <f>ABS('Annual Calculations'!$Q$8)*(1+$C$3)^S$176</f>
        <v>170.05596281554105</v>
      </c>
      <c r="T24" s="78">
        <f>ABS('Annual Calculations'!$Q$8)*(1+$C$3)^T$176</f>
        <v>177.53842517942485</v>
      </c>
      <c r="U24" s="78">
        <f>ABS('Annual Calculations'!$Q$8)*(1+$C$3)^U$176</f>
        <v>185.35011588731953</v>
      </c>
      <c r="V24" s="78">
        <f>ABS('Annual Calculations'!$Q$8)*(1+$C$3)^V$176</f>
        <v>193.5055209863616</v>
      </c>
      <c r="W24" s="78">
        <f>ABS('Annual Calculations'!$Q$8)*(1+$C$3)^W$176</f>
        <v>202.01976390976154</v>
      </c>
      <c r="X24" s="78">
        <f>ABS('Annual Calculations'!$Q$8)*(1+$C$3)^X$176</f>
        <v>210.90863352179105</v>
      </c>
      <c r="Y24" s="78">
        <f>ABS('Annual Calculations'!$Q$8)*(1+$C$3)^Y$176</f>
        <v>220.18861339674982</v>
      </c>
      <c r="Z24" s="78">
        <f>ABS('Annual Calculations'!$Q$8)*(1+$C$3)^Z$176</f>
        <v>229.87691238620684</v>
      </c>
      <c r="AA24" s="78">
        <f>ABS('Annual Calculations'!$Q$8)*(1+$C$3)^AA$176</f>
        <v>239.99149653119997</v>
      </c>
      <c r="AB24" s="78">
        <f>ABS('Annual Calculations'!$Q$8)*(1+$C$3)^AB$176</f>
        <v>250.55112237857276</v>
      </c>
      <c r="AC24" s="78">
        <f>ABS('Annual Calculations'!$Q$8)*(1+$C$3)^AC$176</f>
        <v>261.57537176322995</v>
      </c>
      <c r="AD24" s="78">
        <f>ABS('Annual Calculations'!$Q$8)*(1+$C$3)^AD$176</f>
        <v>273.08468812081207</v>
      </c>
      <c r="AE24" s="78">
        <f>ABS('Annual Calculations'!$Q$8)*(1+$C$3)^AE$176</f>
        <v>285.10041439812784</v>
      </c>
      <c r="AF24" s="78">
        <f>ABS('Annual Calculations'!$Q$8)*(1+$C$3)^AF$176</f>
        <v>297.64483263164544</v>
      </c>
      <c r="AG24" s="78">
        <f>ABS('Annual Calculations'!$Q$8)*(1+$C$3)^AG$176</f>
        <v>310.74120526743781</v>
      </c>
      <c r="AH24" s="78">
        <f>ABS('Annual Calculations'!$Q$8)*(1+$C$3)^AH$176</f>
        <v>324.4138182992051</v>
      </c>
      <c r="AI24" s="78">
        <f>ABS('Annual Calculations'!$Q$8)*(1+$C$3)^AI$176</f>
        <v>338.68802630437023</v>
      </c>
      <c r="AJ24" s="78">
        <f>ABS('Annual Calculations'!$Q$8)*(1+$C$3)^AJ$176</f>
        <v>353.59029946176241</v>
      </c>
      <c r="AK24" s="78">
        <f>ABS('Annual Calculations'!$Q$8)*(1+$C$3)^AK$176</f>
        <v>369.14827263808002</v>
      </c>
      <c r="AL24" s="78">
        <f>ABS('Annual Calculations'!$Q$8)*(1+$C$3)^AL$176</f>
        <v>385.39079663415549</v>
      </c>
      <c r="AM24" s="78">
        <f>ABS('Annual Calculations'!$Q$8)*(1+$C$3)^AM$176</f>
        <v>402.34799168605838</v>
      </c>
      <c r="AN24" s="78">
        <f>ABS('Annual Calculations'!$Q$8)*(1+$C$3)^AN$176</f>
        <v>420.05130332024498</v>
      </c>
      <c r="AO24" s="78">
        <f>ABS('Annual Calculations'!$Q$8)*(1+$C$3)^AO$176</f>
        <v>438.53356066633575</v>
      </c>
      <c r="AP24" s="78">
        <f>ABS('Annual Calculations'!$Q$8)*(1+$C$3)^AP$176</f>
        <v>457.82903733565456</v>
      </c>
      <c r="AQ24" s="78">
        <f>ABS('Annual Calculations'!$Q$8)*(1+$C$3)^AQ$176</f>
        <v>477.9735149784234</v>
      </c>
      <c r="AR24" s="78">
        <f>ABS('Annual Calculations'!$Q$8)*(1+$C$3)^AR$176</f>
        <v>499.00434963747398</v>
      </c>
      <c r="AS24" s="78">
        <f>ABS('Annual Calculations'!$Q$8)*(1+$C$3)^AS$176</f>
        <v>520.96054102152289</v>
      </c>
      <c r="AT24" s="78">
        <f>ABS('Annual Calculations'!$Q$8)*(1+$C$3)^AT$176</f>
        <v>543.88280482646985</v>
      </c>
      <c r="AU24" s="78">
        <f>ABS('Annual Calculations'!$Q$8)*(1+$C$3)^AU$176</f>
        <v>567.81364823883462</v>
      </c>
      <c r="AV24" s="78">
        <f>ABS('Annual Calculations'!$Q$8)*(1+$C$3)^AV$176</f>
        <v>592.79744876134328</v>
      </c>
      <c r="AW24" s="78">
        <f>ABS('Annual Calculations'!$Q$8)*(1+$C$3)^AW$176</f>
        <v>618.88053650684242</v>
      </c>
      <c r="AX24" s="78">
        <f>ABS('Annual Calculations'!$Q$8)*(1+$C$3)^AX$176</f>
        <v>646.11128011314349</v>
      </c>
      <c r="AY24" s="78">
        <f>ABS('Annual Calculations'!$Q$8)*(1+$C$3)^AY$176</f>
        <v>674.54017643812188</v>
      </c>
      <c r="AZ24" s="78">
        <f>ABS('Annual Calculations'!$Q$8)*(1+$C$3)^AZ$176</f>
        <v>704.21994420139913</v>
      </c>
      <c r="BA24" s="78">
        <f>ABS('Annual Calculations'!$Q$8)*(1+$C$3)^BA$176</f>
        <v>735.2056217462607</v>
      </c>
      <c r="BB24" s="78">
        <f>ABS('Annual Calculations'!$Q$8)*(1+$C$3)^BB$176</f>
        <v>767.55466910309633</v>
      </c>
    </row>
    <row r="25" spans="1:54" s="76" customFormat="1" x14ac:dyDescent="0.25">
      <c r="A25" s="180"/>
      <c r="B25" s="76" t="s">
        <v>357</v>
      </c>
      <c r="C25" s="77" t="s">
        <v>362</v>
      </c>
      <c r="D25" s="76">
        <v>0</v>
      </c>
      <c r="E25" s="78">
        <f t="shared" ref="E25:AJ25" si="12">0*(1+$C$3)^E$176</f>
        <v>0</v>
      </c>
      <c r="F25" s="78">
        <f t="shared" si="12"/>
        <v>0</v>
      </c>
      <c r="G25" s="78">
        <f t="shared" si="12"/>
        <v>0</v>
      </c>
      <c r="H25" s="78">
        <f t="shared" si="12"/>
        <v>0</v>
      </c>
      <c r="I25" s="78">
        <f t="shared" si="12"/>
        <v>0</v>
      </c>
      <c r="J25" s="78">
        <f t="shared" si="12"/>
        <v>0</v>
      </c>
      <c r="K25" s="78">
        <f t="shared" si="12"/>
        <v>0</v>
      </c>
      <c r="L25" s="78">
        <f t="shared" si="12"/>
        <v>0</v>
      </c>
      <c r="M25" s="78">
        <f t="shared" si="12"/>
        <v>0</v>
      </c>
      <c r="N25" s="78">
        <f t="shared" si="12"/>
        <v>0</v>
      </c>
      <c r="O25" s="78">
        <f t="shared" si="12"/>
        <v>0</v>
      </c>
      <c r="P25" s="78">
        <f t="shared" si="12"/>
        <v>0</v>
      </c>
      <c r="Q25" s="78">
        <f t="shared" si="12"/>
        <v>0</v>
      </c>
      <c r="R25" s="78">
        <f t="shared" si="12"/>
        <v>0</v>
      </c>
      <c r="S25" s="78">
        <f t="shared" si="12"/>
        <v>0</v>
      </c>
      <c r="T25" s="78">
        <f t="shared" si="12"/>
        <v>0</v>
      </c>
      <c r="U25" s="78">
        <f t="shared" si="12"/>
        <v>0</v>
      </c>
      <c r="V25" s="78">
        <f t="shared" si="12"/>
        <v>0</v>
      </c>
      <c r="W25" s="78">
        <f t="shared" si="12"/>
        <v>0</v>
      </c>
      <c r="X25" s="78">
        <f t="shared" si="12"/>
        <v>0</v>
      </c>
      <c r="Y25" s="78">
        <f t="shared" si="12"/>
        <v>0</v>
      </c>
      <c r="Z25" s="78">
        <f t="shared" si="12"/>
        <v>0</v>
      </c>
      <c r="AA25" s="78">
        <f t="shared" si="12"/>
        <v>0</v>
      </c>
      <c r="AB25" s="78">
        <f t="shared" si="12"/>
        <v>0</v>
      </c>
      <c r="AC25" s="78">
        <f t="shared" si="12"/>
        <v>0</v>
      </c>
      <c r="AD25" s="78">
        <f t="shared" si="12"/>
        <v>0</v>
      </c>
      <c r="AE25" s="78">
        <f t="shared" si="12"/>
        <v>0</v>
      </c>
      <c r="AF25" s="78">
        <f t="shared" si="12"/>
        <v>0</v>
      </c>
      <c r="AG25" s="78">
        <f t="shared" si="12"/>
        <v>0</v>
      </c>
      <c r="AH25" s="78">
        <f t="shared" si="12"/>
        <v>0</v>
      </c>
      <c r="AI25" s="78">
        <f t="shared" si="12"/>
        <v>0</v>
      </c>
      <c r="AJ25" s="78">
        <f t="shared" si="12"/>
        <v>0</v>
      </c>
      <c r="AK25" s="78">
        <f t="shared" ref="AK25:BB25" si="13">0*(1+$C$3)^AK$176</f>
        <v>0</v>
      </c>
      <c r="AL25" s="78">
        <f t="shared" si="13"/>
        <v>0</v>
      </c>
      <c r="AM25" s="78">
        <f t="shared" si="13"/>
        <v>0</v>
      </c>
      <c r="AN25" s="78">
        <f t="shared" si="13"/>
        <v>0</v>
      </c>
      <c r="AO25" s="78">
        <f t="shared" si="13"/>
        <v>0</v>
      </c>
      <c r="AP25" s="78">
        <f t="shared" si="13"/>
        <v>0</v>
      </c>
      <c r="AQ25" s="78">
        <f t="shared" si="13"/>
        <v>0</v>
      </c>
      <c r="AR25" s="78">
        <f t="shared" si="13"/>
        <v>0</v>
      </c>
      <c r="AS25" s="78">
        <f t="shared" si="13"/>
        <v>0</v>
      </c>
      <c r="AT25" s="78">
        <f t="shared" si="13"/>
        <v>0</v>
      </c>
      <c r="AU25" s="78">
        <f t="shared" si="13"/>
        <v>0</v>
      </c>
      <c r="AV25" s="78">
        <f t="shared" si="13"/>
        <v>0</v>
      </c>
      <c r="AW25" s="78">
        <f t="shared" si="13"/>
        <v>0</v>
      </c>
      <c r="AX25" s="78">
        <f t="shared" si="13"/>
        <v>0</v>
      </c>
      <c r="AY25" s="78">
        <f t="shared" si="13"/>
        <v>0</v>
      </c>
      <c r="AZ25" s="78">
        <f t="shared" si="13"/>
        <v>0</v>
      </c>
      <c r="BA25" s="78">
        <f t="shared" si="13"/>
        <v>0</v>
      </c>
      <c r="BB25" s="78">
        <f t="shared" si="13"/>
        <v>0</v>
      </c>
    </row>
    <row r="26" spans="1:54" s="76" customFormat="1" x14ac:dyDescent="0.25">
      <c r="A26" s="180"/>
      <c r="B26" s="76" t="s">
        <v>358</v>
      </c>
      <c r="C26" s="77" t="s">
        <v>362</v>
      </c>
      <c r="D26" s="76">
        <f>SUM(D23:D25)</f>
        <v>-370.2</v>
      </c>
      <c r="E26" s="78">
        <f t="shared" ref="E26:BB26" si="14">SUM(E23:E25)</f>
        <v>93.064678899702585</v>
      </c>
      <c r="F26" s="78">
        <f t="shared" si="14"/>
        <v>97.159524771289497</v>
      </c>
      <c r="G26" s="78">
        <f t="shared" si="14"/>
        <v>101.43454386122626</v>
      </c>
      <c r="H26" s="78">
        <f t="shared" si="14"/>
        <v>105.89766379112019</v>
      </c>
      <c r="I26" s="78">
        <f t="shared" si="14"/>
        <v>110.55716099792949</v>
      </c>
      <c r="J26" s="78">
        <f t="shared" si="14"/>
        <v>115.4216760818384</v>
      </c>
      <c r="K26" s="78">
        <f t="shared" si="14"/>
        <v>120.50022982943931</v>
      </c>
      <c r="L26" s="78">
        <f t="shared" si="14"/>
        <v>125.80223994193462</v>
      </c>
      <c r="M26" s="78">
        <f t="shared" si="14"/>
        <v>131.33753849937975</v>
      </c>
      <c r="N26" s="78">
        <f t="shared" si="14"/>
        <v>-24.391701498385288</v>
      </c>
      <c r="O26" s="78">
        <f t="shared" si="14"/>
        <v>143.14951136185999</v>
      </c>
      <c r="P26" s="78">
        <f t="shared" si="14"/>
        <v>149.44808986178182</v>
      </c>
      <c r="Q26" s="78">
        <f t="shared" si="14"/>
        <v>156.0238058157002</v>
      </c>
      <c r="R26" s="78">
        <f t="shared" si="14"/>
        <v>162.88885327159102</v>
      </c>
      <c r="S26" s="78">
        <f t="shared" si="14"/>
        <v>170.05596281554105</v>
      </c>
      <c r="T26" s="78">
        <f t="shared" si="14"/>
        <v>-350.64102286113814</v>
      </c>
      <c r="U26" s="78">
        <f t="shared" si="14"/>
        <v>185.35011588731953</v>
      </c>
      <c r="V26" s="78">
        <f t="shared" si="14"/>
        <v>193.5055209863616</v>
      </c>
      <c r="W26" s="78">
        <f t="shared" si="14"/>
        <v>202.01976390976154</v>
      </c>
      <c r="X26" s="78">
        <f t="shared" si="14"/>
        <v>-37.518639639225768</v>
      </c>
      <c r="Y26" s="78">
        <f t="shared" si="14"/>
        <v>220.18861339674982</v>
      </c>
      <c r="Z26" s="78">
        <f t="shared" si="14"/>
        <v>229.87691238620684</v>
      </c>
      <c r="AA26" s="78">
        <f t="shared" si="14"/>
        <v>239.99149653119997</v>
      </c>
      <c r="AB26" s="78">
        <f t="shared" si="14"/>
        <v>250.55112237857276</v>
      </c>
      <c r="AC26" s="78">
        <f t="shared" si="14"/>
        <v>261.57537176322995</v>
      </c>
      <c r="AD26" s="78">
        <f t="shared" si="14"/>
        <v>273.08468812081207</v>
      </c>
      <c r="AE26" s="78">
        <f t="shared" si="14"/>
        <v>285.10041439812784</v>
      </c>
      <c r="AF26" s="78">
        <f t="shared" si="14"/>
        <v>297.64483263164544</v>
      </c>
      <c r="AG26" s="78">
        <f t="shared" si="14"/>
        <v>310.74120526743781</v>
      </c>
      <c r="AH26" s="78">
        <f t="shared" si="14"/>
        <v>-57.710132295250901</v>
      </c>
      <c r="AI26" s="78">
        <f t="shared" si="14"/>
        <v>338.68802630437023</v>
      </c>
      <c r="AJ26" s="78">
        <f t="shared" si="14"/>
        <v>-698.34608565299527</v>
      </c>
      <c r="AK26" s="78">
        <f t="shared" si="14"/>
        <v>369.14827263808002</v>
      </c>
      <c r="AL26" s="78">
        <f t="shared" si="14"/>
        <v>385.39079663415549</v>
      </c>
      <c r="AM26" s="78">
        <f t="shared" si="14"/>
        <v>402.34799168605838</v>
      </c>
      <c r="AN26" s="78">
        <f t="shared" si="14"/>
        <v>420.05130332024498</v>
      </c>
      <c r="AO26" s="78">
        <f t="shared" si="14"/>
        <v>438.53356066633575</v>
      </c>
      <c r="AP26" s="78">
        <f t="shared" si="14"/>
        <v>457.82903733565456</v>
      </c>
      <c r="AQ26" s="78">
        <f t="shared" si="14"/>
        <v>477.9735149784234</v>
      </c>
      <c r="AR26" s="78">
        <f t="shared" si="14"/>
        <v>-88.768127031273252</v>
      </c>
      <c r="AS26" s="78">
        <f t="shared" si="14"/>
        <v>520.96054102152289</v>
      </c>
      <c r="AT26" s="78">
        <f t="shared" si="14"/>
        <v>543.88280482646985</v>
      </c>
      <c r="AU26" s="78">
        <f t="shared" si="14"/>
        <v>567.81364823883462</v>
      </c>
      <c r="AV26" s="78">
        <f t="shared" si="14"/>
        <v>592.79744876134328</v>
      </c>
      <c r="AW26" s="78">
        <f t="shared" si="14"/>
        <v>618.88053650684242</v>
      </c>
      <c r="AX26" s="78">
        <f t="shared" si="14"/>
        <v>646.11128011314349</v>
      </c>
      <c r="AY26" s="78">
        <f t="shared" si="14"/>
        <v>674.54017643812188</v>
      </c>
      <c r="AZ26" s="78">
        <f t="shared" si="14"/>
        <v>704.21994420139913</v>
      </c>
      <c r="BA26" s="78">
        <f t="shared" si="14"/>
        <v>735.2056217462607</v>
      </c>
      <c r="BB26" s="78">
        <f t="shared" si="14"/>
        <v>767.55466910309633</v>
      </c>
    </row>
    <row r="27" spans="1:54" s="76" customFormat="1" x14ac:dyDescent="0.25">
      <c r="A27" s="180"/>
      <c r="B27" s="76" t="s">
        <v>359</v>
      </c>
      <c r="C27" s="77"/>
      <c r="D27" s="76">
        <f t="shared" ref="D27:AI27" si="15">(1+$C$2)^D$176</f>
        <v>1</v>
      </c>
      <c r="E27" s="79">
        <f t="shared" si="15"/>
        <v>1.1499999999999999</v>
      </c>
      <c r="F27" s="79">
        <f t="shared" si="15"/>
        <v>1.3224999999999998</v>
      </c>
      <c r="G27" s="79">
        <f t="shared" si="15"/>
        <v>1.5208749999999995</v>
      </c>
      <c r="H27" s="79">
        <f t="shared" si="15"/>
        <v>1.7490062499999994</v>
      </c>
      <c r="I27" s="79">
        <f t="shared" si="15"/>
        <v>2.0113571874999994</v>
      </c>
      <c r="J27" s="79">
        <f t="shared" si="15"/>
        <v>2.3130607656249991</v>
      </c>
      <c r="K27" s="79">
        <f t="shared" si="15"/>
        <v>2.6600198804687483</v>
      </c>
      <c r="L27" s="79">
        <f t="shared" si="15"/>
        <v>3.0590228625390603</v>
      </c>
      <c r="M27" s="79">
        <f t="shared" si="15"/>
        <v>3.5178762919199191</v>
      </c>
      <c r="N27" s="79">
        <f t="shared" si="15"/>
        <v>4.0455577357079067</v>
      </c>
      <c r="O27" s="79">
        <f t="shared" si="15"/>
        <v>4.6523913960640924</v>
      </c>
      <c r="P27" s="79">
        <f t="shared" si="15"/>
        <v>5.3502501054737053</v>
      </c>
      <c r="Q27" s="79">
        <f t="shared" si="15"/>
        <v>6.1527876212947614</v>
      </c>
      <c r="R27" s="79">
        <f t="shared" si="15"/>
        <v>7.0757057644889754</v>
      </c>
      <c r="S27" s="79">
        <f t="shared" si="15"/>
        <v>8.1370616291623197</v>
      </c>
      <c r="T27" s="79">
        <f t="shared" si="15"/>
        <v>9.3576208735366659</v>
      </c>
      <c r="U27" s="79">
        <f t="shared" si="15"/>
        <v>10.761264004567165</v>
      </c>
      <c r="V27" s="79">
        <f t="shared" si="15"/>
        <v>12.375453605252238</v>
      </c>
      <c r="W27" s="79">
        <f t="shared" si="15"/>
        <v>14.231771646040073</v>
      </c>
      <c r="X27" s="79">
        <f t="shared" si="15"/>
        <v>16.366537392946082</v>
      </c>
      <c r="Y27" s="79">
        <f t="shared" si="15"/>
        <v>18.821518001887995</v>
      </c>
      <c r="Z27" s="79">
        <f t="shared" si="15"/>
        <v>21.644745702171193</v>
      </c>
      <c r="AA27" s="79">
        <f t="shared" si="15"/>
        <v>24.891457557496867</v>
      </c>
      <c r="AB27" s="79">
        <f t="shared" si="15"/>
        <v>28.625176191121394</v>
      </c>
      <c r="AC27" s="79">
        <f t="shared" si="15"/>
        <v>32.9189526197896</v>
      </c>
      <c r="AD27" s="79">
        <f t="shared" si="15"/>
        <v>37.85679551275804</v>
      </c>
      <c r="AE27" s="79">
        <f t="shared" si="15"/>
        <v>43.535314839671742</v>
      </c>
      <c r="AF27" s="79">
        <f t="shared" si="15"/>
        <v>50.065612065622496</v>
      </c>
      <c r="AG27" s="79">
        <f t="shared" si="15"/>
        <v>57.575453875465868</v>
      </c>
      <c r="AH27" s="79">
        <f t="shared" si="15"/>
        <v>66.211771956785753</v>
      </c>
      <c r="AI27" s="79">
        <f t="shared" si="15"/>
        <v>76.143537750303594</v>
      </c>
      <c r="AJ27" s="79">
        <f t="shared" ref="AJ27:BB27" si="16">(1+$C$2)^AJ$176</f>
        <v>87.565068412849115</v>
      </c>
      <c r="AK27" s="79">
        <f t="shared" si="16"/>
        <v>100.69982867477647</v>
      </c>
      <c r="AL27" s="79">
        <f t="shared" si="16"/>
        <v>115.80480297599294</v>
      </c>
      <c r="AM27" s="79">
        <f t="shared" si="16"/>
        <v>133.17552342239185</v>
      </c>
      <c r="AN27" s="79">
        <f t="shared" si="16"/>
        <v>153.15185193575064</v>
      </c>
      <c r="AO27" s="79">
        <f t="shared" si="16"/>
        <v>176.12462972611323</v>
      </c>
      <c r="AP27" s="79">
        <f t="shared" si="16"/>
        <v>202.5433241850302</v>
      </c>
      <c r="AQ27" s="79">
        <f t="shared" si="16"/>
        <v>232.92482281278467</v>
      </c>
      <c r="AR27" s="79">
        <f t="shared" si="16"/>
        <v>267.86354623470237</v>
      </c>
      <c r="AS27" s="79">
        <f t="shared" si="16"/>
        <v>308.04307816990769</v>
      </c>
      <c r="AT27" s="79">
        <f t="shared" si="16"/>
        <v>354.24953989539381</v>
      </c>
      <c r="AU27" s="79">
        <f t="shared" si="16"/>
        <v>407.38697087970286</v>
      </c>
      <c r="AV27" s="79">
        <f t="shared" si="16"/>
        <v>468.49501651165821</v>
      </c>
      <c r="AW27" s="79">
        <f t="shared" si="16"/>
        <v>538.76926898840691</v>
      </c>
      <c r="AX27" s="79">
        <f t="shared" si="16"/>
        <v>619.58465933666798</v>
      </c>
      <c r="AY27" s="79">
        <f t="shared" si="16"/>
        <v>712.52235823716796</v>
      </c>
      <c r="AZ27" s="79">
        <f t="shared" si="16"/>
        <v>819.40071197274301</v>
      </c>
      <c r="BA27" s="79">
        <f t="shared" si="16"/>
        <v>942.31081876865449</v>
      </c>
      <c r="BB27" s="79">
        <f t="shared" si="16"/>
        <v>1083.6574415839525</v>
      </c>
    </row>
    <row r="28" spans="1:54" s="76" customFormat="1" x14ac:dyDescent="0.25">
      <c r="A28" s="180"/>
      <c r="B28" s="76" t="s">
        <v>360</v>
      </c>
      <c r="C28" s="77" t="s">
        <v>362</v>
      </c>
      <c r="D28" s="76">
        <f>D26/D27</f>
        <v>-370.2</v>
      </c>
      <c r="E28" s="78">
        <f>E26/E27</f>
        <v>80.925807738871825</v>
      </c>
      <c r="F28" s="78">
        <f>F26/F27</f>
        <v>73.466559373375816</v>
      </c>
      <c r="G28" s="78">
        <f t="shared" ref="G28:BB28" si="17">G26/G27</f>
        <v>66.694859118090761</v>
      </c>
      <c r="H28" s="78">
        <f t="shared" si="17"/>
        <v>60.547332973292825</v>
      </c>
      <c r="I28" s="78">
        <f t="shared" si="17"/>
        <v>54.966448368798005</v>
      </c>
      <c r="J28" s="78">
        <f t="shared" si="17"/>
        <v>49.899975736543595</v>
      </c>
      <c r="K28" s="78">
        <f t="shared" si="17"/>
        <v>45.300499712131767</v>
      </c>
      <c r="L28" s="78">
        <f t="shared" si="17"/>
        <v>41.124975390839616</v>
      </c>
      <c r="M28" s="78">
        <f t="shared" si="17"/>
        <v>37.334325485249188</v>
      </c>
      <c r="N28" s="78">
        <f t="shared" si="17"/>
        <v>-6.0292555666906429</v>
      </c>
      <c r="O28" s="78">
        <f t="shared" si="17"/>
        <v>30.76901730214788</v>
      </c>
      <c r="P28" s="78">
        <f t="shared" si="17"/>
        <v>27.932916576906429</v>
      </c>
      <c r="Q28" s="78">
        <f t="shared" si="17"/>
        <v>25.358230353295916</v>
      </c>
      <c r="R28" s="78">
        <f t="shared" si="17"/>
        <v>23.020863033774731</v>
      </c>
      <c r="S28" s="78">
        <f t="shared" si="17"/>
        <v>20.898940006313765</v>
      </c>
      <c r="T28" s="78">
        <f t="shared" si="17"/>
        <v>-37.47117217077583</v>
      </c>
      <c r="U28" s="78">
        <f t="shared" si="17"/>
        <v>17.223823875025786</v>
      </c>
      <c r="V28" s="78">
        <f t="shared" si="17"/>
        <v>15.636236630892977</v>
      </c>
      <c r="W28" s="78">
        <f t="shared" si="17"/>
        <v>14.194983515349801</v>
      </c>
      <c r="X28" s="78">
        <f t="shared" si="17"/>
        <v>-2.292399347426791</v>
      </c>
      <c r="Y28" s="78">
        <f t="shared" si="17"/>
        <v>11.698770172239168</v>
      </c>
      <c r="Z28" s="78">
        <f t="shared" si="17"/>
        <v>10.62044874766756</v>
      </c>
      <c r="AA28" s="78">
        <f t="shared" si="17"/>
        <v>9.6415204283173352</v>
      </c>
      <c r="AB28" s="78">
        <f t="shared" si="17"/>
        <v>8.752823762750694</v>
      </c>
      <c r="AC28" s="78">
        <f t="shared" si="17"/>
        <v>7.9460417463580226</v>
      </c>
      <c r="AD28" s="78">
        <f t="shared" si="17"/>
        <v>7.2136239853893702</v>
      </c>
      <c r="AE28" s="78">
        <f t="shared" si="17"/>
        <v>6.5487160354317426</v>
      </c>
      <c r="AF28" s="78">
        <f t="shared" si="17"/>
        <v>5.9450952530354257</v>
      </c>
      <c r="AG28" s="78">
        <f t="shared" si="17"/>
        <v>5.397112560146943</v>
      </c>
      <c r="AH28" s="78">
        <f t="shared" si="17"/>
        <v>-0.87159927290446793</v>
      </c>
      <c r="AI28" s="78">
        <f t="shared" si="17"/>
        <v>4.4480206240879561</v>
      </c>
      <c r="AJ28" s="78">
        <f t="shared" si="17"/>
        <v>-7.9751674761499007</v>
      </c>
      <c r="AK28" s="78">
        <f t="shared" si="17"/>
        <v>3.6658282094033505</v>
      </c>
      <c r="AL28" s="78">
        <f t="shared" si="17"/>
        <v>3.3279344787974763</v>
      </c>
      <c r="AM28" s="78">
        <f t="shared" si="17"/>
        <v>3.0211857355344058</v>
      </c>
      <c r="AN28" s="78">
        <f t="shared" si="17"/>
        <v>2.7427112242590606</v>
      </c>
      <c r="AO28" s="78">
        <f t="shared" si="17"/>
        <v>2.489904798370834</v>
      </c>
      <c r="AP28" s="78">
        <f t="shared" si="17"/>
        <v>2.2604005299992616</v>
      </c>
      <c r="AQ28" s="78">
        <f t="shared" si="17"/>
        <v>2.0520505681036783</v>
      </c>
      <c r="AR28" s="78">
        <f t="shared" si="17"/>
        <v>-0.33139308531924871</v>
      </c>
      <c r="AS28" s="78">
        <f t="shared" si="17"/>
        <v>1.6911937905456718</v>
      </c>
      <c r="AT28" s="78">
        <f t="shared" si="17"/>
        <v>1.5353098411562447</v>
      </c>
      <c r="AU28" s="78">
        <f t="shared" si="17"/>
        <v>1.393794325362713</v>
      </c>
      <c r="AV28" s="78">
        <f t="shared" si="17"/>
        <v>1.2653228484162369</v>
      </c>
      <c r="AW28" s="78">
        <f t="shared" si="17"/>
        <v>1.1486930902143926</v>
      </c>
      <c r="AX28" s="78">
        <f t="shared" si="17"/>
        <v>1.0428135532033267</v>
      </c>
      <c r="AY28" s="78">
        <f t="shared" si="17"/>
        <v>0.94669334742980304</v>
      </c>
      <c r="AZ28" s="78">
        <f t="shared" si="17"/>
        <v>0.85943291714496906</v>
      </c>
      <c r="BA28" s="78">
        <f t="shared" si="17"/>
        <v>0.78021562217334584</v>
      </c>
      <c r="BB28" s="78">
        <f t="shared" si="17"/>
        <v>0.70830009525997684</v>
      </c>
    </row>
    <row r="29" spans="1:54" x14ac:dyDescent="0.25">
      <c r="A29" s="180"/>
      <c r="B29" s="76" t="s">
        <v>645</v>
      </c>
      <c r="C29" s="77" t="s">
        <v>362</v>
      </c>
      <c r="D29" s="76">
        <f>D28</f>
        <v>-370.2</v>
      </c>
      <c r="E29" s="78">
        <f>E28+D29</f>
        <v>-289.27419226112818</v>
      </c>
      <c r="F29" s="78">
        <f t="shared" ref="F29:BB29" si="18">F28+E29</f>
        <v>-215.80763288775236</v>
      </c>
      <c r="G29" s="78">
        <f t="shared" si="18"/>
        <v>-149.1127737696616</v>
      </c>
      <c r="H29" s="78">
        <f t="shared" si="18"/>
        <v>-88.565440796368776</v>
      </c>
      <c r="I29" s="78">
        <f t="shared" si="18"/>
        <v>-33.598992427570771</v>
      </c>
      <c r="J29" s="78">
        <f t="shared" si="18"/>
        <v>16.300983308972825</v>
      </c>
      <c r="K29" s="78">
        <f t="shared" si="18"/>
        <v>61.601483021104592</v>
      </c>
      <c r="L29" s="78">
        <f t="shared" si="18"/>
        <v>102.72645841194421</v>
      </c>
      <c r="M29" s="78">
        <f t="shared" si="18"/>
        <v>140.0607838971934</v>
      </c>
      <c r="N29" s="78">
        <f t="shared" si="18"/>
        <v>134.03152833050277</v>
      </c>
      <c r="O29" s="78">
        <f t="shared" si="18"/>
        <v>164.80054563265065</v>
      </c>
      <c r="P29" s="78">
        <f t="shared" si="18"/>
        <v>192.73346220955708</v>
      </c>
      <c r="Q29" s="78">
        <f t="shared" si="18"/>
        <v>218.09169256285298</v>
      </c>
      <c r="R29" s="78">
        <f t="shared" si="18"/>
        <v>241.11255559662771</v>
      </c>
      <c r="S29" s="78">
        <f t="shared" si="18"/>
        <v>262.01149560294147</v>
      </c>
      <c r="T29" s="78">
        <f t="shared" si="18"/>
        <v>224.54032343216562</v>
      </c>
      <c r="U29" s="78">
        <f t="shared" si="18"/>
        <v>241.76414730719142</v>
      </c>
      <c r="V29" s="78">
        <f t="shared" si="18"/>
        <v>257.40038393808442</v>
      </c>
      <c r="W29" s="78">
        <f t="shared" si="18"/>
        <v>271.59536745343422</v>
      </c>
      <c r="X29" s="78">
        <f t="shared" si="18"/>
        <v>269.30296810600743</v>
      </c>
      <c r="Y29" s="78">
        <f t="shared" si="18"/>
        <v>281.00173827824659</v>
      </c>
      <c r="Z29" s="78">
        <f t="shared" si="18"/>
        <v>291.62218702591417</v>
      </c>
      <c r="AA29" s="78">
        <f t="shared" si="18"/>
        <v>301.26370745423151</v>
      </c>
      <c r="AB29" s="78">
        <f t="shared" si="18"/>
        <v>310.01653121698223</v>
      </c>
      <c r="AC29" s="78">
        <f t="shared" si="18"/>
        <v>317.96257296334028</v>
      </c>
      <c r="AD29" s="78">
        <f t="shared" si="18"/>
        <v>325.17619694872963</v>
      </c>
      <c r="AE29" s="78">
        <f t="shared" si="18"/>
        <v>331.72491298416139</v>
      </c>
      <c r="AF29" s="78">
        <f t="shared" si="18"/>
        <v>337.67000823719684</v>
      </c>
      <c r="AG29" s="78">
        <f t="shared" si="18"/>
        <v>343.06712079734376</v>
      </c>
      <c r="AH29" s="78">
        <f t="shared" si="18"/>
        <v>342.1955215244393</v>
      </c>
      <c r="AI29" s="78">
        <f t="shared" si="18"/>
        <v>346.64354214852727</v>
      </c>
      <c r="AJ29" s="78">
        <f t="shared" si="18"/>
        <v>338.66837467237735</v>
      </c>
      <c r="AK29" s="78">
        <f t="shared" si="18"/>
        <v>342.3342028817807</v>
      </c>
      <c r="AL29" s="78">
        <f t="shared" si="18"/>
        <v>345.66213736057819</v>
      </c>
      <c r="AM29" s="78">
        <f t="shared" si="18"/>
        <v>348.68332309611259</v>
      </c>
      <c r="AN29" s="78">
        <f t="shared" si="18"/>
        <v>351.42603432037163</v>
      </c>
      <c r="AO29" s="78">
        <f t="shared" si="18"/>
        <v>353.91593911874247</v>
      </c>
      <c r="AP29" s="78">
        <f t="shared" si="18"/>
        <v>356.17633964874176</v>
      </c>
      <c r="AQ29" s="78">
        <f t="shared" si="18"/>
        <v>358.22839021684541</v>
      </c>
      <c r="AR29" s="78">
        <f t="shared" si="18"/>
        <v>357.89699713152618</v>
      </c>
      <c r="AS29" s="78">
        <f t="shared" si="18"/>
        <v>359.58819092207187</v>
      </c>
      <c r="AT29" s="78">
        <f t="shared" si="18"/>
        <v>361.12350076322809</v>
      </c>
      <c r="AU29" s="78">
        <f t="shared" si="18"/>
        <v>362.5172950885908</v>
      </c>
      <c r="AV29" s="78">
        <f t="shared" si="18"/>
        <v>363.78261793700705</v>
      </c>
      <c r="AW29" s="78">
        <f t="shared" si="18"/>
        <v>364.93131102722145</v>
      </c>
      <c r="AX29" s="78">
        <f t="shared" si="18"/>
        <v>365.97412458042476</v>
      </c>
      <c r="AY29" s="78">
        <f t="shared" si="18"/>
        <v>366.92081792785456</v>
      </c>
      <c r="AZ29" s="78">
        <f t="shared" si="18"/>
        <v>367.7802508449995</v>
      </c>
      <c r="BA29" s="78">
        <f t="shared" si="18"/>
        <v>368.56046646717283</v>
      </c>
      <c r="BB29" s="78">
        <f t="shared" si="18"/>
        <v>369.2687665624328</v>
      </c>
    </row>
    <row r="30" spans="1:54" x14ac:dyDescent="0.25">
      <c r="A30" s="180"/>
      <c r="B30" s="80" t="s">
        <v>361</v>
      </c>
      <c r="C30" s="81" t="s">
        <v>362</v>
      </c>
      <c r="D30" s="92">
        <f>SUM(D28:BB28)</f>
        <v>369.2687665624328</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row>
    <row r="31" spans="1:54" x14ac:dyDescent="0.25">
      <c r="A31" s="178" t="s">
        <v>4</v>
      </c>
      <c r="B31" t="s">
        <v>363</v>
      </c>
      <c r="C31" s="72" t="s">
        <v>362</v>
      </c>
      <c r="D31">
        <f>-100</f>
        <v>-100</v>
      </c>
      <c r="E31">
        <v>0</v>
      </c>
      <c r="F31">
        <v>0</v>
      </c>
      <c r="G31">
        <v>0</v>
      </c>
      <c r="H31">
        <v>0</v>
      </c>
      <c r="I31">
        <v>0</v>
      </c>
      <c r="J31">
        <v>0</v>
      </c>
      <c r="K31">
        <v>0</v>
      </c>
      <c r="L31">
        <v>0</v>
      </c>
      <c r="M31">
        <v>0</v>
      </c>
      <c r="N31">
        <v>0</v>
      </c>
      <c r="O31">
        <v>0</v>
      </c>
      <c r="P31">
        <v>0</v>
      </c>
      <c r="Q31">
        <v>0</v>
      </c>
      <c r="R31">
        <v>0</v>
      </c>
      <c r="S31">
        <v>0</v>
      </c>
      <c r="T31">
        <f>-100*(1+$C$1)^T6</f>
        <v>-199.16268779810068</v>
      </c>
      <c r="U31">
        <v>0</v>
      </c>
      <c r="V31">
        <v>0</v>
      </c>
      <c r="W31">
        <v>0</v>
      </c>
      <c r="X31">
        <v>0</v>
      </c>
      <c r="Y31">
        <v>0</v>
      </c>
      <c r="Z31">
        <v>0</v>
      </c>
      <c r="AA31">
        <v>0</v>
      </c>
      <c r="AB31">
        <v>0</v>
      </c>
      <c r="AC31">
        <v>0</v>
      </c>
      <c r="AD31">
        <v>0</v>
      </c>
      <c r="AE31">
        <v>0</v>
      </c>
      <c r="AF31">
        <v>0</v>
      </c>
      <c r="AG31">
        <v>0</v>
      </c>
      <c r="AH31">
        <v>0</v>
      </c>
      <c r="AI31">
        <v>0</v>
      </c>
      <c r="AJ31">
        <f>-100*(1+$C$1)^AJ6</f>
        <v>-396.65776210963719</v>
      </c>
      <c r="AK31">
        <v>0</v>
      </c>
      <c r="AL31">
        <v>0</v>
      </c>
      <c r="AM31">
        <v>0</v>
      </c>
      <c r="AN31">
        <v>0</v>
      </c>
      <c r="AO31">
        <v>0</v>
      </c>
      <c r="AP31">
        <v>0</v>
      </c>
      <c r="AQ31">
        <v>0</v>
      </c>
      <c r="AR31">
        <v>0</v>
      </c>
      <c r="AS31">
        <v>0</v>
      </c>
      <c r="AT31">
        <v>0</v>
      </c>
      <c r="AU31">
        <v>0</v>
      </c>
      <c r="AV31">
        <v>0</v>
      </c>
      <c r="AW31">
        <v>0</v>
      </c>
      <c r="AX31">
        <v>0</v>
      </c>
      <c r="AY31">
        <v>0</v>
      </c>
      <c r="AZ31">
        <v>0</v>
      </c>
      <c r="BA31">
        <v>0</v>
      </c>
      <c r="BB31">
        <v>0</v>
      </c>
    </row>
    <row r="32" spans="1:54" x14ac:dyDescent="0.25">
      <c r="A32" s="178"/>
      <c r="B32" t="s">
        <v>356</v>
      </c>
      <c r="C32" s="72" t="s">
        <v>362</v>
      </c>
      <c r="D32">
        <v>0</v>
      </c>
      <c r="E32" s="18">
        <f>ABS('Annual Calculations'!$Q$9)*(1+$C$3)^E$176</f>
        <v>91.858865221558588</v>
      </c>
      <c r="F32" s="18">
        <f>ABS('Annual Calculations'!$Q$9)*(1+$C$3)^F$176</f>
        <v>95.900655291307174</v>
      </c>
      <c r="G32" s="18">
        <f>ABS('Annual Calculations'!$Q$9)*(1+$C$3)^G$176</f>
        <v>100.12028412412469</v>
      </c>
      <c r="H32" s="18">
        <f>ABS('Annual Calculations'!$Q$9)*(1+$C$3)^H$176</f>
        <v>104.52557662558618</v>
      </c>
      <c r="I32" s="18">
        <f>ABS('Annual Calculations'!$Q$9)*(1+$C$3)^I$176</f>
        <v>109.12470199711197</v>
      </c>
      <c r="J32" s="18">
        <f>ABS('Annual Calculations'!$Q$9)*(1+$C$3)^J$176</f>
        <v>113.92618888498491</v>
      </c>
      <c r="K32" s="18">
        <f>ABS('Annual Calculations'!$Q$9)*(1+$C$3)^K$176</f>
        <v>118.93894119592426</v>
      </c>
      <c r="L32" s="18">
        <f>ABS('Annual Calculations'!$Q$9)*(1+$C$3)^L$176</f>
        <v>124.17225460854492</v>
      </c>
      <c r="M32" s="18">
        <f>ABS('Annual Calculations'!$Q$9)*(1+$C$3)^M$176</f>
        <v>129.63583381132091</v>
      </c>
      <c r="N32" s="18">
        <f>ABS('Annual Calculations'!$Q$9)*(1+$C$3)^N$176</f>
        <v>135.33981049901902</v>
      </c>
      <c r="O32" s="18">
        <f>ABS('Annual Calculations'!$Q$9)*(1+$C$3)^O$176</f>
        <v>141.29476216097586</v>
      </c>
      <c r="P32" s="18">
        <f>ABS('Annual Calculations'!$Q$9)*(1+$C$3)^P$176</f>
        <v>147.5117316960588</v>
      </c>
      <c r="Q32" s="18">
        <f>ABS('Annual Calculations'!$Q$9)*(1+$C$3)^Q$176</f>
        <v>154.00224789068537</v>
      </c>
      <c r="R32" s="18">
        <f>ABS('Annual Calculations'!$Q$9)*(1+$C$3)^R$176</f>
        <v>160.77834679787554</v>
      </c>
      <c r="S32" s="18">
        <f>ABS('Annual Calculations'!$Q$9)*(1+$C$3)^S$176</f>
        <v>167.8525940569821</v>
      </c>
      <c r="T32" s="18">
        <f>ABS('Annual Calculations'!$Q$9)*(1+$C$3)^T$176</f>
        <v>175.23810819548927</v>
      </c>
      <c r="U32" s="18">
        <f>ABS('Annual Calculations'!$Q$9)*(1+$C$3)^U$176</f>
        <v>182.9485849560908</v>
      </c>
      <c r="V32" s="18">
        <f>ABS('Annual Calculations'!$Q$9)*(1+$C$3)^V$176</f>
        <v>190.99832269415882</v>
      </c>
      <c r="W32" s="18">
        <f>ABS('Annual Calculations'!$Q$9)*(1+$C$3)^W$176</f>
        <v>199.40224889270181</v>
      </c>
      <c r="X32" s="18">
        <f>ABS('Annual Calculations'!$Q$9)*(1+$C$3)^X$176</f>
        <v>208.17594784398071</v>
      </c>
      <c r="Y32" s="18">
        <f>ABS('Annual Calculations'!$Q$9)*(1+$C$3)^Y$176</f>
        <v>217.33568954911584</v>
      </c>
      <c r="Z32" s="18">
        <f>ABS('Annual Calculations'!$Q$9)*(1+$C$3)^Z$176</f>
        <v>226.89845988927695</v>
      </c>
      <c r="AA32" s="18">
        <f>ABS('Annual Calculations'!$Q$9)*(1+$C$3)^AA$176</f>
        <v>236.88199212440514</v>
      </c>
      <c r="AB32" s="18">
        <f>ABS('Annual Calculations'!$Q$9)*(1+$C$3)^AB$176</f>
        <v>247.304799777879</v>
      </c>
      <c r="AC32" s="18">
        <f>ABS('Annual Calculations'!$Q$9)*(1+$C$3)^AC$176</f>
        <v>258.18621096810568</v>
      </c>
      <c r="AD32" s="18">
        <f>ABS('Annual Calculations'!$Q$9)*(1+$C$3)^AD$176</f>
        <v>269.54640425070232</v>
      </c>
      <c r="AE32" s="18">
        <f>ABS('Annual Calculations'!$Q$9)*(1+$C$3)^AE$176</f>
        <v>281.40644603773325</v>
      </c>
      <c r="AF32" s="18">
        <f>ABS('Annual Calculations'!$Q$9)*(1+$C$3)^AF$176</f>
        <v>293.78832966339348</v>
      </c>
      <c r="AG32" s="18">
        <f>ABS('Annual Calculations'!$Q$9)*(1+$C$3)^AG$176</f>
        <v>306.71501616858279</v>
      </c>
      <c r="AH32" s="18">
        <f>ABS('Annual Calculations'!$Q$9)*(1+$C$3)^AH$176</f>
        <v>320.21047688000044</v>
      </c>
      <c r="AI32" s="18">
        <f>ABS('Annual Calculations'!$Q$9)*(1+$C$3)^AI$176</f>
        <v>334.29973786272052</v>
      </c>
      <c r="AJ32" s="18">
        <f>ABS('Annual Calculations'!$Q$9)*(1+$C$3)^AJ$176</f>
        <v>349.00892632868016</v>
      </c>
      <c r="AK32" s="18">
        <f>ABS('Annual Calculations'!$Q$9)*(1+$C$3)^AK$176</f>
        <v>364.36531908714215</v>
      </c>
      <c r="AL32" s="18">
        <f>ABS('Annual Calculations'!$Q$9)*(1+$C$3)^AL$176</f>
        <v>380.39739312697634</v>
      </c>
      <c r="AM32" s="18">
        <f>ABS('Annual Calculations'!$Q$9)*(1+$C$3)^AM$176</f>
        <v>397.13487842456334</v>
      </c>
      <c r="AN32" s="18">
        <f>ABS('Annual Calculations'!$Q$9)*(1+$C$3)^AN$176</f>
        <v>414.6088130752442</v>
      </c>
      <c r="AO32" s="18">
        <f>ABS('Annual Calculations'!$Q$9)*(1+$C$3)^AO$176</f>
        <v>432.85160085055486</v>
      </c>
      <c r="AP32" s="18">
        <f>ABS('Annual Calculations'!$Q$9)*(1+$C$3)^AP$176</f>
        <v>451.89707128797932</v>
      </c>
      <c r="AQ32" s="18">
        <f>ABS('Annual Calculations'!$Q$9)*(1+$C$3)^AQ$176</f>
        <v>471.78054242465049</v>
      </c>
      <c r="AR32" s="18">
        <f>ABS('Annual Calculations'!$Q$9)*(1+$C$3)^AR$176</f>
        <v>492.53888629133502</v>
      </c>
      <c r="AS32" s="18">
        <f>ABS('Annual Calculations'!$Q$9)*(1+$C$3)^AS$176</f>
        <v>514.21059728815385</v>
      </c>
      <c r="AT32" s="18">
        <f>ABS('Annual Calculations'!$Q$9)*(1+$C$3)^AT$176</f>
        <v>536.83586356883256</v>
      </c>
      <c r="AU32" s="18">
        <f>ABS('Annual Calculations'!$Q$9)*(1+$C$3)^AU$176</f>
        <v>560.45664156586133</v>
      </c>
      <c r="AV32" s="18">
        <f>ABS('Annual Calculations'!$Q$9)*(1+$C$3)^AV$176</f>
        <v>585.11673379475917</v>
      </c>
      <c r="AW32" s="18">
        <f>ABS('Annual Calculations'!$Q$9)*(1+$C$3)^AW$176</f>
        <v>610.86187008172851</v>
      </c>
      <c r="AX32" s="18">
        <f>ABS('Annual Calculations'!$Q$9)*(1+$C$3)^AX$176</f>
        <v>637.73979236532466</v>
      </c>
      <c r="AY32" s="18">
        <f>ABS('Annual Calculations'!$Q$9)*(1+$C$3)^AY$176</f>
        <v>665.800343229399</v>
      </c>
      <c r="AZ32" s="18">
        <f>ABS('Annual Calculations'!$Q$9)*(1+$C$3)^AZ$176</f>
        <v>695.0955583314925</v>
      </c>
      <c r="BA32" s="18">
        <f>ABS('Annual Calculations'!$Q$9)*(1+$C$3)^BA$176</f>
        <v>725.67976289807814</v>
      </c>
      <c r="BB32" s="18">
        <f>ABS('Annual Calculations'!$Q$9)*(1+$C$3)^BB$176</f>
        <v>757.60967246559369</v>
      </c>
    </row>
    <row r="33" spans="1:54" x14ac:dyDescent="0.25">
      <c r="A33" s="178"/>
      <c r="B33" t="s">
        <v>357</v>
      </c>
      <c r="C33" s="72" t="s">
        <v>362</v>
      </c>
      <c r="D33">
        <v>0</v>
      </c>
      <c r="E33" s="18">
        <f t="shared" ref="E33:AJ33" si="19">0*(1+$C$3)^E$176</f>
        <v>0</v>
      </c>
      <c r="F33" s="18">
        <f t="shared" si="19"/>
        <v>0</v>
      </c>
      <c r="G33" s="18">
        <f t="shared" si="19"/>
        <v>0</v>
      </c>
      <c r="H33" s="18">
        <f t="shared" si="19"/>
        <v>0</v>
      </c>
      <c r="I33" s="18">
        <f t="shared" si="19"/>
        <v>0</v>
      </c>
      <c r="J33" s="18">
        <f t="shared" si="19"/>
        <v>0</v>
      </c>
      <c r="K33" s="18">
        <f t="shared" si="19"/>
        <v>0</v>
      </c>
      <c r="L33" s="18">
        <f t="shared" si="19"/>
        <v>0</v>
      </c>
      <c r="M33" s="18">
        <f t="shared" si="19"/>
        <v>0</v>
      </c>
      <c r="N33" s="18">
        <f t="shared" si="19"/>
        <v>0</v>
      </c>
      <c r="O33" s="18">
        <f t="shared" si="19"/>
        <v>0</v>
      </c>
      <c r="P33" s="18">
        <f t="shared" si="19"/>
        <v>0</v>
      </c>
      <c r="Q33" s="18">
        <f t="shared" si="19"/>
        <v>0</v>
      </c>
      <c r="R33" s="18">
        <f t="shared" si="19"/>
        <v>0</v>
      </c>
      <c r="S33" s="18">
        <f t="shared" si="19"/>
        <v>0</v>
      </c>
      <c r="T33" s="18">
        <f t="shared" si="19"/>
        <v>0</v>
      </c>
      <c r="U33" s="18">
        <f t="shared" si="19"/>
        <v>0</v>
      </c>
      <c r="V33" s="18">
        <f t="shared" si="19"/>
        <v>0</v>
      </c>
      <c r="W33" s="18">
        <f t="shared" si="19"/>
        <v>0</v>
      </c>
      <c r="X33" s="18">
        <f t="shared" si="19"/>
        <v>0</v>
      </c>
      <c r="Y33" s="18">
        <f t="shared" si="19"/>
        <v>0</v>
      </c>
      <c r="Z33" s="18">
        <f t="shared" si="19"/>
        <v>0</v>
      </c>
      <c r="AA33" s="18">
        <f t="shared" si="19"/>
        <v>0</v>
      </c>
      <c r="AB33" s="18">
        <f t="shared" si="19"/>
        <v>0</v>
      </c>
      <c r="AC33" s="18">
        <f t="shared" si="19"/>
        <v>0</v>
      </c>
      <c r="AD33" s="18">
        <f t="shared" si="19"/>
        <v>0</v>
      </c>
      <c r="AE33" s="18">
        <f t="shared" si="19"/>
        <v>0</v>
      </c>
      <c r="AF33" s="18">
        <f t="shared" si="19"/>
        <v>0</v>
      </c>
      <c r="AG33" s="18">
        <f t="shared" si="19"/>
        <v>0</v>
      </c>
      <c r="AH33" s="18">
        <f t="shared" si="19"/>
        <v>0</v>
      </c>
      <c r="AI33" s="18">
        <f t="shared" si="19"/>
        <v>0</v>
      </c>
      <c r="AJ33" s="18">
        <f t="shared" si="19"/>
        <v>0</v>
      </c>
      <c r="AK33" s="18">
        <f t="shared" ref="AK33:BB33" si="20">0*(1+$C$3)^AK$176</f>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0</v>
      </c>
      <c r="AU33" s="18">
        <f t="shared" si="20"/>
        <v>0</v>
      </c>
      <c r="AV33" s="18">
        <f t="shared" si="20"/>
        <v>0</v>
      </c>
      <c r="AW33" s="18">
        <f t="shared" si="20"/>
        <v>0</v>
      </c>
      <c r="AX33" s="18">
        <f t="shared" si="20"/>
        <v>0</v>
      </c>
      <c r="AY33" s="18">
        <f t="shared" si="20"/>
        <v>0</v>
      </c>
      <c r="AZ33" s="18">
        <f t="shared" si="20"/>
        <v>0</v>
      </c>
      <c r="BA33" s="18">
        <f t="shared" si="20"/>
        <v>0</v>
      </c>
      <c r="BB33" s="18">
        <f t="shared" si="20"/>
        <v>0</v>
      </c>
    </row>
    <row r="34" spans="1:54" x14ac:dyDescent="0.25">
      <c r="A34" s="178"/>
      <c r="B34" t="s">
        <v>358</v>
      </c>
      <c r="C34" s="72" t="s">
        <v>362</v>
      </c>
      <c r="D34">
        <f>SUM(D31:D33)</f>
        <v>-100</v>
      </c>
      <c r="E34" s="18">
        <f t="shared" ref="E34:BB34" si="21">SUM(E31:E33)</f>
        <v>91.858865221558588</v>
      </c>
      <c r="F34" s="18">
        <f t="shared" si="21"/>
        <v>95.900655291307174</v>
      </c>
      <c r="G34" s="18">
        <f t="shared" si="21"/>
        <v>100.12028412412469</v>
      </c>
      <c r="H34" s="18">
        <f t="shared" si="21"/>
        <v>104.52557662558618</v>
      </c>
      <c r="I34" s="18">
        <f t="shared" si="21"/>
        <v>109.12470199711197</v>
      </c>
      <c r="J34" s="18">
        <f t="shared" si="21"/>
        <v>113.92618888498491</v>
      </c>
      <c r="K34" s="18">
        <f t="shared" si="21"/>
        <v>118.93894119592426</v>
      </c>
      <c r="L34" s="18">
        <f t="shared" si="21"/>
        <v>124.17225460854492</v>
      </c>
      <c r="M34" s="18">
        <f t="shared" si="21"/>
        <v>129.63583381132091</v>
      </c>
      <c r="N34" s="18">
        <f t="shared" si="21"/>
        <v>135.33981049901902</v>
      </c>
      <c r="O34" s="18">
        <f t="shared" si="21"/>
        <v>141.29476216097586</v>
      </c>
      <c r="P34" s="18">
        <f t="shared" si="21"/>
        <v>147.5117316960588</v>
      </c>
      <c r="Q34" s="18">
        <f t="shared" si="21"/>
        <v>154.00224789068537</v>
      </c>
      <c r="R34" s="18">
        <f t="shared" si="21"/>
        <v>160.77834679787554</v>
      </c>
      <c r="S34" s="18">
        <f t="shared" si="21"/>
        <v>167.8525940569821</v>
      </c>
      <c r="T34" s="18">
        <f t="shared" si="21"/>
        <v>-23.924579602611402</v>
      </c>
      <c r="U34" s="18">
        <f t="shared" si="21"/>
        <v>182.9485849560908</v>
      </c>
      <c r="V34" s="18">
        <f t="shared" si="21"/>
        <v>190.99832269415882</v>
      </c>
      <c r="W34" s="18">
        <f t="shared" si="21"/>
        <v>199.40224889270181</v>
      </c>
      <c r="X34" s="18">
        <f t="shared" si="21"/>
        <v>208.17594784398071</v>
      </c>
      <c r="Y34" s="18">
        <f t="shared" si="21"/>
        <v>217.33568954911584</v>
      </c>
      <c r="Z34" s="18">
        <f t="shared" si="21"/>
        <v>226.89845988927695</v>
      </c>
      <c r="AA34" s="18">
        <f t="shared" si="21"/>
        <v>236.88199212440514</v>
      </c>
      <c r="AB34" s="18">
        <f t="shared" si="21"/>
        <v>247.304799777879</v>
      </c>
      <c r="AC34" s="18">
        <f t="shared" si="21"/>
        <v>258.18621096810568</v>
      </c>
      <c r="AD34" s="18">
        <f t="shared" si="21"/>
        <v>269.54640425070232</v>
      </c>
      <c r="AE34" s="18">
        <f t="shared" si="21"/>
        <v>281.40644603773325</v>
      </c>
      <c r="AF34" s="18">
        <f t="shared" si="21"/>
        <v>293.78832966339348</v>
      </c>
      <c r="AG34" s="18">
        <f t="shared" si="21"/>
        <v>306.71501616858279</v>
      </c>
      <c r="AH34" s="18">
        <f t="shared" si="21"/>
        <v>320.21047688000044</v>
      </c>
      <c r="AI34" s="18">
        <f t="shared" si="21"/>
        <v>334.29973786272052</v>
      </c>
      <c r="AJ34" s="18">
        <f t="shared" si="21"/>
        <v>-47.648835780957029</v>
      </c>
      <c r="AK34" s="18">
        <f t="shared" si="21"/>
        <v>364.36531908714215</v>
      </c>
      <c r="AL34" s="18">
        <f t="shared" si="21"/>
        <v>380.39739312697634</v>
      </c>
      <c r="AM34" s="18">
        <f t="shared" si="21"/>
        <v>397.13487842456334</v>
      </c>
      <c r="AN34" s="18">
        <f t="shared" si="21"/>
        <v>414.6088130752442</v>
      </c>
      <c r="AO34" s="18">
        <f t="shared" si="21"/>
        <v>432.85160085055486</v>
      </c>
      <c r="AP34" s="18">
        <f t="shared" si="21"/>
        <v>451.89707128797932</v>
      </c>
      <c r="AQ34" s="18">
        <f t="shared" si="21"/>
        <v>471.78054242465049</v>
      </c>
      <c r="AR34" s="18">
        <f t="shared" si="21"/>
        <v>492.53888629133502</v>
      </c>
      <c r="AS34" s="18">
        <f t="shared" si="21"/>
        <v>514.21059728815385</v>
      </c>
      <c r="AT34" s="18">
        <f t="shared" si="21"/>
        <v>536.83586356883256</v>
      </c>
      <c r="AU34" s="18">
        <f t="shared" si="21"/>
        <v>560.45664156586133</v>
      </c>
      <c r="AV34" s="18">
        <f t="shared" si="21"/>
        <v>585.11673379475917</v>
      </c>
      <c r="AW34" s="18">
        <f t="shared" si="21"/>
        <v>610.86187008172851</v>
      </c>
      <c r="AX34" s="18">
        <f t="shared" si="21"/>
        <v>637.73979236532466</v>
      </c>
      <c r="AY34" s="18">
        <f t="shared" si="21"/>
        <v>665.800343229399</v>
      </c>
      <c r="AZ34" s="18">
        <f t="shared" si="21"/>
        <v>695.0955583314925</v>
      </c>
      <c r="BA34" s="18">
        <f t="shared" si="21"/>
        <v>725.67976289807814</v>
      </c>
      <c r="BB34" s="18">
        <f t="shared" si="21"/>
        <v>757.60967246559369</v>
      </c>
    </row>
    <row r="35" spans="1:54" x14ac:dyDescent="0.25">
      <c r="A35" s="178"/>
      <c r="B35" t="s">
        <v>359</v>
      </c>
      <c r="C35" s="72"/>
      <c r="D35">
        <f t="shared" ref="D35:AI35" si="22">(1+$C$2)^D$176</f>
        <v>1</v>
      </c>
      <c r="E35" s="40">
        <f t="shared" si="22"/>
        <v>1.1499999999999999</v>
      </c>
      <c r="F35" s="40">
        <f t="shared" si="22"/>
        <v>1.3224999999999998</v>
      </c>
      <c r="G35" s="40">
        <f t="shared" si="22"/>
        <v>1.5208749999999995</v>
      </c>
      <c r="H35" s="40">
        <f t="shared" si="22"/>
        <v>1.7490062499999994</v>
      </c>
      <c r="I35" s="40">
        <f t="shared" si="22"/>
        <v>2.0113571874999994</v>
      </c>
      <c r="J35" s="40">
        <f t="shared" si="22"/>
        <v>2.3130607656249991</v>
      </c>
      <c r="K35" s="40">
        <f t="shared" si="22"/>
        <v>2.6600198804687483</v>
      </c>
      <c r="L35" s="40">
        <f t="shared" si="22"/>
        <v>3.0590228625390603</v>
      </c>
      <c r="M35" s="40">
        <f t="shared" si="22"/>
        <v>3.5178762919199191</v>
      </c>
      <c r="N35" s="40">
        <f t="shared" si="22"/>
        <v>4.0455577357079067</v>
      </c>
      <c r="O35" s="40">
        <f t="shared" si="22"/>
        <v>4.6523913960640924</v>
      </c>
      <c r="P35" s="40">
        <f t="shared" si="22"/>
        <v>5.3502501054737053</v>
      </c>
      <c r="Q35" s="40">
        <f t="shared" si="22"/>
        <v>6.1527876212947614</v>
      </c>
      <c r="R35" s="40">
        <f t="shared" si="22"/>
        <v>7.0757057644889754</v>
      </c>
      <c r="S35" s="40">
        <f t="shared" si="22"/>
        <v>8.1370616291623197</v>
      </c>
      <c r="T35" s="40">
        <f t="shared" si="22"/>
        <v>9.3576208735366659</v>
      </c>
      <c r="U35" s="40">
        <f t="shared" si="22"/>
        <v>10.761264004567165</v>
      </c>
      <c r="V35" s="40">
        <f t="shared" si="22"/>
        <v>12.375453605252238</v>
      </c>
      <c r="W35" s="40">
        <f t="shared" si="22"/>
        <v>14.231771646040073</v>
      </c>
      <c r="X35" s="40">
        <f t="shared" si="22"/>
        <v>16.366537392946082</v>
      </c>
      <c r="Y35" s="40">
        <f t="shared" si="22"/>
        <v>18.821518001887995</v>
      </c>
      <c r="Z35" s="40">
        <f t="shared" si="22"/>
        <v>21.644745702171193</v>
      </c>
      <c r="AA35" s="40">
        <f t="shared" si="22"/>
        <v>24.891457557496867</v>
      </c>
      <c r="AB35" s="40">
        <f t="shared" si="22"/>
        <v>28.625176191121394</v>
      </c>
      <c r="AC35" s="40">
        <f t="shared" si="22"/>
        <v>32.9189526197896</v>
      </c>
      <c r="AD35" s="40">
        <f t="shared" si="22"/>
        <v>37.85679551275804</v>
      </c>
      <c r="AE35" s="40">
        <f t="shared" si="22"/>
        <v>43.535314839671742</v>
      </c>
      <c r="AF35" s="40">
        <f t="shared" si="22"/>
        <v>50.065612065622496</v>
      </c>
      <c r="AG35" s="40">
        <f t="shared" si="22"/>
        <v>57.575453875465868</v>
      </c>
      <c r="AH35" s="40">
        <f t="shared" si="22"/>
        <v>66.211771956785753</v>
      </c>
      <c r="AI35" s="40">
        <f t="shared" si="22"/>
        <v>76.143537750303594</v>
      </c>
      <c r="AJ35" s="40">
        <f t="shared" ref="AJ35:BB35" si="23">(1+$C$2)^AJ$176</f>
        <v>87.565068412849115</v>
      </c>
      <c r="AK35" s="40">
        <f t="shared" si="23"/>
        <v>100.69982867477647</v>
      </c>
      <c r="AL35" s="40">
        <f t="shared" si="23"/>
        <v>115.80480297599294</v>
      </c>
      <c r="AM35" s="40">
        <f t="shared" si="23"/>
        <v>133.17552342239185</v>
      </c>
      <c r="AN35" s="40">
        <f t="shared" si="23"/>
        <v>153.15185193575064</v>
      </c>
      <c r="AO35" s="40">
        <f t="shared" si="23"/>
        <v>176.12462972611323</v>
      </c>
      <c r="AP35" s="40">
        <f t="shared" si="23"/>
        <v>202.5433241850302</v>
      </c>
      <c r="AQ35" s="40">
        <f t="shared" si="23"/>
        <v>232.92482281278467</v>
      </c>
      <c r="AR35" s="40">
        <f t="shared" si="23"/>
        <v>267.86354623470237</v>
      </c>
      <c r="AS35" s="40">
        <f t="shared" si="23"/>
        <v>308.04307816990769</v>
      </c>
      <c r="AT35" s="40">
        <f t="shared" si="23"/>
        <v>354.24953989539381</v>
      </c>
      <c r="AU35" s="40">
        <f t="shared" si="23"/>
        <v>407.38697087970286</v>
      </c>
      <c r="AV35" s="40">
        <f t="shared" si="23"/>
        <v>468.49501651165821</v>
      </c>
      <c r="AW35" s="40">
        <f t="shared" si="23"/>
        <v>538.76926898840691</v>
      </c>
      <c r="AX35" s="40">
        <f t="shared" si="23"/>
        <v>619.58465933666798</v>
      </c>
      <c r="AY35" s="40">
        <f t="shared" si="23"/>
        <v>712.52235823716796</v>
      </c>
      <c r="AZ35" s="40">
        <f t="shared" si="23"/>
        <v>819.40071197274301</v>
      </c>
      <c r="BA35" s="40">
        <f t="shared" si="23"/>
        <v>942.31081876865449</v>
      </c>
      <c r="BB35" s="40">
        <f t="shared" si="23"/>
        <v>1083.6574415839525</v>
      </c>
    </row>
    <row r="36" spans="1:54" s="76" customFormat="1" x14ac:dyDescent="0.25">
      <c r="A36" s="178"/>
      <c r="B36" t="s">
        <v>360</v>
      </c>
      <c r="C36" s="72" t="s">
        <v>362</v>
      </c>
      <c r="D36">
        <f>D34/D35</f>
        <v>-100</v>
      </c>
      <c r="E36" s="18">
        <f>E34/E35</f>
        <v>79.877274105703123</v>
      </c>
      <c r="F36" s="18">
        <f>F34/F35</f>
        <v>72.514673188133983</v>
      </c>
      <c r="G36" s="18">
        <f t="shared" ref="G36:BB36" si="24">G34/G35</f>
        <v>65.830712007314688</v>
      </c>
      <c r="H36" s="18">
        <f t="shared" si="24"/>
        <v>59.762837683162203</v>
      </c>
      <c r="I36" s="18">
        <f t="shared" si="24"/>
        <v>54.254263079322904</v>
      </c>
      <c r="J36" s="18">
        <f t="shared" si="24"/>
        <v>49.253435352011408</v>
      </c>
      <c r="K36" s="18">
        <f t="shared" si="24"/>
        <v>44.713553484782551</v>
      </c>
      <c r="L36" s="18">
        <f t="shared" si="24"/>
        <v>40.592130294011291</v>
      </c>
      <c r="M36" s="18">
        <f t="shared" si="24"/>
        <v>36.850594806041556</v>
      </c>
      <c r="N36" s="18">
        <f t="shared" si="24"/>
        <v>33.453931284789036</v>
      </c>
      <c r="O36" s="18">
        <f t="shared" si="24"/>
        <v>30.370351531582394</v>
      </c>
      <c r="P36" s="18">
        <f t="shared" si="24"/>
        <v>27.570997390410458</v>
      </c>
      <c r="Q36" s="18">
        <f t="shared" si="24"/>
        <v>25.029670674424793</v>
      </c>
      <c r="R36" s="18">
        <f t="shared" si="24"/>
        <v>22.722587986173469</v>
      </c>
      <c r="S36" s="18">
        <f t="shared" si="24"/>
        <v>20.628158137013141</v>
      </c>
      <c r="T36" s="18">
        <f t="shared" si="24"/>
        <v>-2.5566946904495853</v>
      </c>
      <c r="U36" s="18">
        <f t="shared" si="24"/>
        <v>17.000659483722913</v>
      </c>
      <c r="V36" s="18">
        <f t="shared" si="24"/>
        <v>15.433642174788458</v>
      </c>
      <c r="W36" s="18">
        <f t="shared" si="24"/>
        <v>14.011062983025349</v>
      </c>
      <c r="X36" s="18">
        <f t="shared" si="24"/>
        <v>12.719608481981275</v>
      </c>
      <c r="Y36" s="18">
        <f t="shared" si="24"/>
        <v>11.547192395816044</v>
      </c>
      <c r="Z36" s="18">
        <f t="shared" si="24"/>
        <v>10.482842488027783</v>
      </c>
      <c r="AA36" s="18">
        <f t="shared" si="24"/>
        <v>9.5165978760878343</v>
      </c>
      <c r="AB36" s="18">
        <f t="shared" si="24"/>
        <v>8.6394158109875665</v>
      </c>
      <c r="AC36" s="18">
        <f t="shared" si="24"/>
        <v>7.8430870492791476</v>
      </c>
      <c r="AD36" s="18">
        <f t="shared" si="24"/>
        <v>7.1201590256064611</v>
      </c>
      <c r="AE36" s="18">
        <f t="shared" si="24"/>
        <v>6.4638661067244749</v>
      </c>
      <c r="AF36" s="18">
        <f t="shared" si="24"/>
        <v>5.8680662742785676</v>
      </c>
      <c r="AG36" s="18">
        <f t="shared" si="24"/>
        <v>5.327183643779847</v>
      </c>
      <c r="AH36" s="18">
        <f t="shared" si="24"/>
        <v>4.8361562818314434</v>
      </c>
      <c r="AI36" s="18">
        <f t="shared" si="24"/>
        <v>4.3903888332452432</v>
      </c>
      <c r="AJ36" s="18">
        <f t="shared" si="24"/>
        <v>-0.54415346946688548</v>
      </c>
      <c r="AK36" s="18">
        <f t="shared" si="24"/>
        <v>3.6183310724778743</v>
      </c>
      <c r="AL36" s="18">
        <f t="shared" si="24"/>
        <v>3.2848153388407826</v>
      </c>
      <c r="AM36" s="18">
        <f t="shared" si="24"/>
        <v>2.98204105543459</v>
      </c>
      <c r="AN36" s="18">
        <f t="shared" si="24"/>
        <v>2.7071746624988799</v>
      </c>
      <c r="AO36" s="18">
        <f t="shared" si="24"/>
        <v>2.4576437805642004</v>
      </c>
      <c r="AP36" s="18">
        <f t="shared" si="24"/>
        <v>2.2311131364426311</v>
      </c>
      <c r="AQ36" s="18">
        <f t="shared" si="24"/>
        <v>2.0254627082140066</v>
      </c>
      <c r="AR36" s="18">
        <f t="shared" si="24"/>
        <v>1.8387678846742805</v>
      </c>
      <c r="AS36" s="18">
        <f t="shared" si="24"/>
        <v>1.6692814535651734</v>
      </c>
      <c r="AT36" s="18">
        <f t="shared" si="24"/>
        <v>1.5154172500191661</v>
      </c>
      <c r="AU36" s="18">
        <f t="shared" si="24"/>
        <v>1.375735312191313</v>
      </c>
      <c r="AV36" s="18">
        <f t="shared" si="24"/>
        <v>1.2489284051545486</v>
      </c>
      <c r="AW36" s="18">
        <f t="shared" si="24"/>
        <v>1.1338097869403032</v>
      </c>
      <c r="AX36" s="18">
        <f t="shared" si="24"/>
        <v>1.0293021022310231</v>
      </c>
      <c r="AY36" s="18">
        <f t="shared" si="24"/>
        <v>0.93442729976451178</v>
      </c>
      <c r="AZ36" s="18">
        <f t="shared" si="24"/>
        <v>0.84829747909056552</v>
      </c>
      <c r="BA36" s="18">
        <f t="shared" si="24"/>
        <v>0.77010658101786988</v>
      </c>
      <c r="BB36" s="18">
        <f t="shared" si="24"/>
        <v>0.69912284398491864</v>
      </c>
    </row>
    <row r="37" spans="1:54" s="76" customFormat="1" x14ac:dyDescent="0.25">
      <c r="A37" s="178"/>
      <c r="B37" s="76" t="s">
        <v>645</v>
      </c>
      <c r="C37" s="77" t="s">
        <v>362</v>
      </c>
      <c r="D37" s="76">
        <f>D36</f>
        <v>-100</v>
      </c>
      <c r="E37" s="78">
        <f>E36+D37</f>
        <v>-20.122725894296877</v>
      </c>
      <c r="F37" s="78">
        <f t="shared" ref="F37:BB37" si="25">F36+E37</f>
        <v>52.391947293837106</v>
      </c>
      <c r="G37" s="78">
        <f t="shared" si="25"/>
        <v>118.22265930115179</v>
      </c>
      <c r="H37" s="78">
        <f t="shared" si="25"/>
        <v>177.98549698431401</v>
      </c>
      <c r="I37" s="78">
        <f t="shared" si="25"/>
        <v>232.23976006363691</v>
      </c>
      <c r="J37" s="78">
        <f t="shared" si="25"/>
        <v>281.4931954156483</v>
      </c>
      <c r="K37" s="78">
        <f t="shared" si="25"/>
        <v>326.20674890043085</v>
      </c>
      <c r="L37" s="78">
        <f t="shared" si="25"/>
        <v>366.79887919444212</v>
      </c>
      <c r="M37" s="78">
        <f t="shared" si="25"/>
        <v>403.64947400048368</v>
      </c>
      <c r="N37" s="78">
        <f t="shared" si="25"/>
        <v>437.10340528527274</v>
      </c>
      <c r="O37" s="78">
        <f t="shared" si="25"/>
        <v>467.47375681685514</v>
      </c>
      <c r="P37" s="78">
        <f t="shared" si="25"/>
        <v>495.04475420726561</v>
      </c>
      <c r="Q37" s="78">
        <f t="shared" si="25"/>
        <v>520.07442488169045</v>
      </c>
      <c r="R37" s="78">
        <f t="shared" si="25"/>
        <v>542.79701286786394</v>
      </c>
      <c r="S37" s="78">
        <f t="shared" si="25"/>
        <v>563.42517100487703</v>
      </c>
      <c r="T37" s="78">
        <f t="shared" si="25"/>
        <v>560.86847631442743</v>
      </c>
      <c r="U37" s="78">
        <f t="shared" si="25"/>
        <v>577.8691357981503</v>
      </c>
      <c r="V37" s="78">
        <f t="shared" si="25"/>
        <v>593.30277797293877</v>
      </c>
      <c r="W37" s="78">
        <f t="shared" si="25"/>
        <v>607.31384095596411</v>
      </c>
      <c r="X37" s="78">
        <f t="shared" si="25"/>
        <v>620.03344943794536</v>
      </c>
      <c r="Y37" s="78">
        <f t="shared" si="25"/>
        <v>631.58064183376143</v>
      </c>
      <c r="Z37" s="78">
        <f t="shared" si="25"/>
        <v>642.06348432178925</v>
      </c>
      <c r="AA37" s="78">
        <f t="shared" si="25"/>
        <v>651.58008219787712</v>
      </c>
      <c r="AB37" s="78">
        <f t="shared" si="25"/>
        <v>660.21949800886466</v>
      </c>
      <c r="AC37" s="78">
        <f t="shared" si="25"/>
        <v>668.06258505814378</v>
      </c>
      <c r="AD37" s="78">
        <f t="shared" si="25"/>
        <v>675.18274408375021</v>
      </c>
      <c r="AE37" s="78">
        <f t="shared" si="25"/>
        <v>681.64661019047469</v>
      </c>
      <c r="AF37" s="78">
        <f t="shared" si="25"/>
        <v>687.51467646475328</v>
      </c>
      <c r="AG37" s="78">
        <f t="shared" si="25"/>
        <v>692.84186010853318</v>
      </c>
      <c r="AH37" s="78">
        <f t="shared" si="25"/>
        <v>697.67801639036463</v>
      </c>
      <c r="AI37" s="78">
        <f t="shared" si="25"/>
        <v>702.06840522360983</v>
      </c>
      <c r="AJ37" s="78">
        <f t="shared" si="25"/>
        <v>701.52425175414294</v>
      </c>
      <c r="AK37" s="78">
        <f t="shared" si="25"/>
        <v>705.14258282662081</v>
      </c>
      <c r="AL37" s="78">
        <f t="shared" si="25"/>
        <v>708.42739816546157</v>
      </c>
      <c r="AM37" s="78">
        <f t="shared" si="25"/>
        <v>711.40943922089616</v>
      </c>
      <c r="AN37" s="78">
        <f t="shared" si="25"/>
        <v>714.11661388339508</v>
      </c>
      <c r="AO37" s="78">
        <f t="shared" si="25"/>
        <v>716.57425766395932</v>
      </c>
      <c r="AP37" s="78">
        <f t="shared" si="25"/>
        <v>718.80537080040199</v>
      </c>
      <c r="AQ37" s="78">
        <f t="shared" si="25"/>
        <v>720.83083350861602</v>
      </c>
      <c r="AR37" s="78">
        <f t="shared" si="25"/>
        <v>722.66960139329035</v>
      </c>
      <c r="AS37" s="78">
        <f t="shared" si="25"/>
        <v>724.33888284685554</v>
      </c>
      <c r="AT37" s="78">
        <f t="shared" si="25"/>
        <v>725.85430009687468</v>
      </c>
      <c r="AU37" s="78">
        <f t="shared" si="25"/>
        <v>727.23003540906598</v>
      </c>
      <c r="AV37" s="78">
        <f t="shared" si="25"/>
        <v>728.47896381422049</v>
      </c>
      <c r="AW37" s="78">
        <f t="shared" si="25"/>
        <v>729.61277360116082</v>
      </c>
      <c r="AX37" s="78">
        <f t="shared" si="25"/>
        <v>730.64207570339181</v>
      </c>
      <c r="AY37" s="78">
        <f t="shared" si="25"/>
        <v>731.57650300315629</v>
      </c>
      <c r="AZ37" s="78">
        <f t="shared" si="25"/>
        <v>732.42480048224684</v>
      </c>
      <c r="BA37" s="78">
        <f t="shared" si="25"/>
        <v>733.19490706326474</v>
      </c>
      <c r="BB37" s="78">
        <f t="shared" si="25"/>
        <v>733.89402990724966</v>
      </c>
    </row>
    <row r="38" spans="1:54" s="76" customFormat="1" x14ac:dyDescent="0.25">
      <c r="A38" s="178"/>
      <c r="B38" s="22" t="s">
        <v>361</v>
      </c>
      <c r="C38" s="75" t="s">
        <v>362</v>
      </c>
      <c r="D38" s="93">
        <f>SUM(D36:BB36)</f>
        <v>733.89402990724966</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s="76" customFormat="1" x14ac:dyDescent="0.25">
      <c r="A39" s="180" t="s">
        <v>6</v>
      </c>
      <c r="B39" s="76" t="s">
        <v>363</v>
      </c>
      <c r="C39" s="77" t="s">
        <v>362</v>
      </c>
      <c r="D39" s="76">
        <f>-'INSUL+'!$B$17*'INSUL+'!$B$3</f>
        <v>-990</v>
      </c>
      <c r="E39" s="76">
        <v>0</v>
      </c>
      <c r="F39" s="76">
        <v>0</v>
      </c>
      <c r="G39" s="76">
        <v>0</v>
      </c>
      <c r="H39" s="76">
        <v>0</v>
      </c>
      <c r="I39" s="76">
        <v>0</v>
      </c>
      <c r="J39" s="76">
        <v>0</v>
      </c>
      <c r="K39" s="76">
        <v>0</v>
      </c>
      <c r="L39" s="76">
        <v>0</v>
      </c>
      <c r="M39" s="76">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v>0</v>
      </c>
      <c r="AG39" s="76">
        <v>0</v>
      </c>
      <c r="AH39" s="76">
        <v>0</v>
      </c>
      <c r="AI39" s="76">
        <v>0</v>
      </c>
      <c r="AJ39" s="76">
        <v>0</v>
      </c>
      <c r="AK39" s="76">
        <v>0</v>
      </c>
      <c r="AL39" s="76">
        <v>0</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0</v>
      </c>
    </row>
    <row r="40" spans="1:54" s="76" customFormat="1" x14ac:dyDescent="0.25">
      <c r="A40" s="180"/>
      <c r="B40" s="76" t="s">
        <v>356</v>
      </c>
      <c r="C40" s="77" t="s">
        <v>362</v>
      </c>
      <c r="D40" s="76">
        <v>0</v>
      </c>
      <c r="E40" s="78">
        <f>ABS('Annual Calculations'!$Q$10)*(1+$C$3)^E$176</f>
        <v>25.27342516404925</v>
      </c>
      <c r="F40" s="78">
        <f>ABS('Annual Calculations'!$Q$10)*(1+$C$3)^F$176</f>
        <v>26.385455871267418</v>
      </c>
      <c r="G40" s="78">
        <f>ABS('Annual Calculations'!$Q$10)*(1+$C$3)^G$176</f>
        <v>27.546415929603189</v>
      </c>
      <c r="H40" s="78">
        <f>ABS('Annual Calculations'!$Q$10)*(1+$C$3)^H$176</f>
        <v>28.758458230505724</v>
      </c>
      <c r="I40" s="78">
        <f>ABS('Annual Calculations'!$Q$10)*(1+$C$3)^I$176</f>
        <v>30.023830392647977</v>
      </c>
      <c r="J40" s="78">
        <f>ABS('Annual Calculations'!$Q$10)*(1+$C$3)^J$176</f>
        <v>31.344878929924491</v>
      </c>
      <c r="K40" s="78">
        <f>ABS('Annual Calculations'!$Q$10)*(1+$C$3)^K$176</f>
        <v>32.724053602841174</v>
      </c>
      <c r="L40" s="78">
        <f>ABS('Annual Calculations'!$Q$10)*(1+$C$3)^L$176</f>
        <v>34.163911961366182</v>
      </c>
      <c r="M40" s="78">
        <f>ABS('Annual Calculations'!$Q$10)*(1+$C$3)^M$176</f>
        <v>35.667124087666295</v>
      </c>
      <c r="N40" s="78">
        <f>ABS('Annual Calculations'!$Q$10)*(1+$C$3)^N$176</f>
        <v>37.236477547523613</v>
      </c>
      <c r="O40" s="78">
        <f>ABS('Annual Calculations'!$Q$10)*(1+$C$3)^O$176</f>
        <v>38.874882559614655</v>
      </c>
      <c r="P40" s="78">
        <f>ABS('Annual Calculations'!$Q$10)*(1+$C$3)^P$176</f>
        <v>40.585377392237696</v>
      </c>
      <c r="Q40" s="78">
        <f>ABS('Annual Calculations'!$Q$10)*(1+$C$3)^Q$176</f>
        <v>42.371133997496152</v>
      </c>
      <c r="R40" s="78">
        <f>ABS('Annual Calculations'!$Q$10)*(1+$C$3)^R$176</f>
        <v>44.23546389338599</v>
      </c>
      <c r="S40" s="78">
        <f>ABS('Annual Calculations'!$Q$10)*(1+$C$3)^S$176</f>
        <v>46.181824304694977</v>
      </c>
      <c r="T40" s="78">
        <f>ABS('Annual Calculations'!$Q$10)*(1+$C$3)^T$176</f>
        <v>48.213824574101551</v>
      </c>
      <c r="U40" s="78">
        <f>ABS('Annual Calculations'!$Q$10)*(1+$C$3)^U$176</f>
        <v>50.335232855362015</v>
      </c>
      <c r="V40" s="78">
        <f>ABS('Annual Calculations'!$Q$10)*(1+$C$3)^V$176</f>
        <v>52.549983100997956</v>
      </c>
      <c r="W40" s="78">
        <f>ABS('Annual Calculations'!$Q$10)*(1+$C$3)^W$176</f>
        <v>54.862182357441867</v>
      </c>
      <c r="X40" s="78">
        <f>ABS('Annual Calculations'!$Q$10)*(1+$C$3)^X$176</f>
        <v>57.276118381169304</v>
      </c>
      <c r="Y40" s="78">
        <f>ABS('Annual Calculations'!$Q$10)*(1+$C$3)^Y$176</f>
        <v>59.796267589940747</v>
      </c>
      <c r="Z40" s="78">
        <f>ABS('Annual Calculations'!$Q$10)*(1+$C$3)^Z$176</f>
        <v>62.427303363898154</v>
      </c>
      <c r="AA40" s="78">
        <f>ABS('Annual Calculations'!$Q$10)*(1+$C$3)^AA$176</f>
        <v>65.174104711909678</v>
      </c>
      <c r="AB40" s="78">
        <f>ABS('Annual Calculations'!$Q$10)*(1+$C$3)^AB$176</f>
        <v>68.041765319233704</v>
      </c>
      <c r="AC40" s="78">
        <f>ABS('Annual Calculations'!$Q$10)*(1+$C$3)^AC$176</f>
        <v>71.03560299327998</v>
      </c>
      <c r="AD40" s="78">
        <f>ABS('Annual Calculations'!$Q$10)*(1+$C$3)^AD$176</f>
        <v>74.161169524984302</v>
      </c>
      <c r="AE40" s="78">
        <f>ABS('Annual Calculations'!$Q$10)*(1+$C$3)^AE$176</f>
        <v>77.424260984083617</v>
      </c>
      <c r="AF40" s="78">
        <f>ABS('Annual Calculations'!$Q$10)*(1+$C$3)^AF$176</f>
        <v>80.830928467383288</v>
      </c>
      <c r="AG40" s="78">
        <f>ABS('Annual Calculations'!$Q$10)*(1+$C$3)^AG$176</f>
        <v>84.387489319948145</v>
      </c>
      <c r="AH40" s="78">
        <f>ABS('Annual Calculations'!$Q$10)*(1+$C$3)^AH$176</f>
        <v>88.100538850025885</v>
      </c>
      <c r="AI40" s="78">
        <f>ABS('Annual Calculations'!$Q$10)*(1+$C$3)^AI$176</f>
        <v>91.976962559427037</v>
      </c>
      <c r="AJ40" s="78">
        <f>ABS('Annual Calculations'!$Q$10)*(1+$C$3)^AJ$176</f>
        <v>96.023948912041817</v>
      </c>
      <c r="AK40" s="78">
        <f>ABS('Annual Calculations'!$Q$10)*(1+$C$3)^AK$176</f>
        <v>100.24900266417167</v>
      </c>
      <c r="AL40" s="78">
        <f>ABS('Annual Calculations'!$Q$10)*(1+$C$3)^AL$176</f>
        <v>104.6599587813952</v>
      </c>
      <c r="AM40" s="78">
        <f>ABS('Annual Calculations'!$Q$10)*(1+$C$3)^AM$176</f>
        <v>109.2649969677766</v>
      </c>
      <c r="AN40" s="78">
        <f>ABS('Annual Calculations'!$Q$10)*(1+$C$3)^AN$176</f>
        <v>114.07265683435878</v>
      </c>
      <c r="AO40" s="78">
        <f>ABS('Annual Calculations'!$Q$10)*(1+$C$3)^AO$176</f>
        <v>119.09185373507056</v>
      </c>
      <c r="AP40" s="78">
        <f>ABS('Annual Calculations'!$Q$10)*(1+$C$3)^AP$176</f>
        <v>124.33189529941367</v>
      </c>
      <c r="AQ40" s="78">
        <f>ABS('Annual Calculations'!$Q$10)*(1+$C$3)^AQ$176</f>
        <v>129.8024986925879</v>
      </c>
      <c r="AR40" s="78">
        <f>ABS('Annual Calculations'!$Q$10)*(1+$C$3)^AR$176</f>
        <v>135.51380863506174</v>
      </c>
      <c r="AS40" s="78">
        <f>ABS('Annual Calculations'!$Q$10)*(1+$C$3)^AS$176</f>
        <v>141.47641621500446</v>
      </c>
      <c r="AT40" s="78">
        <f>ABS('Annual Calculations'!$Q$10)*(1+$C$3)^AT$176</f>
        <v>147.70137852846466</v>
      </c>
      <c r="AU40" s="78">
        <f>ABS('Annual Calculations'!$Q$10)*(1+$C$3)^AU$176</f>
        <v>154.20023918371714</v>
      </c>
      <c r="AV40" s="78">
        <f>ABS('Annual Calculations'!$Q$10)*(1+$C$3)^AV$176</f>
        <v>160.98504970780067</v>
      </c>
      <c r="AW40" s="78">
        <f>ABS('Annual Calculations'!$Q$10)*(1+$C$3)^AW$176</f>
        <v>168.06839189494389</v>
      </c>
      <c r="AX40" s="78">
        <f>ABS('Annual Calculations'!$Q$10)*(1+$C$3)^AX$176</f>
        <v>175.46340113832144</v>
      </c>
      <c r="AY40" s="78">
        <f>ABS('Annual Calculations'!$Q$10)*(1+$C$3)^AY$176</f>
        <v>183.18379078840761</v>
      </c>
      <c r="AZ40" s="78">
        <f>ABS('Annual Calculations'!$Q$10)*(1+$C$3)^AZ$176</f>
        <v>191.24387758309751</v>
      </c>
      <c r="BA40" s="78">
        <f>ABS('Annual Calculations'!$Q$10)*(1+$C$3)^BA$176</f>
        <v>199.65860819675382</v>
      </c>
      <c r="BB40" s="78">
        <f>ABS('Annual Calculations'!$Q$10)*(1+$C$3)^BB$176</f>
        <v>208.44358695741101</v>
      </c>
    </row>
    <row r="41" spans="1:54" s="76" customFormat="1" x14ac:dyDescent="0.25">
      <c r="A41" s="180"/>
      <c r="B41" s="76" t="s">
        <v>357</v>
      </c>
      <c r="C41" s="77" t="s">
        <v>362</v>
      </c>
      <c r="D41" s="76">
        <v>0</v>
      </c>
      <c r="E41" s="78">
        <f>ABS('Annual Calculations'!$L$31)*(1+$C$3)^E$176</f>
        <v>60.200915366666678</v>
      </c>
      <c r="F41" s="78">
        <f>ABS('Annual Calculations'!$L$31)*(1+$C$3)^F$176</f>
        <v>62.849755642800005</v>
      </c>
      <c r="G41" s="78">
        <f>ABS('Annual Calculations'!$L$31)*(1+$C$3)^G$176</f>
        <v>65.615144891083219</v>
      </c>
      <c r="H41" s="78">
        <f>ABS('Annual Calculations'!$L$31)*(1+$C$3)^H$176</f>
        <v>68.502211266290871</v>
      </c>
      <c r="I41" s="78">
        <f>ABS('Annual Calculations'!$L$31)*(1+$C$3)^I$176</f>
        <v>71.516308562007666</v>
      </c>
      <c r="J41" s="78">
        <f>ABS('Annual Calculations'!$L$31)*(1+$C$3)^J$176</f>
        <v>74.663026138736015</v>
      </c>
      <c r="K41" s="78">
        <f>ABS('Annual Calculations'!$L$31)*(1+$C$3)^K$176</f>
        <v>77.948199288840414</v>
      </c>
      <c r="L41" s="78">
        <f>ABS('Annual Calculations'!$L$31)*(1+$C$3)^L$176</f>
        <v>81.377920057549375</v>
      </c>
      <c r="M41" s="78">
        <f>ABS('Annual Calculations'!$L$31)*(1+$C$3)^M$176</f>
        <v>84.958548540081566</v>
      </c>
      <c r="N41" s="78">
        <f>ABS('Annual Calculations'!$L$31)*(1+$C$3)^N$176</f>
        <v>88.696724675845147</v>
      </c>
      <c r="O41" s="78">
        <f>ABS('Annual Calculations'!$L$31)*(1+$C$3)^O$176</f>
        <v>92.59938056158235</v>
      </c>
      <c r="P41" s="78">
        <f>ABS('Annual Calculations'!$L$31)*(1+$C$3)^P$176</f>
        <v>96.673753306291957</v>
      </c>
      <c r="Q41" s="78">
        <f>ABS('Annual Calculations'!$L$31)*(1+$C$3)^Q$176</f>
        <v>100.92739845176879</v>
      </c>
      <c r="R41" s="78">
        <f>ABS('Annual Calculations'!$L$31)*(1+$C$3)^R$176</f>
        <v>105.36820398364664</v>
      </c>
      <c r="S41" s="78">
        <f>ABS('Annual Calculations'!$L$31)*(1+$C$3)^S$176</f>
        <v>110.00440495892711</v>
      </c>
      <c r="T41" s="78">
        <f>ABS('Annual Calculations'!$L$31)*(1+$C$3)^T$176</f>
        <v>114.84459877711988</v>
      </c>
      <c r="U41" s="78">
        <f>ABS('Annual Calculations'!$L$31)*(1+$C$3)^U$176</f>
        <v>119.89776112331316</v>
      </c>
      <c r="V41" s="78">
        <f>ABS('Annual Calculations'!$L$31)*(1+$C$3)^V$176</f>
        <v>125.17326261273895</v>
      </c>
      <c r="W41" s="78">
        <f>ABS('Annual Calculations'!$L$31)*(1+$C$3)^W$176</f>
        <v>130.68088616769947</v>
      </c>
      <c r="X41" s="78">
        <f>ABS('Annual Calculations'!$L$31)*(1+$C$3)^X$176</f>
        <v>136.43084515907825</v>
      </c>
      <c r="Y41" s="78">
        <f>ABS('Annual Calculations'!$L$31)*(1+$C$3)^Y$176</f>
        <v>142.43380234607767</v>
      </c>
      <c r="Z41" s="78">
        <f>ABS('Annual Calculations'!$L$31)*(1+$C$3)^Z$176</f>
        <v>148.70088964930511</v>
      </c>
      <c r="AA41" s="78">
        <f>ABS('Annual Calculations'!$L$31)*(1+$C$3)^AA$176</f>
        <v>155.24372879387454</v>
      </c>
      <c r="AB41" s="78">
        <f>ABS('Annual Calculations'!$L$31)*(1+$C$3)^AB$176</f>
        <v>162.07445286080502</v>
      </c>
      <c r="AC41" s="78">
        <f>ABS('Annual Calculations'!$L$31)*(1+$C$3)^AC$176</f>
        <v>169.20572878668045</v>
      </c>
      <c r="AD41" s="78">
        <f>ABS('Annual Calculations'!$L$31)*(1+$C$3)^AD$176</f>
        <v>176.65078085329438</v>
      </c>
      <c r="AE41" s="78">
        <f>ABS('Annual Calculations'!$L$31)*(1+$C$3)^AE$176</f>
        <v>184.42341521083935</v>
      </c>
      <c r="AF41" s="78">
        <f>ABS('Annual Calculations'!$L$31)*(1+$C$3)^AF$176</f>
        <v>192.53804548011627</v>
      </c>
      <c r="AG41" s="78">
        <f>ABS('Annual Calculations'!$L$31)*(1+$C$3)^AG$176</f>
        <v>201.00971948124138</v>
      </c>
      <c r="AH41" s="78">
        <f>ABS('Annual Calculations'!$L$31)*(1+$C$3)^AH$176</f>
        <v>209.85414713841601</v>
      </c>
      <c r="AI41" s="78">
        <f>ABS('Annual Calculations'!$L$31)*(1+$C$3)^AI$176</f>
        <v>219.08772961250637</v>
      </c>
      <c r="AJ41" s="78">
        <f>ABS('Annual Calculations'!$L$31)*(1+$C$3)^AJ$176</f>
        <v>228.72758971545662</v>
      </c>
      <c r="AK41" s="78">
        <f>ABS('Annual Calculations'!$L$31)*(1+$C$3)^AK$176</f>
        <v>238.79160366293672</v>
      </c>
      <c r="AL41" s="78">
        <f>ABS('Annual Calculations'!$L$31)*(1+$C$3)^AL$176</f>
        <v>249.29843422410593</v>
      </c>
      <c r="AM41" s="78">
        <f>ABS('Annual Calculations'!$L$31)*(1+$C$3)^AM$176</f>
        <v>260.2675653299666</v>
      </c>
      <c r="AN41" s="78">
        <f>ABS('Annual Calculations'!$L$31)*(1+$C$3)^AN$176</f>
        <v>271.71933820448515</v>
      </c>
      <c r="AO41" s="78">
        <f>ABS('Annual Calculations'!$L$31)*(1+$C$3)^AO$176</f>
        <v>283.67498908548248</v>
      </c>
      <c r="AP41" s="78">
        <f>ABS('Annual Calculations'!$L$31)*(1+$C$3)^AP$176</f>
        <v>296.15668860524374</v>
      </c>
      <c r="AQ41" s="78">
        <f>ABS('Annual Calculations'!$L$31)*(1+$C$3)^AQ$176</f>
        <v>309.1875829038745</v>
      </c>
      <c r="AR41" s="78">
        <f>ABS('Annual Calculations'!$L$31)*(1+$C$3)^AR$176</f>
        <v>322.79183655164491</v>
      </c>
      <c r="AS41" s="78">
        <f>ABS('Annual Calculations'!$L$31)*(1+$C$3)^AS$176</f>
        <v>336.99467735991732</v>
      </c>
      <c r="AT41" s="78">
        <f>ABS('Annual Calculations'!$L$31)*(1+$C$3)^AT$176</f>
        <v>351.82244316375369</v>
      </c>
      <c r="AU41" s="78">
        <f>ABS('Annual Calculations'!$L$31)*(1+$C$3)^AU$176</f>
        <v>367.3026306629589</v>
      </c>
      <c r="AV41" s="78">
        <f>ABS('Annual Calculations'!$L$31)*(1+$C$3)^AV$176</f>
        <v>383.46394641212908</v>
      </c>
      <c r="AW41" s="78">
        <f>ABS('Annual Calculations'!$L$31)*(1+$C$3)^AW$176</f>
        <v>400.33636005426274</v>
      </c>
      <c r="AX41" s="78">
        <f>ABS('Annual Calculations'!$L$31)*(1+$C$3)^AX$176</f>
        <v>417.95115989665032</v>
      </c>
      <c r="AY41" s="78">
        <f>ABS('Annual Calculations'!$L$31)*(1+$C$3)^AY$176</f>
        <v>436.34101093210296</v>
      </c>
      <c r="AZ41" s="78">
        <f>ABS('Annual Calculations'!$L$31)*(1+$C$3)^AZ$176</f>
        <v>455.5400154131155</v>
      </c>
      <c r="BA41" s="78">
        <f>ABS('Annual Calculations'!$L$31)*(1+$C$3)^BA$176</f>
        <v>475.58377609129258</v>
      </c>
      <c r="BB41" s="78">
        <f>ABS('Annual Calculations'!$L$31)*(1+$C$3)^BB$176</f>
        <v>496.50946223930953</v>
      </c>
    </row>
    <row r="42" spans="1:54" s="76" customFormat="1" x14ac:dyDescent="0.25">
      <c r="A42" s="180"/>
      <c r="B42" s="76" t="s">
        <v>358</v>
      </c>
      <c r="C42" s="77" t="s">
        <v>362</v>
      </c>
      <c r="D42" s="76">
        <f>SUM(D39:D41)</f>
        <v>-990</v>
      </c>
      <c r="E42" s="78">
        <f t="shared" ref="E42:BB42" si="26">SUM(E39:E41)</f>
        <v>85.474340530715921</v>
      </c>
      <c r="F42" s="78">
        <f t="shared" si="26"/>
        <v>89.23521151406743</v>
      </c>
      <c r="G42" s="78">
        <f t="shared" si="26"/>
        <v>93.161560820686404</v>
      </c>
      <c r="H42" s="78">
        <f t="shared" si="26"/>
        <v>97.260669496796595</v>
      </c>
      <c r="I42" s="78">
        <f t="shared" si="26"/>
        <v>101.54013895465565</v>
      </c>
      <c r="J42" s="78">
        <f t="shared" si="26"/>
        <v>106.00790506866051</v>
      </c>
      <c r="K42" s="78">
        <f t="shared" si="26"/>
        <v>110.67225289168158</v>
      </c>
      <c r="L42" s="78">
        <f t="shared" si="26"/>
        <v>115.54183201891556</v>
      </c>
      <c r="M42" s="78">
        <f t="shared" si="26"/>
        <v>120.62567262774786</v>
      </c>
      <c r="N42" s="78">
        <f t="shared" si="26"/>
        <v>125.93320222336877</v>
      </c>
      <c r="O42" s="78">
        <f t="shared" si="26"/>
        <v>131.474263121197</v>
      </c>
      <c r="P42" s="78">
        <f t="shared" si="26"/>
        <v>137.25913069852965</v>
      </c>
      <c r="Q42" s="78">
        <f t="shared" si="26"/>
        <v>143.29853244926494</v>
      </c>
      <c r="R42" s="78">
        <f t="shared" si="26"/>
        <v>149.60366787703262</v>
      </c>
      <c r="S42" s="78">
        <f t="shared" si="26"/>
        <v>156.1862292636221</v>
      </c>
      <c r="T42" s="78">
        <f t="shared" si="26"/>
        <v>163.05842335122145</v>
      </c>
      <c r="U42" s="78">
        <f t="shared" si="26"/>
        <v>170.23299397867518</v>
      </c>
      <c r="V42" s="78">
        <f t="shared" si="26"/>
        <v>177.7232457137369</v>
      </c>
      <c r="W42" s="78">
        <f t="shared" si="26"/>
        <v>185.54306852514134</v>
      </c>
      <c r="X42" s="78">
        <f t="shared" si="26"/>
        <v>193.70696354024756</v>
      </c>
      <c r="Y42" s="78">
        <f t="shared" si="26"/>
        <v>202.23006993601842</v>
      </c>
      <c r="Z42" s="78">
        <f t="shared" si="26"/>
        <v>211.12819301320326</v>
      </c>
      <c r="AA42" s="78">
        <f t="shared" si="26"/>
        <v>220.41783350578422</v>
      </c>
      <c r="AB42" s="78">
        <f t="shared" si="26"/>
        <v>230.11621818003874</v>
      </c>
      <c r="AC42" s="78">
        <f t="shared" si="26"/>
        <v>240.24133177996043</v>
      </c>
      <c r="AD42" s="78">
        <f t="shared" si="26"/>
        <v>250.81195037827868</v>
      </c>
      <c r="AE42" s="78">
        <f t="shared" si="26"/>
        <v>261.847676194923</v>
      </c>
      <c r="AF42" s="78">
        <f t="shared" si="26"/>
        <v>273.36897394749957</v>
      </c>
      <c r="AG42" s="78">
        <f t="shared" si="26"/>
        <v>285.39720880118955</v>
      </c>
      <c r="AH42" s="78">
        <f t="shared" si="26"/>
        <v>297.9546859884419</v>
      </c>
      <c r="AI42" s="78">
        <f t="shared" si="26"/>
        <v>311.06469217193342</v>
      </c>
      <c r="AJ42" s="78">
        <f t="shared" si="26"/>
        <v>324.75153862749846</v>
      </c>
      <c r="AK42" s="78">
        <f t="shared" si="26"/>
        <v>339.04060632710838</v>
      </c>
      <c r="AL42" s="78">
        <f t="shared" si="26"/>
        <v>353.95839300550114</v>
      </c>
      <c r="AM42" s="78">
        <f t="shared" si="26"/>
        <v>369.5325622977432</v>
      </c>
      <c r="AN42" s="78">
        <f t="shared" si="26"/>
        <v>385.79199503884394</v>
      </c>
      <c r="AO42" s="78">
        <f t="shared" si="26"/>
        <v>402.76684282055305</v>
      </c>
      <c r="AP42" s="78">
        <f t="shared" si="26"/>
        <v>420.48858390465739</v>
      </c>
      <c r="AQ42" s="78">
        <f t="shared" si="26"/>
        <v>438.9900815964624</v>
      </c>
      <c r="AR42" s="78">
        <f t="shared" si="26"/>
        <v>458.30564518670667</v>
      </c>
      <c r="AS42" s="78">
        <f t="shared" si="26"/>
        <v>478.47109357492178</v>
      </c>
      <c r="AT42" s="78">
        <f t="shared" si="26"/>
        <v>499.52382169221835</v>
      </c>
      <c r="AU42" s="78">
        <f t="shared" si="26"/>
        <v>521.50286984667605</v>
      </c>
      <c r="AV42" s="78">
        <f t="shared" si="26"/>
        <v>544.44899611992969</v>
      </c>
      <c r="AW42" s="78">
        <f t="shared" si="26"/>
        <v>568.40475194920668</v>
      </c>
      <c r="AX42" s="78">
        <f t="shared" si="26"/>
        <v>593.41456103497171</v>
      </c>
      <c r="AY42" s="78">
        <f t="shared" si="26"/>
        <v>619.5248017205106</v>
      </c>
      <c r="AZ42" s="78">
        <f t="shared" si="26"/>
        <v>646.78389299621301</v>
      </c>
      <c r="BA42" s="78">
        <f t="shared" si="26"/>
        <v>675.24238428804642</v>
      </c>
      <c r="BB42" s="78">
        <f t="shared" si="26"/>
        <v>704.95304919672049</v>
      </c>
    </row>
    <row r="43" spans="1:54" x14ac:dyDescent="0.25">
      <c r="A43" s="180"/>
      <c r="B43" s="76" t="s">
        <v>359</v>
      </c>
      <c r="C43" s="77"/>
      <c r="D43" s="76">
        <f t="shared" ref="D43:AI43" si="27">(1+$C$2)^D$176</f>
        <v>1</v>
      </c>
      <c r="E43" s="79">
        <f t="shared" si="27"/>
        <v>1.1499999999999999</v>
      </c>
      <c r="F43" s="79">
        <f t="shared" si="27"/>
        <v>1.3224999999999998</v>
      </c>
      <c r="G43" s="79">
        <f t="shared" si="27"/>
        <v>1.5208749999999995</v>
      </c>
      <c r="H43" s="79">
        <f t="shared" si="27"/>
        <v>1.7490062499999994</v>
      </c>
      <c r="I43" s="79">
        <f t="shared" si="27"/>
        <v>2.0113571874999994</v>
      </c>
      <c r="J43" s="79">
        <f t="shared" si="27"/>
        <v>2.3130607656249991</v>
      </c>
      <c r="K43" s="79">
        <f t="shared" si="27"/>
        <v>2.6600198804687483</v>
      </c>
      <c r="L43" s="79">
        <f t="shared" si="27"/>
        <v>3.0590228625390603</v>
      </c>
      <c r="M43" s="79">
        <f t="shared" si="27"/>
        <v>3.5178762919199191</v>
      </c>
      <c r="N43" s="79">
        <f t="shared" si="27"/>
        <v>4.0455577357079067</v>
      </c>
      <c r="O43" s="79">
        <f t="shared" si="27"/>
        <v>4.6523913960640924</v>
      </c>
      <c r="P43" s="79">
        <f t="shared" si="27"/>
        <v>5.3502501054737053</v>
      </c>
      <c r="Q43" s="79">
        <f t="shared" si="27"/>
        <v>6.1527876212947614</v>
      </c>
      <c r="R43" s="79">
        <f t="shared" si="27"/>
        <v>7.0757057644889754</v>
      </c>
      <c r="S43" s="79">
        <f t="shared" si="27"/>
        <v>8.1370616291623197</v>
      </c>
      <c r="T43" s="79">
        <f t="shared" si="27"/>
        <v>9.3576208735366659</v>
      </c>
      <c r="U43" s="79">
        <f t="shared" si="27"/>
        <v>10.761264004567165</v>
      </c>
      <c r="V43" s="79">
        <f t="shared" si="27"/>
        <v>12.375453605252238</v>
      </c>
      <c r="W43" s="79">
        <f t="shared" si="27"/>
        <v>14.231771646040073</v>
      </c>
      <c r="X43" s="79">
        <f t="shared" si="27"/>
        <v>16.366537392946082</v>
      </c>
      <c r="Y43" s="79">
        <f t="shared" si="27"/>
        <v>18.821518001887995</v>
      </c>
      <c r="Z43" s="79">
        <f t="shared" si="27"/>
        <v>21.644745702171193</v>
      </c>
      <c r="AA43" s="79">
        <f t="shared" si="27"/>
        <v>24.891457557496867</v>
      </c>
      <c r="AB43" s="79">
        <f t="shared" si="27"/>
        <v>28.625176191121394</v>
      </c>
      <c r="AC43" s="79">
        <f t="shared" si="27"/>
        <v>32.9189526197896</v>
      </c>
      <c r="AD43" s="79">
        <f t="shared" si="27"/>
        <v>37.85679551275804</v>
      </c>
      <c r="AE43" s="79">
        <f t="shared" si="27"/>
        <v>43.535314839671742</v>
      </c>
      <c r="AF43" s="79">
        <f t="shared" si="27"/>
        <v>50.065612065622496</v>
      </c>
      <c r="AG43" s="79">
        <f t="shared" si="27"/>
        <v>57.575453875465868</v>
      </c>
      <c r="AH43" s="79">
        <f t="shared" si="27"/>
        <v>66.211771956785753</v>
      </c>
      <c r="AI43" s="79">
        <f t="shared" si="27"/>
        <v>76.143537750303594</v>
      </c>
      <c r="AJ43" s="79">
        <f t="shared" ref="AJ43:BB43" si="28">(1+$C$2)^AJ$176</f>
        <v>87.565068412849115</v>
      </c>
      <c r="AK43" s="79">
        <f t="shared" si="28"/>
        <v>100.69982867477647</v>
      </c>
      <c r="AL43" s="79">
        <f t="shared" si="28"/>
        <v>115.80480297599294</v>
      </c>
      <c r="AM43" s="79">
        <f t="shared" si="28"/>
        <v>133.17552342239185</v>
      </c>
      <c r="AN43" s="79">
        <f t="shared" si="28"/>
        <v>153.15185193575064</v>
      </c>
      <c r="AO43" s="79">
        <f t="shared" si="28"/>
        <v>176.12462972611323</v>
      </c>
      <c r="AP43" s="79">
        <f t="shared" si="28"/>
        <v>202.5433241850302</v>
      </c>
      <c r="AQ43" s="79">
        <f t="shared" si="28"/>
        <v>232.92482281278467</v>
      </c>
      <c r="AR43" s="79">
        <f t="shared" si="28"/>
        <v>267.86354623470237</v>
      </c>
      <c r="AS43" s="79">
        <f t="shared" si="28"/>
        <v>308.04307816990769</v>
      </c>
      <c r="AT43" s="79">
        <f t="shared" si="28"/>
        <v>354.24953989539381</v>
      </c>
      <c r="AU43" s="79">
        <f t="shared" si="28"/>
        <v>407.38697087970286</v>
      </c>
      <c r="AV43" s="79">
        <f t="shared" si="28"/>
        <v>468.49501651165821</v>
      </c>
      <c r="AW43" s="79">
        <f t="shared" si="28"/>
        <v>538.76926898840691</v>
      </c>
      <c r="AX43" s="79">
        <f t="shared" si="28"/>
        <v>619.58465933666798</v>
      </c>
      <c r="AY43" s="79">
        <f t="shared" si="28"/>
        <v>712.52235823716796</v>
      </c>
      <c r="AZ43" s="79">
        <f t="shared" si="28"/>
        <v>819.40071197274301</v>
      </c>
      <c r="BA43" s="79">
        <f t="shared" si="28"/>
        <v>942.31081876865449</v>
      </c>
      <c r="BB43" s="79">
        <f t="shared" si="28"/>
        <v>1083.6574415839525</v>
      </c>
    </row>
    <row r="44" spans="1:54" x14ac:dyDescent="0.25">
      <c r="A44" s="180"/>
      <c r="B44" s="76" t="s">
        <v>360</v>
      </c>
      <c r="C44" s="77" t="s">
        <v>362</v>
      </c>
      <c r="D44" s="76">
        <f>D42/D43</f>
        <v>-990</v>
      </c>
      <c r="E44" s="78">
        <f>E42/E43</f>
        <v>74.325513504970374</v>
      </c>
      <c r="F44" s="78">
        <f>F42/F43</f>
        <v>67.47464008625137</v>
      </c>
      <c r="G44" s="78">
        <f t="shared" ref="G44:BB44" si="29">G42/G43</f>
        <v>61.255238478301266</v>
      </c>
      <c r="H44" s="78">
        <f t="shared" si="29"/>
        <v>55.609103453344794</v>
      </c>
      <c r="I44" s="78">
        <f t="shared" si="29"/>
        <v>50.483394787210401</v>
      </c>
      <c r="J44" s="78">
        <f t="shared" si="29"/>
        <v>45.830142745954497</v>
      </c>
      <c r="K44" s="78">
        <f t="shared" si="29"/>
        <v>41.605799153718706</v>
      </c>
      <c r="L44" s="78">
        <f t="shared" si="29"/>
        <v>37.770829840419417</v>
      </c>
      <c r="M44" s="78">
        <f t="shared" si="29"/>
        <v>34.289344655128588</v>
      </c>
      <c r="N44" s="78">
        <f t="shared" si="29"/>
        <v>31.128761582568913</v>
      </c>
      <c r="O44" s="78">
        <f t="shared" si="29"/>
        <v>28.259501819306042</v>
      </c>
      <c r="P44" s="78">
        <f t="shared" si="29"/>
        <v>25.654712955961312</v>
      </c>
      <c r="Q44" s="78">
        <f t="shared" si="29"/>
        <v>23.290017674803135</v>
      </c>
      <c r="R44" s="78">
        <f t="shared" si="29"/>
        <v>21.143285610864766</v>
      </c>
      <c r="S44" s="78">
        <f t="shared" si="29"/>
        <v>19.194426241515501</v>
      </c>
      <c r="T44" s="78">
        <f t="shared" si="29"/>
        <v>17.425200866210595</v>
      </c>
      <c r="U44" s="78">
        <f t="shared" si="29"/>
        <v>15.819051916803357</v>
      </c>
      <c r="V44" s="78">
        <f t="shared" si="29"/>
        <v>14.360948000993659</v>
      </c>
      <c r="W44" s="78">
        <f t="shared" si="29"/>
        <v>13.037243228728158</v>
      </c>
      <c r="X44" s="78">
        <f t="shared" si="29"/>
        <v>11.835549505036695</v>
      </c>
      <c r="Y44" s="78">
        <f t="shared" si="29"/>
        <v>10.744620594137659</v>
      </c>
      <c r="Z44" s="78">
        <f t="shared" si="29"/>
        <v>9.7542468698084495</v>
      </c>
      <c r="AA44" s="78">
        <f t="shared" si="29"/>
        <v>8.8551597670261089</v>
      </c>
      <c r="AB44" s="78">
        <f t="shared" si="29"/>
        <v>8.0389450406741378</v>
      </c>
      <c r="AC44" s="78">
        <f t="shared" si="29"/>
        <v>7.2979640195337394</v>
      </c>
      <c r="AD44" s="78">
        <f t="shared" si="29"/>
        <v>6.6252821186028035</v>
      </c>
      <c r="AE44" s="78">
        <f t="shared" si="29"/>
        <v>6.0146039407141991</v>
      </c>
      <c r="AF44" s="78">
        <f t="shared" si="29"/>
        <v>5.4602143600918467</v>
      </c>
      <c r="AG44" s="78">
        <f t="shared" si="29"/>
        <v>4.9569250364659894</v>
      </c>
      <c r="AH44" s="78">
        <f t="shared" si="29"/>
        <v>4.5000258591917328</v>
      </c>
      <c r="AI44" s="78">
        <f t="shared" si="29"/>
        <v>4.0852408669531926</v>
      </c>
      <c r="AJ44" s="78">
        <f t="shared" si="29"/>
        <v>3.7086882305209858</v>
      </c>
      <c r="AK44" s="78">
        <f t="shared" si="29"/>
        <v>3.3668439240555736</v>
      </c>
      <c r="AL44" s="78">
        <f t="shared" si="29"/>
        <v>3.0565087449687121</v>
      </c>
      <c r="AM44" s="78">
        <f t="shared" si="29"/>
        <v>2.7747783736933358</v>
      </c>
      <c r="AN44" s="78">
        <f t="shared" si="29"/>
        <v>2.519016193161602</v>
      </c>
      <c r="AO44" s="78">
        <f t="shared" si="29"/>
        <v>2.2868286136180109</v>
      </c>
      <c r="AP44" s="78">
        <f t="shared" si="29"/>
        <v>2.0760426718410465</v>
      </c>
      <c r="AQ44" s="78">
        <f t="shared" si="29"/>
        <v>1.8846856951322206</v>
      </c>
      <c r="AR44" s="78">
        <f t="shared" si="29"/>
        <v>1.7109668397548157</v>
      </c>
      <c r="AS44" s="78">
        <f t="shared" si="29"/>
        <v>1.5532603310469808</v>
      </c>
      <c r="AT44" s="78">
        <f t="shared" si="29"/>
        <v>1.4100902483591722</v>
      </c>
      <c r="AU44" s="78">
        <f t="shared" si="29"/>
        <v>1.2801167124234576</v>
      </c>
      <c r="AV44" s="78">
        <f t="shared" si="29"/>
        <v>1.1621233458870344</v>
      </c>
      <c r="AW44" s="78">
        <f t="shared" si="29"/>
        <v>1.0550058896574472</v>
      </c>
      <c r="AX44" s="78">
        <f t="shared" si="29"/>
        <v>0.95776186852380407</v>
      </c>
      <c r="AY44" s="78">
        <f t="shared" si="29"/>
        <v>0.86948120933813211</v>
      </c>
      <c r="AZ44" s="78">
        <f t="shared" si="29"/>
        <v>0.78933772395566093</v>
      </c>
      <c r="BA44" s="78">
        <f t="shared" si="29"/>
        <v>0.71658137722583481</v>
      </c>
      <c r="BB44" s="78">
        <f t="shared" si="29"/>
        <v>0.65053126767284486</v>
      </c>
    </row>
    <row r="45" spans="1:54" x14ac:dyDescent="0.25">
      <c r="A45" s="180"/>
      <c r="B45" s="76" t="s">
        <v>645</v>
      </c>
      <c r="C45" s="77" t="s">
        <v>362</v>
      </c>
      <c r="D45" s="76">
        <f>D44</f>
        <v>-990</v>
      </c>
      <c r="E45" s="78">
        <f>E44+D45</f>
        <v>-915.67448649502967</v>
      </c>
      <c r="F45" s="78">
        <f t="shared" ref="F45:BB45" si="30">F44+E45</f>
        <v>-848.19984640877828</v>
      </c>
      <c r="G45" s="78">
        <f t="shared" si="30"/>
        <v>-786.94460793047699</v>
      </c>
      <c r="H45" s="78">
        <f t="shared" si="30"/>
        <v>-731.33550447713219</v>
      </c>
      <c r="I45" s="78">
        <f t="shared" si="30"/>
        <v>-680.8521096899218</v>
      </c>
      <c r="J45" s="78">
        <f t="shared" si="30"/>
        <v>-635.0219669439673</v>
      </c>
      <c r="K45" s="78">
        <f t="shared" si="30"/>
        <v>-593.41616779024855</v>
      </c>
      <c r="L45" s="78">
        <f t="shared" si="30"/>
        <v>-555.64533794982913</v>
      </c>
      <c r="M45" s="78">
        <f t="shared" si="30"/>
        <v>-521.35599329470051</v>
      </c>
      <c r="N45" s="78">
        <f t="shared" si="30"/>
        <v>-490.22723171213158</v>
      </c>
      <c r="O45" s="78">
        <f t="shared" si="30"/>
        <v>-461.96772989282556</v>
      </c>
      <c r="P45" s="78">
        <f t="shared" si="30"/>
        <v>-436.31301693686424</v>
      </c>
      <c r="Q45" s="78">
        <f t="shared" si="30"/>
        <v>-413.02299926206109</v>
      </c>
      <c r="R45" s="78">
        <f t="shared" si="30"/>
        <v>-391.87971365119631</v>
      </c>
      <c r="S45" s="78">
        <f t="shared" si="30"/>
        <v>-372.68528740968083</v>
      </c>
      <c r="T45" s="78">
        <f t="shared" si="30"/>
        <v>-355.26008654347021</v>
      </c>
      <c r="U45" s="78">
        <f t="shared" si="30"/>
        <v>-339.44103462666686</v>
      </c>
      <c r="V45" s="78">
        <f t="shared" si="30"/>
        <v>-325.08008662567318</v>
      </c>
      <c r="W45" s="78">
        <f t="shared" si="30"/>
        <v>-312.04284339694505</v>
      </c>
      <c r="X45" s="78">
        <f t="shared" si="30"/>
        <v>-300.20729389190836</v>
      </c>
      <c r="Y45" s="78">
        <f t="shared" si="30"/>
        <v>-289.46267329777072</v>
      </c>
      <c r="Z45" s="78">
        <f t="shared" si="30"/>
        <v>-279.70842642796225</v>
      </c>
      <c r="AA45" s="78">
        <f t="shared" si="30"/>
        <v>-270.85326666093613</v>
      </c>
      <c r="AB45" s="78">
        <f t="shared" si="30"/>
        <v>-262.81432162026198</v>
      </c>
      <c r="AC45" s="78">
        <f t="shared" si="30"/>
        <v>-255.51635760072824</v>
      </c>
      <c r="AD45" s="78">
        <f t="shared" si="30"/>
        <v>-248.89107548212544</v>
      </c>
      <c r="AE45" s="78">
        <f t="shared" si="30"/>
        <v>-242.87647154141123</v>
      </c>
      <c r="AF45" s="78">
        <f t="shared" si="30"/>
        <v>-237.41625718131939</v>
      </c>
      <c r="AG45" s="78">
        <f t="shared" si="30"/>
        <v>-232.45933214485342</v>
      </c>
      <c r="AH45" s="78">
        <f t="shared" si="30"/>
        <v>-227.95930628566168</v>
      </c>
      <c r="AI45" s="78">
        <f t="shared" si="30"/>
        <v>-223.87406541870848</v>
      </c>
      <c r="AJ45" s="78">
        <f t="shared" si="30"/>
        <v>-220.16537718818751</v>
      </c>
      <c r="AK45" s="78">
        <f t="shared" si="30"/>
        <v>-216.79853326413192</v>
      </c>
      <c r="AL45" s="78">
        <f t="shared" si="30"/>
        <v>-213.74202451916321</v>
      </c>
      <c r="AM45" s="78">
        <f t="shared" si="30"/>
        <v>-210.96724614546989</v>
      </c>
      <c r="AN45" s="78">
        <f t="shared" si="30"/>
        <v>-208.44822995230828</v>
      </c>
      <c r="AO45" s="78">
        <f t="shared" si="30"/>
        <v>-206.16140133869027</v>
      </c>
      <c r="AP45" s="78">
        <f t="shared" si="30"/>
        <v>-204.08535866684923</v>
      </c>
      <c r="AQ45" s="78">
        <f t="shared" si="30"/>
        <v>-202.20067297171701</v>
      </c>
      <c r="AR45" s="78">
        <f t="shared" si="30"/>
        <v>-200.48970613196221</v>
      </c>
      <c r="AS45" s="78">
        <f t="shared" si="30"/>
        <v>-198.93644580091524</v>
      </c>
      <c r="AT45" s="78">
        <f t="shared" si="30"/>
        <v>-197.52635555255605</v>
      </c>
      <c r="AU45" s="78">
        <f t="shared" si="30"/>
        <v>-196.24623884013261</v>
      </c>
      <c r="AV45" s="78">
        <f t="shared" si="30"/>
        <v>-195.08411549424557</v>
      </c>
      <c r="AW45" s="78">
        <f t="shared" si="30"/>
        <v>-194.02910960458811</v>
      </c>
      <c r="AX45" s="78">
        <f t="shared" si="30"/>
        <v>-193.0713477360643</v>
      </c>
      <c r="AY45" s="78">
        <f t="shared" si="30"/>
        <v>-192.20186652672618</v>
      </c>
      <c r="AZ45" s="78">
        <f t="shared" si="30"/>
        <v>-191.41252880277051</v>
      </c>
      <c r="BA45" s="78">
        <f t="shared" si="30"/>
        <v>-190.69594742554469</v>
      </c>
      <c r="BB45" s="78">
        <f t="shared" si="30"/>
        <v>-190.04541615787184</v>
      </c>
    </row>
    <row r="46" spans="1:54" x14ac:dyDescent="0.25">
      <c r="A46" s="180"/>
      <c r="B46" s="80" t="s">
        <v>361</v>
      </c>
      <c r="C46" s="81" t="s">
        <v>362</v>
      </c>
      <c r="D46" s="92">
        <f>SUM(D44:BB44)</f>
        <v>-190.04541615787184</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row>
    <row r="47" spans="1:54" x14ac:dyDescent="0.25">
      <c r="A47" s="177" t="s">
        <v>556</v>
      </c>
      <c r="B47" t="s">
        <v>363</v>
      </c>
      <c r="C47" s="72" t="s">
        <v>362</v>
      </c>
      <c r="D47">
        <f>-(PV!$B$56*PV!$B$60)/South_Facade_PV!$B$7</f>
        <v>-10496.90625</v>
      </c>
      <c r="E47">
        <v>0</v>
      </c>
      <c r="F47">
        <v>0</v>
      </c>
      <c r="G47">
        <v>0</v>
      </c>
      <c r="H47">
        <v>0</v>
      </c>
      <c r="I47">
        <v>0</v>
      </c>
      <c r="J47">
        <v>0</v>
      </c>
      <c r="K47">
        <v>0</v>
      </c>
      <c r="L47">
        <v>0</v>
      </c>
      <c r="M47">
        <v>0</v>
      </c>
      <c r="N47">
        <f>-((PV!$B$78*PV!$B$56)/South_Facade_PV!$B$7)*(1+$C$1)^N$176</f>
        <v>-10326.234225075821</v>
      </c>
      <c r="O47">
        <v>0</v>
      </c>
      <c r="P47">
        <v>0</v>
      </c>
      <c r="Q47">
        <v>0</v>
      </c>
      <c r="R47">
        <v>0</v>
      </c>
      <c r="S47">
        <v>0</v>
      </c>
      <c r="T47">
        <v>0</v>
      </c>
      <c r="U47">
        <v>0</v>
      </c>
      <c r="V47">
        <v>0</v>
      </c>
      <c r="W47">
        <v>0</v>
      </c>
      <c r="X47">
        <f>-((PV!$B$78*PV!$B$56)/South_Facade_PV!$B$7)*(1+$C$1)^X$176</f>
        <v>-15883.527467180058</v>
      </c>
      <c r="Y47">
        <v>0</v>
      </c>
      <c r="Z47">
        <v>0</v>
      </c>
      <c r="AA47">
        <v>0</v>
      </c>
      <c r="AB47">
        <v>0</v>
      </c>
      <c r="AC47">
        <f>-(PV!$B$80*PV!$B$56/South_Facade_PV!$B$7)*(1+$C$1)^AC$176</f>
        <v>-5852.600068650725</v>
      </c>
      <c r="AD47">
        <v>0</v>
      </c>
      <c r="AE47">
        <v>0</v>
      </c>
      <c r="AF47">
        <v>0</v>
      </c>
      <c r="AG47">
        <v>0</v>
      </c>
      <c r="AH47">
        <f>-((PV!$B$78*PV!$B$56)/South_Facade_PV!$B$7)*(1+$C$1)^AH$176</f>
        <v>-24431.602005310015</v>
      </c>
      <c r="AI47">
        <v>0</v>
      </c>
      <c r="AJ47">
        <v>0</v>
      </c>
      <c r="AK47">
        <v>0</v>
      </c>
      <c r="AL47">
        <v>0</v>
      </c>
      <c r="AM47">
        <v>0</v>
      </c>
      <c r="AN47">
        <v>0</v>
      </c>
      <c r="AO47">
        <v>0</v>
      </c>
      <c r="AP47">
        <v>0</v>
      </c>
      <c r="AQ47">
        <v>0</v>
      </c>
      <c r="AR47">
        <f>-((PV!$B$78*PV!$B$56)/South_Facade_PV!$B$7)*(1+$C$1)^AR$176</f>
        <v>-37580.013493806226</v>
      </c>
      <c r="AS47">
        <v>0</v>
      </c>
      <c r="AT47">
        <v>0</v>
      </c>
      <c r="AU47">
        <v>0</v>
      </c>
      <c r="AV47">
        <v>0</v>
      </c>
      <c r="AW47">
        <v>0</v>
      </c>
      <c r="AX47">
        <v>0</v>
      </c>
      <c r="AY47">
        <v>0</v>
      </c>
      <c r="AZ47">
        <v>0</v>
      </c>
      <c r="BA47">
        <v>0</v>
      </c>
      <c r="BB47">
        <v>0</v>
      </c>
    </row>
    <row r="48" spans="1:54" x14ac:dyDescent="0.25">
      <c r="A48" s="177"/>
      <c r="B48" t="s">
        <v>356</v>
      </c>
      <c r="C48" s="72" t="s">
        <v>362</v>
      </c>
      <c r="D48">
        <v>0</v>
      </c>
      <c r="E48" s="18">
        <f>ABS('Annual Calculations'!$Q$11)*(1+$C$3)^E$176</f>
        <v>497.20893735247802</v>
      </c>
      <c r="F48" s="18">
        <f>ABS('Annual Calculations'!$Q$11)*(1+$C$3)^F$176</f>
        <v>519.08613059598702</v>
      </c>
      <c r="G48" s="18">
        <f>ABS('Annual Calculations'!$Q$11)*(1+$C$3)^G$176</f>
        <v>541.92592034221047</v>
      </c>
      <c r="H48" s="18">
        <f>ABS('Annual Calculations'!$Q$11)*(1+$C$3)^H$176</f>
        <v>565.77066083726777</v>
      </c>
      <c r="I48" s="18">
        <f>ABS('Annual Calculations'!$Q$11)*(1+$C$3)^I$176</f>
        <v>590.66456991410746</v>
      </c>
      <c r="J48" s="18">
        <f>ABS('Annual Calculations'!$Q$11)*(1+$C$3)^J$176</f>
        <v>616.65381099032834</v>
      </c>
      <c r="K48" s="18">
        <f>ABS('Annual Calculations'!$Q$11)*(1+$C$3)^K$176</f>
        <v>643.7865786739028</v>
      </c>
      <c r="L48" s="18">
        <f>ABS('Annual Calculations'!$Q$11)*(1+$C$3)^L$176</f>
        <v>672.11318813555454</v>
      </c>
      <c r="M48" s="18">
        <f>ABS('Annual Calculations'!$Q$11)*(1+$C$3)^M$176</f>
        <v>701.686168413519</v>
      </c>
      <c r="N48" s="18">
        <f>ABS('Annual Calculations'!$Q$11)*(1+$C$3)^N$176</f>
        <v>732.56035982371372</v>
      </c>
      <c r="O48" s="18">
        <f>ABS('Annual Calculations'!$Q$11)*(1+$C$3)^O$176</f>
        <v>764.79301565595722</v>
      </c>
      <c r="P48" s="18">
        <f>ABS('Annual Calculations'!$Q$11)*(1+$C$3)^P$176</f>
        <v>798.44390834481931</v>
      </c>
      <c r="Q48" s="18">
        <f>ABS('Annual Calculations'!$Q$11)*(1+$C$3)^Q$176</f>
        <v>833.57544031199131</v>
      </c>
      <c r="R48" s="18">
        <f>ABS('Annual Calculations'!$Q$11)*(1+$C$3)^R$176</f>
        <v>870.25275968571896</v>
      </c>
      <c r="S48" s="18">
        <f>ABS('Annual Calculations'!$Q$11)*(1+$C$3)^S$176</f>
        <v>908.54388111189076</v>
      </c>
      <c r="T48" s="18">
        <f>ABS('Annual Calculations'!$Q$11)*(1+$C$3)^T$176</f>
        <v>948.51981188081379</v>
      </c>
      <c r="U48" s="18">
        <f>ABS('Annual Calculations'!$Q$11)*(1+$C$3)^U$176</f>
        <v>990.25468360356956</v>
      </c>
      <c r="V48" s="18">
        <f>ABS('Annual Calculations'!$Q$11)*(1+$C$3)^V$176</f>
        <v>1033.8258896821269</v>
      </c>
      <c r="W48" s="18">
        <f>ABS('Annual Calculations'!$Q$11)*(1+$C$3)^W$176</f>
        <v>1079.3142288281404</v>
      </c>
      <c r="X48" s="18">
        <f>ABS('Annual Calculations'!$Q$11)*(1+$C$3)^X$176</f>
        <v>1126.8040548965787</v>
      </c>
      <c r="Y48" s="18">
        <f>ABS('Annual Calculations'!$Q$11)*(1+$C$3)^Y$176</f>
        <v>1176.383433312028</v>
      </c>
      <c r="Z48" s="18">
        <f>ABS('Annual Calculations'!$Q$11)*(1+$C$3)^Z$176</f>
        <v>1228.1443043777574</v>
      </c>
      <c r="AA48" s="18">
        <f>ABS('Annual Calculations'!$Q$11)*(1+$C$3)^AA$176</f>
        <v>1282.1826537703787</v>
      </c>
      <c r="AB48" s="18">
        <f>ABS('Annual Calculations'!$Q$11)*(1+$C$3)^AB$176</f>
        <v>1338.5986905362754</v>
      </c>
      <c r="AC48" s="18">
        <f>ABS('Annual Calculations'!$Q$11)*(1+$C$3)^AC$176</f>
        <v>1397.4970329198716</v>
      </c>
      <c r="AD48" s="18">
        <f>ABS('Annual Calculations'!$Q$11)*(1+$C$3)^AD$176</f>
        <v>1458.9869023683459</v>
      </c>
      <c r="AE48" s="18">
        <f>ABS('Annual Calculations'!$Q$11)*(1+$C$3)^AE$176</f>
        <v>1523.1823260725532</v>
      </c>
      <c r="AF48" s="18">
        <f>ABS('Annual Calculations'!$Q$11)*(1+$C$3)^AF$176</f>
        <v>1590.2023484197455</v>
      </c>
      <c r="AG48" s="18">
        <f>ABS('Annual Calculations'!$Q$11)*(1+$C$3)^AG$176</f>
        <v>1660.1712517502142</v>
      </c>
      <c r="AH48" s="18">
        <f>ABS('Annual Calculations'!$Q$11)*(1+$C$3)^AH$176</f>
        <v>1733.2187868272238</v>
      </c>
      <c r="AI48" s="18">
        <f>ABS('Annual Calculations'!$Q$11)*(1+$C$3)^AI$176</f>
        <v>1809.4804134476219</v>
      </c>
      <c r="AJ48" s="18">
        <f>ABS('Annual Calculations'!$Q$11)*(1+$C$3)^AJ$176</f>
        <v>1889.0975516393171</v>
      </c>
      <c r="AK48" s="18">
        <f>ABS('Annual Calculations'!$Q$11)*(1+$C$3)^AK$176</f>
        <v>1972.2178439114473</v>
      </c>
      <c r="AL48" s="18">
        <f>ABS('Annual Calculations'!$Q$11)*(1+$C$3)^AL$176</f>
        <v>2058.9954290435508</v>
      </c>
      <c r="AM48" s="18">
        <f>ABS('Annual Calculations'!$Q$11)*(1+$C$3)^AM$176</f>
        <v>2149.5912279214672</v>
      </c>
      <c r="AN48" s="18">
        <f>ABS('Annual Calculations'!$Q$11)*(1+$C$3)^AN$176</f>
        <v>2244.1732419500117</v>
      </c>
      <c r="AO48" s="18">
        <f>ABS('Annual Calculations'!$Q$11)*(1+$C$3)^AO$176</f>
        <v>2342.9168645958121</v>
      </c>
      <c r="AP48" s="18">
        <f>ABS('Annual Calculations'!$Q$11)*(1+$C$3)^AP$176</f>
        <v>2446.0052066380281</v>
      </c>
      <c r="AQ48" s="18">
        <f>ABS('Annual Calculations'!$Q$11)*(1+$C$3)^AQ$176</f>
        <v>2553.6294357301017</v>
      </c>
      <c r="AR48" s="18">
        <f>ABS('Annual Calculations'!$Q$11)*(1+$C$3)^AR$176</f>
        <v>2665.9891309022255</v>
      </c>
      <c r="AS48" s="18">
        <f>ABS('Annual Calculations'!$Q$11)*(1+$C$3)^AS$176</f>
        <v>2783.292652661924</v>
      </c>
      <c r="AT48" s="18">
        <f>ABS('Annual Calculations'!$Q$11)*(1+$C$3)^AT$176</f>
        <v>2905.7575293790487</v>
      </c>
      <c r="AU48" s="18">
        <f>ABS('Annual Calculations'!$Q$11)*(1+$C$3)^AU$176</f>
        <v>3033.6108606717271</v>
      </c>
      <c r="AV48" s="18">
        <f>ABS('Annual Calculations'!$Q$11)*(1+$C$3)^AV$176</f>
        <v>3167.0897385412832</v>
      </c>
      <c r="AW48" s="18">
        <f>ABS('Annual Calculations'!$Q$11)*(1+$C$3)^AW$176</f>
        <v>3306.4416870370992</v>
      </c>
      <c r="AX48" s="18">
        <f>ABS('Annual Calculations'!$Q$11)*(1+$C$3)^AX$176</f>
        <v>3451.9251212667318</v>
      </c>
      <c r="AY48" s="18">
        <f>ABS('Annual Calculations'!$Q$11)*(1+$C$3)^AY$176</f>
        <v>3603.8098266024685</v>
      </c>
      <c r="AZ48" s="18">
        <f>ABS('Annual Calculations'!$Q$11)*(1+$C$3)^AZ$176</f>
        <v>3762.3774589729765</v>
      </c>
      <c r="BA48" s="18">
        <f>ABS('Annual Calculations'!$Q$11)*(1+$C$3)^BA$176</f>
        <v>3927.9220671677876</v>
      </c>
      <c r="BB48" s="18">
        <f>ABS('Annual Calculations'!$Q$11)*(1+$C$3)^BB$176</f>
        <v>4100.7506381231706</v>
      </c>
    </row>
    <row r="49" spans="1:54" x14ac:dyDescent="0.25">
      <c r="A49" s="177"/>
      <c r="B49" t="s">
        <v>357</v>
      </c>
      <c r="C49" s="72" t="s">
        <v>362</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row>
    <row r="50" spans="1:54" x14ac:dyDescent="0.25">
      <c r="A50" s="177"/>
      <c r="B50" t="s">
        <v>358</v>
      </c>
      <c r="C50" s="72" t="s">
        <v>362</v>
      </c>
      <c r="D50">
        <f>SUM(D47:D49)</f>
        <v>-10496.90625</v>
      </c>
      <c r="E50" s="18">
        <f t="shared" ref="E50:BB50" si="31">SUM(E47:E49)</f>
        <v>497.20893735247802</v>
      </c>
      <c r="F50" s="18">
        <f t="shared" si="31"/>
        <v>519.08613059598702</v>
      </c>
      <c r="G50" s="18">
        <f t="shared" si="31"/>
        <v>541.92592034221047</v>
      </c>
      <c r="H50" s="18">
        <f t="shared" si="31"/>
        <v>565.77066083726777</v>
      </c>
      <c r="I50" s="18">
        <f t="shared" si="31"/>
        <v>590.66456991410746</v>
      </c>
      <c r="J50" s="18">
        <f t="shared" si="31"/>
        <v>616.65381099032834</v>
      </c>
      <c r="K50" s="18">
        <f t="shared" si="31"/>
        <v>643.7865786739028</v>
      </c>
      <c r="L50" s="18">
        <f t="shared" si="31"/>
        <v>672.11318813555454</v>
      </c>
      <c r="M50" s="18">
        <f t="shared" si="31"/>
        <v>701.686168413519</v>
      </c>
      <c r="N50" s="18">
        <f t="shared" si="31"/>
        <v>-9593.6738652521071</v>
      </c>
      <c r="O50" s="18">
        <f t="shared" si="31"/>
        <v>764.79301565595722</v>
      </c>
      <c r="P50" s="18">
        <f t="shared" si="31"/>
        <v>798.44390834481931</v>
      </c>
      <c r="Q50" s="18">
        <f t="shared" si="31"/>
        <v>833.57544031199131</v>
      </c>
      <c r="R50" s="18">
        <f t="shared" si="31"/>
        <v>870.25275968571896</v>
      </c>
      <c r="S50" s="18">
        <f t="shared" si="31"/>
        <v>908.54388111189076</v>
      </c>
      <c r="T50" s="18">
        <f t="shared" si="31"/>
        <v>948.51981188081379</v>
      </c>
      <c r="U50" s="18">
        <f t="shared" si="31"/>
        <v>990.25468360356956</v>
      </c>
      <c r="V50" s="18">
        <f t="shared" si="31"/>
        <v>1033.8258896821269</v>
      </c>
      <c r="W50" s="18">
        <f t="shared" si="31"/>
        <v>1079.3142288281404</v>
      </c>
      <c r="X50" s="18">
        <f t="shared" si="31"/>
        <v>-14756.72341228348</v>
      </c>
      <c r="Y50" s="18">
        <f t="shared" si="31"/>
        <v>1176.383433312028</v>
      </c>
      <c r="Z50" s="18">
        <f t="shared" si="31"/>
        <v>1228.1443043777574</v>
      </c>
      <c r="AA50" s="18">
        <f t="shared" si="31"/>
        <v>1282.1826537703787</v>
      </c>
      <c r="AB50" s="18">
        <f t="shared" si="31"/>
        <v>1338.5986905362754</v>
      </c>
      <c r="AC50" s="18">
        <f t="shared" si="31"/>
        <v>-4455.1030357308537</v>
      </c>
      <c r="AD50" s="18">
        <f t="shared" si="31"/>
        <v>1458.9869023683459</v>
      </c>
      <c r="AE50" s="18">
        <f t="shared" si="31"/>
        <v>1523.1823260725532</v>
      </c>
      <c r="AF50" s="18">
        <f t="shared" si="31"/>
        <v>1590.2023484197455</v>
      </c>
      <c r="AG50" s="18">
        <f t="shared" si="31"/>
        <v>1660.1712517502142</v>
      </c>
      <c r="AH50" s="18">
        <f t="shared" si="31"/>
        <v>-22698.383218482792</v>
      </c>
      <c r="AI50" s="18">
        <f t="shared" si="31"/>
        <v>1809.4804134476219</v>
      </c>
      <c r="AJ50" s="18">
        <f t="shared" si="31"/>
        <v>1889.0975516393171</v>
      </c>
      <c r="AK50" s="18">
        <f t="shared" si="31"/>
        <v>1972.2178439114473</v>
      </c>
      <c r="AL50" s="18">
        <f t="shared" si="31"/>
        <v>2058.9954290435508</v>
      </c>
      <c r="AM50" s="18">
        <f t="shared" si="31"/>
        <v>2149.5912279214672</v>
      </c>
      <c r="AN50" s="18">
        <f t="shared" si="31"/>
        <v>2244.1732419500117</v>
      </c>
      <c r="AO50" s="18">
        <f t="shared" si="31"/>
        <v>2342.9168645958121</v>
      </c>
      <c r="AP50" s="18">
        <f t="shared" si="31"/>
        <v>2446.0052066380281</v>
      </c>
      <c r="AQ50" s="18">
        <f t="shared" si="31"/>
        <v>2553.6294357301017</v>
      </c>
      <c r="AR50" s="18">
        <f t="shared" si="31"/>
        <v>-34914.024362903998</v>
      </c>
      <c r="AS50" s="18">
        <f t="shared" si="31"/>
        <v>2783.292652661924</v>
      </c>
      <c r="AT50" s="18">
        <f t="shared" si="31"/>
        <v>2905.7575293790487</v>
      </c>
      <c r="AU50" s="18">
        <f t="shared" si="31"/>
        <v>3033.6108606717271</v>
      </c>
      <c r="AV50" s="18">
        <f t="shared" si="31"/>
        <v>3167.0897385412832</v>
      </c>
      <c r="AW50" s="18">
        <f t="shared" si="31"/>
        <v>3306.4416870370992</v>
      </c>
      <c r="AX50" s="18">
        <f t="shared" si="31"/>
        <v>3451.9251212667318</v>
      </c>
      <c r="AY50" s="18">
        <f t="shared" si="31"/>
        <v>3603.8098266024685</v>
      </c>
      <c r="AZ50" s="18">
        <f t="shared" si="31"/>
        <v>3762.3774589729765</v>
      </c>
      <c r="BA50" s="18">
        <f t="shared" si="31"/>
        <v>3927.9220671677876</v>
      </c>
      <c r="BB50" s="18">
        <f t="shared" si="31"/>
        <v>4100.7506381231706</v>
      </c>
    </row>
    <row r="51" spans="1:54" x14ac:dyDescent="0.25">
      <c r="A51" s="177"/>
      <c r="B51" t="s">
        <v>359</v>
      </c>
      <c r="C51" s="72"/>
      <c r="D51">
        <f t="shared" ref="D51:AI51" si="32">(1+$C$2)^D$176</f>
        <v>1</v>
      </c>
      <c r="E51" s="40">
        <f t="shared" si="32"/>
        <v>1.1499999999999999</v>
      </c>
      <c r="F51" s="40">
        <f t="shared" si="32"/>
        <v>1.3224999999999998</v>
      </c>
      <c r="G51" s="40">
        <f t="shared" si="32"/>
        <v>1.5208749999999995</v>
      </c>
      <c r="H51" s="40">
        <f t="shared" si="32"/>
        <v>1.7490062499999994</v>
      </c>
      <c r="I51" s="40">
        <f t="shared" si="32"/>
        <v>2.0113571874999994</v>
      </c>
      <c r="J51" s="40">
        <f t="shared" si="32"/>
        <v>2.3130607656249991</v>
      </c>
      <c r="K51" s="40">
        <f t="shared" si="32"/>
        <v>2.6600198804687483</v>
      </c>
      <c r="L51" s="40">
        <f t="shared" si="32"/>
        <v>3.0590228625390603</v>
      </c>
      <c r="M51" s="40">
        <f t="shared" si="32"/>
        <v>3.5178762919199191</v>
      </c>
      <c r="N51" s="40">
        <f t="shared" si="32"/>
        <v>4.0455577357079067</v>
      </c>
      <c r="O51" s="40">
        <f t="shared" si="32"/>
        <v>4.6523913960640924</v>
      </c>
      <c r="P51" s="40">
        <f t="shared" si="32"/>
        <v>5.3502501054737053</v>
      </c>
      <c r="Q51" s="40">
        <f t="shared" si="32"/>
        <v>6.1527876212947614</v>
      </c>
      <c r="R51" s="40">
        <f t="shared" si="32"/>
        <v>7.0757057644889754</v>
      </c>
      <c r="S51" s="40">
        <f t="shared" si="32"/>
        <v>8.1370616291623197</v>
      </c>
      <c r="T51" s="40">
        <f t="shared" si="32"/>
        <v>9.3576208735366659</v>
      </c>
      <c r="U51" s="40">
        <f t="shared" si="32"/>
        <v>10.761264004567165</v>
      </c>
      <c r="V51" s="40">
        <f t="shared" si="32"/>
        <v>12.375453605252238</v>
      </c>
      <c r="W51" s="40">
        <f t="shared" si="32"/>
        <v>14.231771646040073</v>
      </c>
      <c r="X51" s="40">
        <f t="shared" si="32"/>
        <v>16.366537392946082</v>
      </c>
      <c r="Y51" s="40">
        <f t="shared" si="32"/>
        <v>18.821518001887995</v>
      </c>
      <c r="Z51" s="40">
        <f t="shared" si="32"/>
        <v>21.644745702171193</v>
      </c>
      <c r="AA51" s="40">
        <f t="shared" si="32"/>
        <v>24.891457557496867</v>
      </c>
      <c r="AB51" s="40">
        <f t="shared" si="32"/>
        <v>28.625176191121394</v>
      </c>
      <c r="AC51" s="40">
        <f t="shared" si="32"/>
        <v>32.9189526197896</v>
      </c>
      <c r="AD51" s="40">
        <f t="shared" si="32"/>
        <v>37.85679551275804</v>
      </c>
      <c r="AE51" s="40">
        <f t="shared" si="32"/>
        <v>43.535314839671742</v>
      </c>
      <c r="AF51" s="40">
        <f t="shared" si="32"/>
        <v>50.065612065622496</v>
      </c>
      <c r="AG51" s="40">
        <f t="shared" si="32"/>
        <v>57.575453875465868</v>
      </c>
      <c r="AH51" s="40">
        <f t="shared" si="32"/>
        <v>66.211771956785753</v>
      </c>
      <c r="AI51" s="40">
        <f t="shared" si="32"/>
        <v>76.143537750303594</v>
      </c>
      <c r="AJ51" s="40">
        <f t="shared" ref="AJ51:BB51" si="33">(1+$C$2)^AJ$176</f>
        <v>87.565068412849115</v>
      </c>
      <c r="AK51" s="40">
        <f t="shared" si="33"/>
        <v>100.69982867477647</v>
      </c>
      <c r="AL51" s="40">
        <f t="shared" si="33"/>
        <v>115.80480297599294</v>
      </c>
      <c r="AM51" s="40">
        <f t="shared" si="33"/>
        <v>133.17552342239185</v>
      </c>
      <c r="AN51" s="40">
        <f t="shared" si="33"/>
        <v>153.15185193575064</v>
      </c>
      <c r="AO51" s="40">
        <f t="shared" si="33"/>
        <v>176.12462972611323</v>
      </c>
      <c r="AP51" s="40">
        <f t="shared" si="33"/>
        <v>202.5433241850302</v>
      </c>
      <c r="AQ51" s="40">
        <f t="shared" si="33"/>
        <v>232.92482281278467</v>
      </c>
      <c r="AR51" s="40">
        <f t="shared" si="33"/>
        <v>267.86354623470237</v>
      </c>
      <c r="AS51" s="40">
        <f t="shared" si="33"/>
        <v>308.04307816990769</v>
      </c>
      <c r="AT51" s="40">
        <f t="shared" si="33"/>
        <v>354.24953989539381</v>
      </c>
      <c r="AU51" s="40">
        <f t="shared" si="33"/>
        <v>407.38697087970286</v>
      </c>
      <c r="AV51" s="40">
        <f t="shared" si="33"/>
        <v>468.49501651165821</v>
      </c>
      <c r="AW51" s="40">
        <f t="shared" si="33"/>
        <v>538.76926898840691</v>
      </c>
      <c r="AX51" s="40">
        <f t="shared" si="33"/>
        <v>619.58465933666798</v>
      </c>
      <c r="AY51" s="40">
        <f t="shared" si="33"/>
        <v>712.52235823716796</v>
      </c>
      <c r="AZ51" s="40">
        <f t="shared" si="33"/>
        <v>819.40071197274301</v>
      </c>
      <c r="BA51" s="40">
        <f t="shared" si="33"/>
        <v>942.31081876865449</v>
      </c>
      <c r="BB51" s="40">
        <f t="shared" si="33"/>
        <v>1083.6574415839525</v>
      </c>
    </row>
    <row r="52" spans="1:54" x14ac:dyDescent="0.25">
      <c r="A52" s="177"/>
      <c r="B52" t="s">
        <v>360</v>
      </c>
      <c r="C52" s="72" t="s">
        <v>362</v>
      </c>
      <c r="D52">
        <f>D50/D51</f>
        <v>-10496.90625</v>
      </c>
      <c r="E52" s="18">
        <f>E50/E51</f>
        <v>432.35559769780701</v>
      </c>
      <c r="F52" s="18">
        <f>F50/F51</f>
        <v>392.50369043174828</v>
      </c>
      <c r="G52" s="18">
        <f t="shared" ref="G52:BB52" si="34">G50/G51</f>
        <v>356.3250894006481</v>
      </c>
      <c r="H52" s="18">
        <f t="shared" si="34"/>
        <v>323.48121159502313</v>
      </c>
      <c r="I52" s="18">
        <f t="shared" si="34"/>
        <v>293.66468252626447</v>
      </c>
      <c r="J52" s="18">
        <f t="shared" si="34"/>
        <v>266.59645961514798</v>
      </c>
      <c r="K52" s="18">
        <f t="shared" si="34"/>
        <v>242.02322072888222</v>
      </c>
      <c r="L52" s="18">
        <f t="shared" si="34"/>
        <v>219.71499342691573</v>
      </c>
      <c r="M52" s="18">
        <f t="shared" si="34"/>
        <v>199.46300272843482</v>
      </c>
      <c r="N52" s="18">
        <f t="shared" si="34"/>
        <v>-2371.4094550113673</v>
      </c>
      <c r="O52" s="18">
        <f t="shared" si="34"/>
        <v>164.38707549475944</v>
      </c>
      <c r="P52" s="18">
        <f t="shared" si="34"/>
        <v>149.23487549263382</v>
      </c>
      <c r="Q52" s="18">
        <f t="shared" si="34"/>
        <v>135.47931305592147</v>
      </c>
      <c r="R52" s="18">
        <f t="shared" si="34"/>
        <v>122.9916546351148</v>
      </c>
      <c r="S52" s="18">
        <f t="shared" si="34"/>
        <v>111.65503255570427</v>
      </c>
      <c r="T52" s="18">
        <f t="shared" si="34"/>
        <v>101.36335129404804</v>
      </c>
      <c r="U52" s="18">
        <f t="shared" si="34"/>
        <v>92.020294566074924</v>
      </c>
      <c r="V52" s="18">
        <f t="shared" si="34"/>
        <v>83.538423936506319</v>
      </c>
      <c r="W52" s="18">
        <f t="shared" si="34"/>
        <v>75.838360512793557</v>
      </c>
      <c r="X52" s="18">
        <f t="shared" si="34"/>
        <v>-901.63991673911266</v>
      </c>
      <c r="Y52" s="18">
        <f t="shared" si="34"/>
        <v>62.502048622965717</v>
      </c>
      <c r="Z52" s="18">
        <f t="shared" si="34"/>
        <v>56.740990228153237</v>
      </c>
      <c r="AA52" s="18">
        <f t="shared" si="34"/>
        <v>51.510951128862601</v>
      </c>
      <c r="AB52" s="18">
        <f t="shared" si="34"/>
        <v>46.762985198723968</v>
      </c>
      <c r="AC52" s="18">
        <f t="shared" si="34"/>
        <v>-135.33550375028088</v>
      </c>
      <c r="AD52" s="18">
        <f t="shared" si="34"/>
        <v>38.539630272632444</v>
      </c>
      <c r="AE52" s="18">
        <f t="shared" si="34"/>
        <v>34.987281743155023</v>
      </c>
      <c r="AF52" s="18">
        <f t="shared" si="34"/>
        <v>31.762367078133785</v>
      </c>
      <c r="AG52" s="18">
        <f t="shared" si="34"/>
        <v>28.834705417018842</v>
      </c>
      <c r="AH52" s="18">
        <f t="shared" si="34"/>
        <v>-342.81491867182291</v>
      </c>
      <c r="AI52" s="18">
        <f t="shared" si="34"/>
        <v>23.76407068688383</v>
      </c>
      <c r="AJ52" s="18">
        <f t="shared" si="34"/>
        <v>21.573643301831932</v>
      </c>
      <c r="AK52" s="18">
        <f t="shared" si="34"/>
        <v>19.585116180097863</v>
      </c>
      <c r="AL52" s="18">
        <f t="shared" si="34"/>
        <v>17.779879384367099</v>
      </c>
      <c r="AM52" s="18">
        <f t="shared" si="34"/>
        <v>16.14103832806892</v>
      </c>
      <c r="AN52" s="18">
        <f t="shared" si="34"/>
        <v>14.653255664786045</v>
      </c>
      <c r="AO52" s="18">
        <f t="shared" si="34"/>
        <v>13.3026077513362</v>
      </c>
      <c r="AP52" s="18">
        <f t="shared" si="34"/>
        <v>12.07645434121304</v>
      </c>
      <c r="AQ52" s="18">
        <f t="shared" si="34"/>
        <v>10.963320288892538</v>
      </c>
      <c r="AR52" s="18">
        <f t="shared" si="34"/>
        <v>-130.34257499268784</v>
      </c>
      <c r="AS52" s="18">
        <f t="shared" si="34"/>
        <v>9.0354007277084154</v>
      </c>
      <c r="AT52" s="18">
        <f t="shared" si="34"/>
        <v>8.2025724867196406</v>
      </c>
      <c r="AU52" s="18">
        <f t="shared" si="34"/>
        <v>7.4465092835959172</v>
      </c>
      <c r="AV52" s="18">
        <f t="shared" si="34"/>
        <v>6.7601353844122949</v>
      </c>
      <c r="AW52" s="18">
        <f t="shared" si="34"/>
        <v>6.1370272533273358</v>
      </c>
      <c r="AX52" s="18">
        <f t="shared" si="34"/>
        <v>5.571353436933685</v>
      </c>
      <c r="AY52" s="18">
        <f t="shared" si="34"/>
        <v>5.0578199897032787</v>
      </c>
      <c r="AZ52" s="18">
        <f t="shared" si="34"/>
        <v>4.5916209297828026</v>
      </c>
      <c r="BA52" s="18">
        <f t="shared" si="34"/>
        <v>4.1683932614723878</v>
      </c>
      <c r="BB52" s="18">
        <f t="shared" si="34"/>
        <v>3.7841761434584118</v>
      </c>
    </row>
    <row r="53" spans="1:54" x14ac:dyDescent="0.25">
      <c r="A53" s="177"/>
      <c r="B53" s="76" t="s">
        <v>645</v>
      </c>
      <c r="C53" s="77" t="s">
        <v>362</v>
      </c>
      <c r="D53" s="76">
        <f>D52</f>
        <v>-10496.90625</v>
      </c>
      <c r="E53" s="78">
        <f>E52+D53</f>
        <v>-10064.550652302192</v>
      </c>
      <c r="F53" s="78">
        <f t="shared" ref="F53:BB53" si="35">F52+E53</f>
        <v>-9672.0469618704446</v>
      </c>
      <c r="G53" s="78">
        <f t="shared" si="35"/>
        <v>-9315.7218724697959</v>
      </c>
      <c r="H53" s="78">
        <f t="shared" si="35"/>
        <v>-8992.2406608747733</v>
      </c>
      <c r="I53" s="78">
        <f t="shared" si="35"/>
        <v>-8698.5759783485082</v>
      </c>
      <c r="J53" s="78">
        <f t="shared" si="35"/>
        <v>-8431.9795187333602</v>
      </c>
      <c r="K53" s="78">
        <f t="shared" si="35"/>
        <v>-8189.9562980044784</v>
      </c>
      <c r="L53" s="78">
        <f t="shared" si="35"/>
        <v>-7970.2413045775629</v>
      </c>
      <c r="M53" s="78">
        <f t="shared" si="35"/>
        <v>-7770.7783018491282</v>
      </c>
      <c r="N53" s="78">
        <f t="shared" si="35"/>
        <v>-10142.187756860496</v>
      </c>
      <c r="O53" s="78">
        <f t="shared" si="35"/>
        <v>-9977.8006813657357</v>
      </c>
      <c r="P53" s="78">
        <f t="shared" si="35"/>
        <v>-9828.5658058731024</v>
      </c>
      <c r="Q53" s="78">
        <f t="shared" si="35"/>
        <v>-9693.0864928171814</v>
      </c>
      <c r="R53" s="78">
        <f t="shared" si="35"/>
        <v>-9570.0948381820672</v>
      </c>
      <c r="S53" s="78">
        <f t="shared" si="35"/>
        <v>-9458.4398056263635</v>
      </c>
      <c r="T53" s="78">
        <f t="shared" si="35"/>
        <v>-9357.0764543323148</v>
      </c>
      <c r="U53" s="78">
        <f t="shared" si="35"/>
        <v>-9265.0561597662399</v>
      </c>
      <c r="V53" s="78">
        <f t="shared" si="35"/>
        <v>-9181.5177358297333</v>
      </c>
      <c r="W53" s="78">
        <f t="shared" si="35"/>
        <v>-9105.6793753169404</v>
      </c>
      <c r="X53" s="78">
        <f t="shared" si="35"/>
        <v>-10007.319292056052</v>
      </c>
      <c r="Y53" s="78">
        <f t="shared" si="35"/>
        <v>-9944.8172434330863</v>
      </c>
      <c r="Z53" s="78">
        <f t="shared" si="35"/>
        <v>-9888.0762532049339</v>
      </c>
      <c r="AA53" s="78">
        <f t="shared" si="35"/>
        <v>-9836.565302076071</v>
      </c>
      <c r="AB53" s="78">
        <f t="shared" si="35"/>
        <v>-9789.802316877347</v>
      </c>
      <c r="AC53" s="78">
        <f t="shared" si="35"/>
        <v>-9925.1378206276277</v>
      </c>
      <c r="AD53" s="78">
        <f t="shared" si="35"/>
        <v>-9886.5981903549946</v>
      </c>
      <c r="AE53" s="78">
        <f t="shared" si="35"/>
        <v>-9851.6109086118395</v>
      </c>
      <c r="AF53" s="78">
        <f t="shared" si="35"/>
        <v>-9819.8485415337054</v>
      </c>
      <c r="AG53" s="78">
        <f t="shared" si="35"/>
        <v>-9791.0138361166864</v>
      </c>
      <c r="AH53" s="78">
        <f t="shared" si="35"/>
        <v>-10133.82875478851</v>
      </c>
      <c r="AI53" s="78">
        <f t="shared" si="35"/>
        <v>-10110.064684101626</v>
      </c>
      <c r="AJ53" s="78">
        <f t="shared" si="35"/>
        <v>-10088.491040799794</v>
      </c>
      <c r="AK53" s="78">
        <f t="shared" si="35"/>
        <v>-10068.905924619696</v>
      </c>
      <c r="AL53" s="78">
        <f t="shared" si="35"/>
        <v>-10051.126045235329</v>
      </c>
      <c r="AM53" s="78">
        <f t="shared" si="35"/>
        <v>-10034.98500690726</v>
      </c>
      <c r="AN53" s="78">
        <f t="shared" si="35"/>
        <v>-10020.331751242475</v>
      </c>
      <c r="AO53" s="78">
        <f t="shared" si="35"/>
        <v>-10007.029143491138</v>
      </c>
      <c r="AP53" s="78">
        <f t="shared" si="35"/>
        <v>-9994.9526891499245</v>
      </c>
      <c r="AQ53" s="78">
        <f t="shared" si="35"/>
        <v>-9983.9893688610318</v>
      </c>
      <c r="AR53" s="78">
        <f t="shared" si="35"/>
        <v>-10114.33194385372</v>
      </c>
      <c r="AS53" s="78">
        <f t="shared" si="35"/>
        <v>-10105.296543126011</v>
      </c>
      <c r="AT53" s="78">
        <f t="shared" si="35"/>
        <v>-10097.093970639291</v>
      </c>
      <c r="AU53" s="78">
        <f t="shared" si="35"/>
        <v>-10089.647461355695</v>
      </c>
      <c r="AV53" s="78">
        <f t="shared" si="35"/>
        <v>-10082.887325971282</v>
      </c>
      <c r="AW53" s="78">
        <f t="shared" si="35"/>
        <v>-10076.750298717954</v>
      </c>
      <c r="AX53" s="78">
        <f t="shared" si="35"/>
        <v>-10071.178945281021</v>
      </c>
      <c r="AY53" s="78">
        <f t="shared" si="35"/>
        <v>-10066.121125291318</v>
      </c>
      <c r="AZ53" s="78">
        <f t="shared" si="35"/>
        <v>-10061.529504361535</v>
      </c>
      <c r="BA53" s="78">
        <f t="shared" si="35"/>
        <v>-10057.361111100063</v>
      </c>
      <c r="BB53" s="78">
        <f t="shared" si="35"/>
        <v>-10053.576934956604</v>
      </c>
    </row>
    <row r="54" spans="1:54" x14ac:dyDescent="0.25">
      <c r="A54" s="177"/>
      <c r="B54" s="22" t="s">
        <v>361</v>
      </c>
      <c r="C54" s="75" t="s">
        <v>362</v>
      </c>
      <c r="D54" s="93">
        <f>SUM(D52:BB52)</f>
        <v>-10053.576934956604</v>
      </c>
    </row>
    <row r="55" spans="1:54" x14ac:dyDescent="0.25">
      <c r="A55" s="177" t="s">
        <v>852</v>
      </c>
      <c r="B55" t="s">
        <v>363</v>
      </c>
      <c r="C55" s="72" t="s">
        <v>362</v>
      </c>
      <c r="D55">
        <f>-(PV!$B$56*PV!$E$60)/South_Facade_PV!$B$7</f>
        <v>-4533.875</v>
      </c>
      <c r="E55">
        <v>0</v>
      </c>
      <c r="F55">
        <v>0</v>
      </c>
      <c r="G55">
        <v>0</v>
      </c>
      <c r="H55">
        <v>0</v>
      </c>
      <c r="I55">
        <v>0</v>
      </c>
      <c r="J55">
        <v>0</v>
      </c>
      <c r="K55">
        <v>0</v>
      </c>
      <c r="L55">
        <v>0</v>
      </c>
      <c r="M55">
        <v>0</v>
      </c>
      <c r="N55">
        <f>-((PV!$B$79*PV!$B$56)/South_Facade_PV!$B$7)*(1+$C$1)^N$176</f>
        <v>-2084.5839781075706</v>
      </c>
      <c r="O55">
        <v>0</v>
      </c>
      <c r="P55">
        <v>0</v>
      </c>
      <c r="Q55">
        <v>0</v>
      </c>
      <c r="R55">
        <v>0</v>
      </c>
      <c r="S55">
        <v>0</v>
      </c>
      <c r="T55">
        <v>0</v>
      </c>
      <c r="U55">
        <v>0</v>
      </c>
      <c r="V55">
        <v>0</v>
      </c>
      <c r="W55">
        <v>0</v>
      </c>
      <c r="X55">
        <f>-((PV!$B$79*PV!$B$56)/South_Facade_PV!$B$7)*(1+$C$1)^X$176</f>
        <v>-3206.4493359554754</v>
      </c>
      <c r="Y55">
        <v>0</v>
      </c>
      <c r="Z55">
        <v>0</v>
      </c>
      <c r="AA55">
        <v>0</v>
      </c>
      <c r="AB55">
        <v>0</v>
      </c>
      <c r="AC55">
        <f>-(PV!$B$80*PV!$B$56/South_Facade_PV!$B$7)*(1+$C$1)^AC$176</f>
        <v>-5852.600068650725</v>
      </c>
      <c r="AD55">
        <v>0</v>
      </c>
      <c r="AE55">
        <v>0</v>
      </c>
      <c r="AF55">
        <v>0</v>
      </c>
      <c r="AG55">
        <v>0</v>
      </c>
      <c r="AH55">
        <f>-((PV!$B$79*PV!$B$56)/South_Facade_PV!$B$7)*(1+$C$1)^AH$176</f>
        <v>-4932.0715557753192</v>
      </c>
      <c r="AI55">
        <v>0</v>
      </c>
      <c r="AJ55">
        <v>0</v>
      </c>
      <c r="AK55">
        <v>0</v>
      </c>
      <c r="AL55">
        <v>0</v>
      </c>
      <c r="AM55">
        <v>0</v>
      </c>
      <c r="AN55">
        <v>0</v>
      </c>
      <c r="AO55">
        <v>0</v>
      </c>
      <c r="AP55">
        <v>0</v>
      </c>
      <c r="AQ55">
        <v>0</v>
      </c>
      <c r="AR55">
        <f>-((PV!$B$79*PV!$B$56)/South_Facade_PV!$B$7)*(1+$C$1)^AR$176</f>
        <v>-7586.3758577178269</v>
      </c>
      <c r="AS55">
        <v>0</v>
      </c>
      <c r="AT55">
        <v>0</v>
      </c>
      <c r="AU55">
        <v>0</v>
      </c>
      <c r="AV55">
        <v>0</v>
      </c>
      <c r="AW55">
        <v>0</v>
      </c>
      <c r="AX55">
        <v>0</v>
      </c>
      <c r="AY55">
        <v>0</v>
      </c>
      <c r="AZ55">
        <v>0</v>
      </c>
      <c r="BA55">
        <v>0</v>
      </c>
      <c r="BB55">
        <v>0</v>
      </c>
    </row>
    <row r="56" spans="1:54" x14ac:dyDescent="0.25">
      <c r="A56" s="177"/>
      <c r="B56" t="s">
        <v>356</v>
      </c>
      <c r="C56" s="72" t="s">
        <v>362</v>
      </c>
      <c r="D56">
        <v>0</v>
      </c>
      <c r="E56" s="18">
        <f>ABS('Annual Calculations'!$Q$11)*(1+$C$3)^E$176</f>
        <v>497.20893735247802</v>
      </c>
      <c r="F56" s="18">
        <f>ABS('Annual Calculations'!$Q$11)*(1+$C$3)^F$176</f>
        <v>519.08613059598702</v>
      </c>
      <c r="G56" s="18">
        <f>ABS('Annual Calculations'!$Q$11)*(1+$C$3)^G$176</f>
        <v>541.92592034221047</v>
      </c>
      <c r="H56" s="18">
        <f>ABS('Annual Calculations'!$Q$11)*(1+$C$3)^H$176</f>
        <v>565.77066083726777</v>
      </c>
      <c r="I56" s="18">
        <f>ABS('Annual Calculations'!$Q$11)*(1+$C$3)^I$176</f>
        <v>590.66456991410746</v>
      </c>
      <c r="J56" s="18">
        <f>ABS('Annual Calculations'!$Q$11)*(1+$C$3)^J$176</f>
        <v>616.65381099032834</v>
      </c>
      <c r="K56" s="18">
        <f>ABS('Annual Calculations'!$Q$11)*(1+$C$3)^K$176</f>
        <v>643.7865786739028</v>
      </c>
      <c r="L56" s="18">
        <f>ABS('Annual Calculations'!$Q$11)*(1+$C$3)^L$176</f>
        <v>672.11318813555454</v>
      </c>
      <c r="M56" s="18">
        <f>ABS('Annual Calculations'!$Q$11)*(1+$C$3)^M$176</f>
        <v>701.686168413519</v>
      </c>
      <c r="N56" s="18">
        <f>ABS('Annual Calculations'!$Q$11)*(1+$C$3)^N$176</f>
        <v>732.56035982371372</v>
      </c>
      <c r="O56" s="18">
        <f>ABS('Annual Calculations'!$Q$11)*(1+$C$3)^O$176</f>
        <v>764.79301565595722</v>
      </c>
      <c r="P56" s="18">
        <f>ABS('Annual Calculations'!$Q$11)*(1+$C$3)^P$176</f>
        <v>798.44390834481931</v>
      </c>
      <c r="Q56" s="18">
        <f>ABS('Annual Calculations'!$Q$11)*(1+$C$3)^Q$176</f>
        <v>833.57544031199131</v>
      </c>
      <c r="R56" s="18">
        <f>ABS('Annual Calculations'!$Q$11)*(1+$C$3)^R$176</f>
        <v>870.25275968571896</v>
      </c>
      <c r="S56" s="18">
        <f>ABS('Annual Calculations'!$Q$11)*(1+$C$3)^S$176</f>
        <v>908.54388111189076</v>
      </c>
      <c r="T56" s="18">
        <f>ABS('Annual Calculations'!$Q$11)*(1+$C$3)^T$176</f>
        <v>948.51981188081379</v>
      </c>
      <c r="U56" s="18">
        <f>ABS('Annual Calculations'!$Q$11)*(1+$C$3)^U$176</f>
        <v>990.25468360356956</v>
      </c>
      <c r="V56" s="18">
        <f>ABS('Annual Calculations'!$Q$11)*(1+$C$3)^V$176</f>
        <v>1033.8258896821269</v>
      </c>
      <c r="W56" s="18">
        <f>ABS('Annual Calculations'!$Q$11)*(1+$C$3)^W$176</f>
        <v>1079.3142288281404</v>
      </c>
      <c r="X56" s="18">
        <f>ABS('Annual Calculations'!$Q$11)*(1+$C$3)^X$176</f>
        <v>1126.8040548965787</v>
      </c>
      <c r="Y56" s="18">
        <f>ABS('Annual Calculations'!$Q$11)*(1+$C$3)^Y$176</f>
        <v>1176.383433312028</v>
      </c>
      <c r="Z56" s="18">
        <f>ABS('Annual Calculations'!$Q$11)*(1+$C$3)^Z$176</f>
        <v>1228.1443043777574</v>
      </c>
      <c r="AA56" s="18">
        <f>ABS('Annual Calculations'!$Q$11)*(1+$C$3)^AA$176</f>
        <v>1282.1826537703787</v>
      </c>
      <c r="AB56" s="18">
        <f>ABS('Annual Calculations'!$Q$11)*(1+$C$3)^AB$176</f>
        <v>1338.5986905362754</v>
      </c>
      <c r="AC56" s="18">
        <f>ABS('Annual Calculations'!$Q$11)*(1+$C$3)^AC$176</f>
        <v>1397.4970329198716</v>
      </c>
      <c r="AD56" s="18">
        <f>ABS('Annual Calculations'!$Q$11)*(1+$C$3)^AD$176</f>
        <v>1458.9869023683459</v>
      </c>
      <c r="AE56" s="18">
        <f>ABS('Annual Calculations'!$Q$11)*(1+$C$3)^AE$176</f>
        <v>1523.1823260725532</v>
      </c>
      <c r="AF56" s="18">
        <f>ABS('Annual Calculations'!$Q$11)*(1+$C$3)^AF$176</f>
        <v>1590.2023484197455</v>
      </c>
      <c r="AG56" s="18">
        <f>ABS('Annual Calculations'!$Q$11)*(1+$C$3)^AG$176</f>
        <v>1660.1712517502142</v>
      </c>
      <c r="AH56" s="18">
        <f>ABS('Annual Calculations'!$Q$11)*(1+$C$3)^AH$176</f>
        <v>1733.2187868272238</v>
      </c>
      <c r="AI56" s="18">
        <f>ABS('Annual Calculations'!$Q$11)*(1+$C$3)^AI$176</f>
        <v>1809.4804134476219</v>
      </c>
      <c r="AJ56" s="18">
        <f>ABS('Annual Calculations'!$Q$11)*(1+$C$3)^AJ$176</f>
        <v>1889.0975516393171</v>
      </c>
      <c r="AK56" s="18">
        <f>ABS('Annual Calculations'!$Q$11)*(1+$C$3)^AK$176</f>
        <v>1972.2178439114473</v>
      </c>
      <c r="AL56" s="18">
        <f>ABS('Annual Calculations'!$Q$11)*(1+$C$3)^AL$176</f>
        <v>2058.9954290435508</v>
      </c>
      <c r="AM56" s="18">
        <f>ABS('Annual Calculations'!$Q$11)*(1+$C$3)^AM$176</f>
        <v>2149.5912279214672</v>
      </c>
      <c r="AN56" s="18">
        <f>ABS('Annual Calculations'!$Q$11)*(1+$C$3)^AN$176</f>
        <v>2244.1732419500117</v>
      </c>
      <c r="AO56" s="18">
        <f>ABS('Annual Calculations'!$Q$11)*(1+$C$3)^AO$176</f>
        <v>2342.9168645958121</v>
      </c>
      <c r="AP56" s="18">
        <f>ABS('Annual Calculations'!$Q$11)*(1+$C$3)^AP$176</f>
        <v>2446.0052066380281</v>
      </c>
      <c r="AQ56" s="18">
        <f>ABS('Annual Calculations'!$Q$11)*(1+$C$3)^AQ$176</f>
        <v>2553.6294357301017</v>
      </c>
      <c r="AR56" s="18">
        <f>ABS('Annual Calculations'!$Q$11)*(1+$C$3)^AR$176</f>
        <v>2665.9891309022255</v>
      </c>
      <c r="AS56" s="18">
        <f>ABS('Annual Calculations'!$Q$11)*(1+$C$3)^AS$176</f>
        <v>2783.292652661924</v>
      </c>
      <c r="AT56" s="18">
        <f>ABS('Annual Calculations'!$Q$11)*(1+$C$3)^AT$176</f>
        <v>2905.7575293790487</v>
      </c>
      <c r="AU56" s="18">
        <f>ABS('Annual Calculations'!$Q$11)*(1+$C$3)^AU$176</f>
        <v>3033.6108606717271</v>
      </c>
      <c r="AV56" s="18">
        <f>ABS('Annual Calculations'!$Q$11)*(1+$C$3)^AV$176</f>
        <v>3167.0897385412832</v>
      </c>
      <c r="AW56" s="18">
        <f>ABS('Annual Calculations'!$Q$11)*(1+$C$3)^AW$176</f>
        <v>3306.4416870370992</v>
      </c>
      <c r="AX56" s="18">
        <f>ABS('Annual Calculations'!$Q$11)*(1+$C$3)^AX$176</f>
        <v>3451.9251212667318</v>
      </c>
      <c r="AY56" s="18">
        <f>ABS('Annual Calculations'!$Q$11)*(1+$C$3)^AY$176</f>
        <v>3603.8098266024685</v>
      </c>
      <c r="AZ56" s="18">
        <f>ABS('Annual Calculations'!$Q$11)*(1+$C$3)^AZ$176</f>
        <v>3762.3774589729765</v>
      </c>
      <c r="BA56" s="18">
        <f>ABS('Annual Calculations'!$Q$11)*(1+$C$3)^BA$176</f>
        <v>3927.9220671677876</v>
      </c>
      <c r="BB56" s="18">
        <f>ABS('Annual Calculations'!$Q$11)*(1+$C$3)^BB$176</f>
        <v>4100.7506381231706</v>
      </c>
    </row>
    <row r="57" spans="1:54" x14ac:dyDescent="0.25">
      <c r="A57" s="177"/>
      <c r="B57" t="s">
        <v>357</v>
      </c>
      <c r="C57" s="72" t="s">
        <v>362</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row>
    <row r="58" spans="1:54" x14ac:dyDescent="0.25">
      <c r="A58" s="177"/>
      <c r="B58" t="s">
        <v>358</v>
      </c>
      <c r="C58" s="72" t="s">
        <v>362</v>
      </c>
      <c r="D58">
        <f>SUM(D55:D57)</f>
        <v>-4533.875</v>
      </c>
      <c r="E58" s="18">
        <f t="shared" ref="E58:BB58" si="36">SUM(E55:E57)</f>
        <v>497.20893735247802</v>
      </c>
      <c r="F58" s="18">
        <f t="shared" si="36"/>
        <v>519.08613059598702</v>
      </c>
      <c r="G58" s="18">
        <f t="shared" si="36"/>
        <v>541.92592034221047</v>
      </c>
      <c r="H58" s="18">
        <f t="shared" si="36"/>
        <v>565.77066083726777</v>
      </c>
      <c r="I58" s="18">
        <f t="shared" si="36"/>
        <v>590.66456991410746</v>
      </c>
      <c r="J58" s="18">
        <f t="shared" si="36"/>
        <v>616.65381099032834</v>
      </c>
      <c r="K58" s="18">
        <f t="shared" si="36"/>
        <v>643.7865786739028</v>
      </c>
      <c r="L58" s="18">
        <f t="shared" si="36"/>
        <v>672.11318813555454</v>
      </c>
      <c r="M58" s="18">
        <f t="shared" si="36"/>
        <v>701.686168413519</v>
      </c>
      <c r="N58" s="18">
        <f t="shared" si="36"/>
        <v>-1352.0236182838569</v>
      </c>
      <c r="O58" s="18">
        <f t="shared" si="36"/>
        <v>764.79301565595722</v>
      </c>
      <c r="P58" s="18">
        <f t="shared" si="36"/>
        <v>798.44390834481931</v>
      </c>
      <c r="Q58" s="18">
        <f t="shared" si="36"/>
        <v>833.57544031199131</v>
      </c>
      <c r="R58" s="18">
        <f t="shared" si="36"/>
        <v>870.25275968571896</v>
      </c>
      <c r="S58" s="18">
        <f t="shared" si="36"/>
        <v>908.54388111189076</v>
      </c>
      <c r="T58" s="18">
        <f t="shared" si="36"/>
        <v>948.51981188081379</v>
      </c>
      <c r="U58" s="18">
        <f t="shared" si="36"/>
        <v>990.25468360356956</v>
      </c>
      <c r="V58" s="18">
        <f t="shared" si="36"/>
        <v>1033.8258896821269</v>
      </c>
      <c r="W58" s="18">
        <f t="shared" si="36"/>
        <v>1079.3142288281404</v>
      </c>
      <c r="X58" s="18">
        <f t="shared" si="36"/>
        <v>-2079.6452810588967</v>
      </c>
      <c r="Y58" s="18">
        <f t="shared" si="36"/>
        <v>1176.383433312028</v>
      </c>
      <c r="Z58" s="18">
        <f t="shared" si="36"/>
        <v>1228.1443043777574</v>
      </c>
      <c r="AA58" s="18">
        <f t="shared" si="36"/>
        <v>1282.1826537703787</v>
      </c>
      <c r="AB58" s="18">
        <f t="shared" si="36"/>
        <v>1338.5986905362754</v>
      </c>
      <c r="AC58" s="18">
        <f t="shared" si="36"/>
        <v>-4455.1030357308537</v>
      </c>
      <c r="AD58" s="18">
        <f t="shared" si="36"/>
        <v>1458.9869023683459</v>
      </c>
      <c r="AE58" s="18">
        <f t="shared" si="36"/>
        <v>1523.1823260725532</v>
      </c>
      <c r="AF58" s="18">
        <f t="shared" si="36"/>
        <v>1590.2023484197455</v>
      </c>
      <c r="AG58" s="18">
        <f t="shared" si="36"/>
        <v>1660.1712517502142</v>
      </c>
      <c r="AH58" s="18">
        <f t="shared" si="36"/>
        <v>-3198.8527689480952</v>
      </c>
      <c r="AI58" s="18">
        <f t="shared" si="36"/>
        <v>1809.4804134476219</v>
      </c>
      <c r="AJ58" s="18">
        <f t="shared" si="36"/>
        <v>1889.0975516393171</v>
      </c>
      <c r="AK58" s="18">
        <f t="shared" si="36"/>
        <v>1972.2178439114473</v>
      </c>
      <c r="AL58" s="18">
        <f t="shared" si="36"/>
        <v>2058.9954290435508</v>
      </c>
      <c r="AM58" s="18">
        <f t="shared" si="36"/>
        <v>2149.5912279214672</v>
      </c>
      <c r="AN58" s="18">
        <f t="shared" si="36"/>
        <v>2244.1732419500117</v>
      </c>
      <c r="AO58" s="18">
        <f t="shared" si="36"/>
        <v>2342.9168645958121</v>
      </c>
      <c r="AP58" s="18">
        <f t="shared" si="36"/>
        <v>2446.0052066380281</v>
      </c>
      <c r="AQ58" s="18">
        <f t="shared" si="36"/>
        <v>2553.6294357301017</v>
      </c>
      <c r="AR58" s="18">
        <f t="shared" si="36"/>
        <v>-4920.3867268156009</v>
      </c>
      <c r="AS58" s="18">
        <f t="shared" si="36"/>
        <v>2783.292652661924</v>
      </c>
      <c r="AT58" s="18">
        <f t="shared" si="36"/>
        <v>2905.7575293790487</v>
      </c>
      <c r="AU58" s="18">
        <f t="shared" si="36"/>
        <v>3033.6108606717271</v>
      </c>
      <c r="AV58" s="18">
        <f t="shared" si="36"/>
        <v>3167.0897385412832</v>
      </c>
      <c r="AW58" s="18">
        <f t="shared" si="36"/>
        <v>3306.4416870370992</v>
      </c>
      <c r="AX58" s="18">
        <f t="shared" si="36"/>
        <v>3451.9251212667318</v>
      </c>
      <c r="AY58" s="18">
        <f t="shared" si="36"/>
        <v>3603.8098266024685</v>
      </c>
      <c r="AZ58" s="18">
        <f t="shared" si="36"/>
        <v>3762.3774589729765</v>
      </c>
      <c r="BA58" s="18">
        <f t="shared" si="36"/>
        <v>3927.9220671677876</v>
      </c>
      <c r="BB58" s="18">
        <f t="shared" si="36"/>
        <v>4100.7506381231706</v>
      </c>
    </row>
    <row r="59" spans="1:54" x14ac:dyDescent="0.25">
      <c r="A59" s="177"/>
      <c r="B59" t="s">
        <v>359</v>
      </c>
      <c r="C59" s="72"/>
      <c r="D59">
        <f t="shared" ref="D59:AI59" si="37">(1+$C$2)^D$176</f>
        <v>1</v>
      </c>
      <c r="E59" s="40">
        <f t="shared" si="37"/>
        <v>1.1499999999999999</v>
      </c>
      <c r="F59" s="40">
        <f t="shared" si="37"/>
        <v>1.3224999999999998</v>
      </c>
      <c r="G59" s="40">
        <f t="shared" si="37"/>
        <v>1.5208749999999995</v>
      </c>
      <c r="H59" s="40">
        <f t="shared" si="37"/>
        <v>1.7490062499999994</v>
      </c>
      <c r="I59" s="40">
        <f t="shared" si="37"/>
        <v>2.0113571874999994</v>
      </c>
      <c r="J59" s="40">
        <f t="shared" si="37"/>
        <v>2.3130607656249991</v>
      </c>
      <c r="K59" s="40">
        <f t="shared" si="37"/>
        <v>2.6600198804687483</v>
      </c>
      <c r="L59" s="40">
        <f t="shared" si="37"/>
        <v>3.0590228625390603</v>
      </c>
      <c r="M59" s="40">
        <f t="shared" si="37"/>
        <v>3.5178762919199191</v>
      </c>
      <c r="N59" s="40">
        <f t="shared" si="37"/>
        <v>4.0455577357079067</v>
      </c>
      <c r="O59" s="40">
        <f t="shared" si="37"/>
        <v>4.6523913960640924</v>
      </c>
      <c r="P59" s="40">
        <f t="shared" si="37"/>
        <v>5.3502501054737053</v>
      </c>
      <c r="Q59" s="40">
        <f t="shared" si="37"/>
        <v>6.1527876212947614</v>
      </c>
      <c r="R59" s="40">
        <f t="shared" si="37"/>
        <v>7.0757057644889754</v>
      </c>
      <c r="S59" s="40">
        <f t="shared" si="37"/>
        <v>8.1370616291623197</v>
      </c>
      <c r="T59" s="40">
        <f t="shared" si="37"/>
        <v>9.3576208735366659</v>
      </c>
      <c r="U59" s="40">
        <f t="shared" si="37"/>
        <v>10.761264004567165</v>
      </c>
      <c r="V59" s="40">
        <f t="shared" si="37"/>
        <v>12.375453605252238</v>
      </c>
      <c r="W59" s="40">
        <f t="shared" si="37"/>
        <v>14.231771646040073</v>
      </c>
      <c r="X59" s="40">
        <f t="shared" si="37"/>
        <v>16.366537392946082</v>
      </c>
      <c r="Y59" s="40">
        <f t="shared" si="37"/>
        <v>18.821518001887995</v>
      </c>
      <c r="Z59" s="40">
        <f t="shared" si="37"/>
        <v>21.644745702171193</v>
      </c>
      <c r="AA59" s="40">
        <f t="shared" si="37"/>
        <v>24.891457557496867</v>
      </c>
      <c r="AB59" s="40">
        <f t="shared" si="37"/>
        <v>28.625176191121394</v>
      </c>
      <c r="AC59" s="40">
        <f t="shared" si="37"/>
        <v>32.9189526197896</v>
      </c>
      <c r="AD59" s="40">
        <f t="shared" si="37"/>
        <v>37.85679551275804</v>
      </c>
      <c r="AE59" s="40">
        <f t="shared" si="37"/>
        <v>43.535314839671742</v>
      </c>
      <c r="AF59" s="40">
        <f t="shared" si="37"/>
        <v>50.065612065622496</v>
      </c>
      <c r="AG59" s="40">
        <f t="shared" si="37"/>
        <v>57.575453875465868</v>
      </c>
      <c r="AH59" s="40">
        <f t="shared" si="37"/>
        <v>66.211771956785753</v>
      </c>
      <c r="AI59" s="40">
        <f t="shared" si="37"/>
        <v>76.143537750303594</v>
      </c>
      <c r="AJ59" s="40">
        <f t="shared" ref="AJ59:BB59" si="38">(1+$C$2)^AJ$176</f>
        <v>87.565068412849115</v>
      </c>
      <c r="AK59" s="40">
        <f t="shared" si="38"/>
        <v>100.69982867477647</v>
      </c>
      <c r="AL59" s="40">
        <f t="shared" si="38"/>
        <v>115.80480297599294</v>
      </c>
      <c r="AM59" s="40">
        <f t="shared" si="38"/>
        <v>133.17552342239185</v>
      </c>
      <c r="AN59" s="40">
        <f t="shared" si="38"/>
        <v>153.15185193575064</v>
      </c>
      <c r="AO59" s="40">
        <f t="shared" si="38"/>
        <v>176.12462972611323</v>
      </c>
      <c r="AP59" s="40">
        <f t="shared" si="38"/>
        <v>202.5433241850302</v>
      </c>
      <c r="AQ59" s="40">
        <f t="shared" si="38"/>
        <v>232.92482281278467</v>
      </c>
      <c r="AR59" s="40">
        <f t="shared" si="38"/>
        <v>267.86354623470237</v>
      </c>
      <c r="AS59" s="40">
        <f t="shared" si="38"/>
        <v>308.04307816990769</v>
      </c>
      <c r="AT59" s="40">
        <f t="shared" si="38"/>
        <v>354.24953989539381</v>
      </c>
      <c r="AU59" s="40">
        <f t="shared" si="38"/>
        <v>407.38697087970286</v>
      </c>
      <c r="AV59" s="40">
        <f t="shared" si="38"/>
        <v>468.49501651165821</v>
      </c>
      <c r="AW59" s="40">
        <f t="shared" si="38"/>
        <v>538.76926898840691</v>
      </c>
      <c r="AX59" s="40">
        <f t="shared" si="38"/>
        <v>619.58465933666798</v>
      </c>
      <c r="AY59" s="40">
        <f t="shared" si="38"/>
        <v>712.52235823716796</v>
      </c>
      <c r="AZ59" s="40">
        <f t="shared" si="38"/>
        <v>819.40071197274301</v>
      </c>
      <c r="BA59" s="40">
        <f t="shared" si="38"/>
        <v>942.31081876865449</v>
      </c>
      <c r="BB59" s="40">
        <f t="shared" si="38"/>
        <v>1083.6574415839525</v>
      </c>
    </row>
    <row r="60" spans="1:54" x14ac:dyDescent="0.25">
      <c r="A60" s="177"/>
      <c r="B60" t="s">
        <v>360</v>
      </c>
      <c r="C60" s="72" t="s">
        <v>362</v>
      </c>
      <c r="D60">
        <f>D58/D59</f>
        <v>-4533.875</v>
      </c>
      <c r="E60" s="18">
        <f>E58/E59</f>
        <v>432.35559769780701</v>
      </c>
      <c r="F60" s="18">
        <f>F58/F59</f>
        <v>392.50369043174828</v>
      </c>
      <c r="G60" s="18">
        <f t="shared" ref="G60:BB60" si="39">G58/G59</f>
        <v>356.3250894006481</v>
      </c>
      <c r="H60" s="18">
        <f t="shared" si="39"/>
        <v>323.48121159502313</v>
      </c>
      <c r="I60" s="18">
        <f t="shared" si="39"/>
        <v>293.66468252626447</v>
      </c>
      <c r="J60" s="18">
        <f t="shared" si="39"/>
        <v>266.59645961514798</v>
      </c>
      <c r="K60" s="18">
        <f t="shared" si="39"/>
        <v>242.02322072888222</v>
      </c>
      <c r="L60" s="18">
        <f t="shared" si="39"/>
        <v>219.71499342691573</v>
      </c>
      <c r="M60" s="18">
        <f t="shared" si="39"/>
        <v>199.46300272843482</v>
      </c>
      <c r="N60" s="18">
        <f t="shared" si="39"/>
        <v>-334.1995607553169</v>
      </c>
      <c r="O60" s="18">
        <f t="shared" si="39"/>
        <v>164.38707549475944</v>
      </c>
      <c r="P60" s="18">
        <f t="shared" si="39"/>
        <v>149.23487549263382</v>
      </c>
      <c r="Q60" s="18">
        <f t="shared" si="39"/>
        <v>135.47931305592147</v>
      </c>
      <c r="R60" s="18">
        <f t="shared" si="39"/>
        <v>122.9916546351148</v>
      </c>
      <c r="S60" s="18">
        <f t="shared" si="39"/>
        <v>111.65503255570427</v>
      </c>
      <c r="T60" s="18">
        <f t="shared" si="39"/>
        <v>101.36335129404804</v>
      </c>
      <c r="U60" s="18">
        <f t="shared" si="39"/>
        <v>92.020294566074924</v>
      </c>
      <c r="V60" s="18">
        <f t="shared" si="39"/>
        <v>83.538423936506319</v>
      </c>
      <c r="W60" s="18">
        <f t="shared" si="39"/>
        <v>75.838360512793557</v>
      </c>
      <c r="X60" s="18">
        <f t="shared" si="39"/>
        <v>-127.06690677010374</v>
      </c>
      <c r="Y60" s="18">
        <f t="shared" si="39"/>
        <v>62.502048622965717</v>
      </c>
      <c r="Z60" s="18">
        <f t="shared" si="39"/>
        <v>56.740990228153237</v>
      </c>
      <c r="AA60" s="18">
        <f t="shared" si="39"/>
        <v>51.510951128862601</v>
      </c>
      <c r="AB60" s="18">
        <f t="shared" si="39"/>
        <v>46.762985198723968</v>
      </c>
      <c r="AC60" s="18">
        <f t="shared" si="39"/>
        <v>-135.33550375028088</v>
      </c>
      <c r="AD60" s="18">
        <f t="shared" si="39"/>
        <v>38.539630272632444</v>
      </c>
      <c r="AE60" s="18">
        <f t="shared" si="39"/>
        <v>34.987281743155023</v>
      </c>
      <c r="AF60" s="18">
        <f t="shared" si="39"/>
        <v>31.762367078133785</v>
      </c>
      <c r="AG60" s="18">
        <f t="shared" si="39"/>
        <v>28.834705417018842</v>
      </c>
      <c r="AH60" s="18">
        <f t="shared" si="39"/>
        <v>-48.312447687336949</v>
      </c>
      <c r="AI60" s="18">
        <f t="shared" si="39"/>
        <v>23.76407068688383</v>
      </c>
      <c r="AJ60" s="18">
        <f t="shared" si="39"/>
        <v>21.573643301831932</v>
      </c>
      <c r="AK60" s="18">
        <f t="shared" si="39"/>
        <v>19.585116180097863</v>
      </c>
      <c r="AL60" s="18">
        <f t="shared" si="39"/>
        <v>17.779879384367099</v>
      </c>
      <c r="AM60" s="18">
        <f t="shared" si="39"/>
        <v>16.14103832806892</v>
      </c>
      <c r="AN60" s="18">
        <f t="shared" si="39"/>
        <v>14.653255664786045</v>
      </c>
      <c r="AO60" s="18">
        <f t="shared" si="39"/>
        <v>13.3026077513362</v>
      </c>
      <c r="AP60" s="18">
        <f t="shared" si="39"/>
        <v>12.07645434121304</v>
      </c>
      <c r="AQ60" s="18">
        <f t="shared" si="39"/>
        <v>10.963320288892538</v>
      </c>
      <c r="AR60" s="18">
        <f t="shared" si="39"/>
        <v>-18.369004651735448</v>
      </c>
      <c r="AS60" s="18">
        <f t="shared" si="39"/>
        <v>9.0354007277084154</v>
      </c>
      <c r="AT60" s="18">
        <f t="shared" si="39"/>
        <v>8.2025724867196406</v>
      </c>
      <c r="AU60" s="18">
        <f t="shared" si="39"/>
        <v>7.4465092835959172</v>
      </c>
      <c r="AV60" s="18">
        <f t="shared" si="39"/>
        <v>6.7601353844122949</v>
      </c>
      <c r="AW60" s="18">
        <f t="shared" si="39"/>
        <v>6.1370272533273358</v>
      </c>
      <c r="AX60" s="18">
        <f t="shared" si="39"/>
        <v>5.571353436933685</v>
      </c>
      <c r="AY60" s="18">
        <f t="shared" si="39"/>
        <v>5.0578199897032787</v>
      </c>
      <c r="AZ60" s="18">
        <f t="shared" si="39"/>
        <v>4.5916209297828026</v>
      </c>
      <c r="BA60" s="18">
        <f t="shared" si="39"/>
        <v>4.1683932614723878</v>
      </c>
      <c r="BB60" s="18">
        <f t="shared" si="39"/>
        <v>3.7841761434584118</v>
      </c>
    </row>
    <row r="61" spans="1:54" x14ac:dyDescent="0.25">
      <c r="A61" s="177"/>
      <c r="B61" s="76" t="s">
        <v>645</v>
      </c>
      <c r="C61" s="77" t="s">
        <v>362</v>
      </c>
      <c r="D61" s="76">
        <f>D60</f>
        <v>-4533.875</v>
      </c>
      <c r="E61" s="78">
        <f>E60+D61</f>
        <v>-4101.5194023021932</v>
      </c>
      <c r="F61" s="78">
        <f t="shared" ref="F61" si="40">F60+E61</f>
        <v>-3709.0157118704446</v>
      </c>
      <c r="G61" s="78">
        <f t="shared" ref="G61" si="41">G60+F61</f>
        <v>-3352.6906224697964</v>
      </c>
      <c r="H61" s="78">
        <f t="shared" ref="H61" si="42">H60+G61</f>
        <v>-3029.2094108747733</v>
      </c>
      <c r="I61" s="78">
        <f t="shared" ref="I61" si="43">I60+H61</f>
        <v>-2735.5447283485087</v>
      </c>
      <c r="J61" s="78">
        <f t="shared" ref="J61" si="44">J60+I61</f>
        <v>-2468.9482687333607</v>
      </c>
      <c r="K61" s="78">
        <f t="shared" ref="K61" si="45">K60+J61</f>
        <v>-2226.9250480044784</v>
      </c>
      <c r="L61" s="78">
        <f t="shared" ref="L61" si="46">L60+K61</f>
        <v>-2007.2100545775627</v>
      </c>
      <c r="M61" s="78">
        <f t="shared" ref="M61" si="47">M60+L61</f>
        <v>-1807.747051849128</v>
      </c>
      <c r="N61" s="78">
        <f t="shared" ref="N61" si="48">N60+M61</f>
        <v>-2141.9466126044449</v>
      </c>
      <c r="O61" s="78">
        <f t="shared" ref="O61" si="49">O60+N61</f>
        <v>-1977.5595371096854</v>
      </c>
      <c r="P61" s="78">
        <f t="shared" ref="P61" si="50">P60+O61</f>
        <v>-1828.3246616170516</v>
      </c>
      <c r="Q61" s="78">
        <f t="shared" ref="Q61" si="51">Q60+P61</f>
        <v>-1692.8453485611301</v>
      </c>
      <c r="R61" s="78">
        <f t="shared" ref="R61" si="52">R60+Q61</f>
        <v>-1569.8536939260152</v>
      </c>
      <c r="S61" s="78">
        <f t="shared" ref="S61" si="53">S60+R61</f>
        <v>-1458.1986613703109</v>
      </c>
      <c r="T61" s="78">
        <f t="shared" ref="T61" si="54">T60+S61</f>
        <v>-1356.8353100762629</v>
      </c>
      <c r="U61" s="78">
        <f t="shared" ref="U61" si="55">U60+T61</f>
        <v>-1264.815015510188</v>
      </c>
      <c r="V61" s="78">
        <f t="shared" ref="V61" si="56">V60+U61</f>
        <v>-1181.2765915736818</v>
      </c>
      <c r="W61" s="78">
        <f t="shared" ref="W61" si="57">W60+V61</f>
        <v>-1105.4382310608883</v>
      </c>
      <c r="X61" s="78">
        <f t="shared" ref="X61" si="58">X60+W61</f>
        <v>-1232.505137830992</v>
      </c>
      <c r="Y61" s="78">
        <f t="shared" ref="Y61" si="59">Y60+X61</f>
        <v>-1170.0030892080263</v>
      </c>
      <c r="Z61" s="78">
        <f t="shared" ref="Z61" si="60">Z60+Y61</f>
        <v>-1113.2620989798729</v>
      </c>
      <c r="AA61" s="78">
        <f t="shared" ref="AA61" si="61">AA60+Z61</f>
        <v>-1061.7511478510103</v>
      </c>
      <c r="AB61" s="78">
        <f t="shared" ref="AB61" si="62">AB60+AA61</f>
        <v>-1014.9881626522863</v>
      </c>
      <c r="AC61" s="78">
        <f t="shared" ref="AC61" si="63">AC60+AB61</f>
        <v>-1150.3236664025671</v>
      </c>
      <c r="AD61" s="78">
        <f t="shared" ref="AD61" si="64">AD60+AC61</f>
        <v>-1111.7840361299347</v>
      </c>
      <c r="AE61" s="78">
        <f t="shared" ref="AE61" si="65">AE60+AD61</f>
        <v>-1076.7967543867796</v>
      </c>
      <c r="AF61" s="78">
        <f t="shared" ref="AF61" si="66">AF60+AE61</f>
        <v>-1045.0343873086458</v>
      </c>
      <c r="AG61" s="78">
        <f t="shared" ref="AG61" si="67">AG60+AF61</f>
        <v>-1016.1996818916269</v>
      </c>
      <c r="AH61" s="78">
        <f t="shared" ref="AH61" si="68">AH60+AG61</f>
        <v>-1064.5121295789638</v>
      </c>
      <c r="AI61" s="78">
        <f t="shared" ref="AI61" si="69">AI60+AH61</f>
        <v>-1040.7480588920801</v>
      </c>
      <c r="AJ61" s="78">
        <f t="shared" ref="AJ61" si="70">AJ60+AI61</f>
        <v>-1019.1744155902481</v>
      </c>
      <c r="AK61" s="78">
        <f t="shared" ref="AK61" si="71">AK60+AJ61</f>
        <v>-999.58929941015026</v>
      </c>
      <c r="AL61" s="78">
        <f t="shared" ref="AL61" si="72">AL60+AK61</f>
        <v>-981.8094200257832</v>
      </c>
      <c r="AM61" s="78">
        <f t="shared" ref="AM61" si="73">AM60+AL61</f>
        <v>-965.66838169771427</v>
      </c>
      <c r="AN61" s="78">
        <f t="shared" ref="AN61" si="74">AN60+AM61</f>
        <v>-951.01512603292826</v>
      </c>
      <c r="AO61" s="78">
        <f t="shared" ref="AO61" si="75">AO60+AN61</f>
        <v>-937.71251828159211</v>
      </c>
      <c r="AP61" s="78">
        <f t="shared" ref="AP61" si="76">AP60+AO61</f>
        <v>-925.63606394037902</v>
      </c>
      <c r="AQ61" s="78">
        <f t="shared" ref="AQ61" si="77">AQ60+AP61</f>
        <v>-914.67274365148648</v>
      </c>
      <c r="AR61" s="78">
        <f t="shared" ref="AR61" si="78">AR60+AQ61</f>
        <v>-933.04174830322188</v>
      </c>
      <c r="AS61" s="78">
        <f t="shared" ref="AS61" si="79">AS60+AR61</f>
        <v>-924.00634757551347</v>
      </c>
      <c r="AT61" s="78">
        <f t="shared" ref="AT61" si="80">AT60+AS61</f>
        <v>-915.80377508879383</v>
      </c>
      <c r="AU61" s="78">
        <f t="shared" ref="AU61" si="81">AU60+AT61</f>
        <v>-908.35726580519793</v>
      </c>
      <c r="AV61" s="78">
        <f t="shared" ref="AV61" si="82">AV60+AU61</f>
        <v>-901.59713042078567</v>
      </c>
      <c r="AW61" s="78">
        <f t="shared" ref="AW61" si="83">AW60+AV61</f>
        <v>-895.46010316745833</v>
      </c>
      <c r="AX61" s="78">
        <f t="shared" ref="AX61" si="84">AX60+AW61</f>
        <v>-889.88874973052464</v>
      </c>
      <c r="AY61" s="78">
        <f t="shared" ref="AY61" si="85">AY60+AX61</f>
        <v>-884.83092974082138</v>
      </c>
      <c r="AZ61" s="78">
        <f t="shared" ref="AZ61" si="86">AZ60+AY61</f>
        <v>-880.23930881103854</v>
      </c>
      <c r="BA61" s="78">
        <f t="shared" ref="BA61" si="87">BA60+AZ61</f>
        <v>-876.07091554956617</v>
      </c>
      <c r="BB61" s="78">
        <f t="shared" ref="BB61" si="88">BB60+BA61</f>
        <v>-872.2867394061077</v>
      </c>
    </row>
    <row r="62" spans="1:54" x14ac:dyDescent="0.25">
      <c r="A62" s="177"/>
      <c r="B62" s="22" t="s">
        <v>361</v>
      </c>
      <c r="C62" s="75" t="s">
        <v>362</v>
      </c>
      <c r="D62" s="93">
        <f>SUM(D60:BB60)</f>
        <v>-872.2867394061077</v>
      </c>
    </row>
    <row r="63" spans="1:54" x14ac:dyDescent="0.25">
      <c r="A63" s="180" t="s">
        <v>715</v>
      </c>
      <c r="B63" s="76" t="s">
        <v>363</v>
      </c>
      <c r="C63" s="77" t="s">
        <v>362</v>
      </c>
      <c r="D63" s="78">
        <f>-(PV!$B$56*PV!$B$60)/South_Facade_PV_5S!$B$7</f>
        <v>-8397.5249999999996</v>
      </c>
      <c r="E63" s="76">
        <v>0</v>
      </c>
      <c r="F63" s="76">
        <v>0</v>
      </c>
      <c r="G63" s="76">
        <v>0</v>
      </c>
      <c r="H63" s="76">
        <v>0</v>
      </c>
      <c r="I63" s="76">
        <v>0</v>
      </c>
      <c r="J63" s="76">
        <v>0</v>
      </c>
      <c r="K63" s="76">
        <v>0</v>
      </c>
      <c r="L63" s="76">
        <v>0</v>
      </c>
      <c r="M63" s="76">
        <v>0</v>
      </c>
      <c r="N63" s="76">
        <f>-((PV!$B$78*PV!$B$56)/South_Facade_PV_5S!$B$7)*(1+$C$1)^N$176</f>
        <v>-8260.9873800606565</v>
      </c>
      <c r="O63" s="76">
        <v>0</v>
      </c>
      <c r="P63" s="76">
        <v>0</v>
      </c>
      <c r="Q63" s="76">
        <v>0</v>
      </c>
      <c r="R63" s="76">
        <v>0</v>
      </c>
      <c r="S63" s="76">
        <v>0</v>
      </c>
      <c r="T63" s="76">
        <v>0</v>
      </c>
      <c r="U63" s="76">
        <v>0</v>
      </c>
      <c r="V63" s="76">
        <v>0</v>
      </c>
      <c r="W63" s="76">
        <v>0</v>
      </c>
      <c r="X63" s="76">
        <f>-((PV!$B$78*PV!$B$56)/South_Facade_PV_5S!$B$7)*(1+$C$1)^X$176</f>
        <v>-12706.821973744047</v>
      </c>
      <c r="Y63" s="76">
        <v>0</v>
      </c>
      <c r="Z63" s="76">
        <v>0</v>
      </c>
      <c r="AA63" s="76">
        <v>0</v>
      </c>
      <c r="AB63" s="76">
        <v>0</v>
      </c>
      <c r="AC63" s="76">
        <f>-(PV!$B$80*PV!$B$56/South_Facade_PV_5S!$B$7)*(1+$C$1)^AC$176</f>
        <v>-4682.0800549205796</v>
      </c>
      <c r="AD63" s="76">
        <v>0</v>
      </c>
      <c r="AE63" s="76">
        <v>0</v>
      </c>
      <c r="AF63" s="76">
        <v>0</v>
      </c>
      <c r="AG63" s="76">
        <v>0</v>
      </c>
      <c r="AH63" s="76">
        <f>-((PV!$B$78*PV!$B$56)/South_Facade_PV_5S!$B$7)*(1+$C$1)^AH$176</f>
        <v>-19545.281604248012</v>
      </c>
      <c r="AI63" s="76">
        <v>0</v>
      </c>
      <c r="AJ63" s="76">
        <v>0</v>
      </c>
      <c r="AK63" s="76">
        <v>0</v>
      </c>
      <c r="AL63" s="76">
        <v>0</v>
      </c>
      <c r="AM63" s="76">
        <v>0</v>
      </c>
      <c r="AN63" s="76">
        <v>0</v>
      </c>
      <c r="AO63" s="76">
        <v>0</v>
      </c>
      <c r="AP63" s="76">
        <v>0</v>
      </c>
      <c r="AQ63" s="76">
        <v>0</v>
      </c>
      <c r="AR63" s="76">
        <f>-((PV!$B$78*PV!$B$56)/South_Facade_PV_5S!$B$7)*(1+$C$1)^AR$176</f>
        <v>-30064.010795044982</v>
      </c>
      <c r="AS63" s="76">
        <v>0</v>
      </c>
      <c r="AT63" s="76">
        <v>0</v>
      </c>
      <c r="AU63" s="76">
        <v>0</v>
      </c>
      <c r="AV63" s="76">
        <v>0</v>
      </c>
      <c r="AW63" s="76">
        <v>0</v>
      </c>
      <c r="AX63" s="76">
        <v>0</v>
      </c>
      <c r="AY63" s="76">
        <v>0</v>
      </c>
      <c r="AZ63" s="76">
        <v>0</v>
      </c>
      <c r="BA63" s="76">
        <v>0</v>
      </c>
      <c r="BB63" s="76">
        <v>0</v>
      </c>
    </row>
    <row r="64" spans="1:54" x14ac:dyDescent="0.25">
      <c r="A64" s="180"/>
      <c r="B64" s="76" t="s">
        <v>356</v>
      </c>
      <c r="C64" s="77" t="s">
        <v>362</v>
      </c>
      <c r="D64" s="76">
        <v>0</v>
      </c>
      <c r="E64" s="78">
        <f>ABS('Annual Calculations'!$Q$12)*(1+$C$3)^E$176</f>
        <v>414.93380572139858</v>
      </c>
      <c r="F64" s="78">
        <f>ABS('Annual Calculations'!$Q$12)*(1+$C$3)^F$176</f>
        <v>433.19089317314007</v>
      </c>
      <c r="G64" s="78">
        <f>ABS('Annual Calculations'!$Q$12)*(1+$C$3)^G$176</f>
        <v>452.25129247275834</v>
      </c>
      <c r="H64" s="78">
        <f>ABS('Annual Calculations'!$Q$12)*(1+$C$3)^H$176</f>
        <v>472.15034934155966</v>
      </c>
      <c r="I64" s="78">
        <f>ABS('Annual Calculations'!$Q$12)*(1+$C$3)^I$176</f>
        <v>492.92496471258823</v>
      </c>
      <c r="J64" s="78">
        <f>ABS('Annual Calculations'!$Q$12)*(1+$C$3)^J$176</f>
        <v>514.61366315994223</v>
      </c>
      <c r="K64" s="78">
        <f>ABS('Annual Calculations'!$Q$12)*(1+$C$3)^K$176</f>
        <v>537.2566643389797</v>
      </c>
      <c r="L64" s="78">
        <f>ABS('Annual Calculations'!$Q$12)*(1+$C$3)^L$176</f>
        <v>560.89595756989479</v>
      </c>
      <c r="M64" s="78">
        <f>ABS('Annual Calculations'!$Q$12)*(1+$C$3)^M$176</f>
        <v>585.57537970297017</v>
      </c>
      <c r="N64" s="78">
        <f>ABS('Annual Calculations'!$Q$12)*(1+$C$3)^N$176</f>
        <v>611.34069640990083</v>
      </c>
      <c r="O64" s="78">
        <f>ABS('Annual Calculations'!$Q$12)*(1+$C$3)^O$176</f>
        <v>638.23968705193658</v>
      </c>
      <c r="P64" s="78">
        <f>ABS('Annual Calculations'!$Q$12)*(1+$C$3)^P$176</f>
        <v>666.32223328222176</v>
      </c>
      <c r="Q64" s="78">
        <f>ABS('Annual Calculations'!$Q$12)*(1+$C$3)^Q$176</f>
        <v>695.64041154663948</v>
      </c>
      <c r="R64" s="78">
        <f>ABS('Annual Calculations'!$Q$12)*(1+$C$3)^R$176</f>
        <v>726.24858965469161</v>
      </c>
      <c r="S64" s="78">
        <f>ABS('Annual Calculations'!$Q$12)*(1+$C$3)^S$176</f>
        <v>758.20352759949822</v>
      </c>
      <c r="T64" s="78">
        <f>ABS('Annual Calculations'!$Q$12)*(1+$C$3)^T$176</f>
        <v>791.564482813876</v>
      </c>
      <c r="U64" s="78">
        <f>ABS('Annual Calculations'!$Q$12)*(1+$C$3)^U$176</f>
        <v>826.39332005768654</v>
      </c>
      <c r="V64" s="78">
        <f>ABS('Annual Calculations'!$Q$12)*(1+$C$3)^V$176</f>
        <v>862.7546261402249</v>
      </c>
      <c r="W64" s="78">
        <f>ABS('Annual Calculations'!$Q$12)*(1+$C$3)^W$176</f>
        <v>900.7158296903948</v>
      </c>
      <c r="X64" s="78">
        <f>ABS('Annual Calculations'!$Q$12)*(1+$C$3)^X$176</f>
        <v>940.34732619677209</v>
      </c>
      <c r="Y64" s="78">
        <f>ABS('Annual Calculations'!$Q$12)*(1+$C$3)^Y$176</f>
        <v>981.72260854942999</v>
      </c>
      <c r="Z64" s="78">
        <f>ABS('Annual Calculations'!$Q$12)*(1+$C$3)^Z$176</f>
        <v>1024.9184033256051</v>
      </c>
      <c r="AA64" s="78">
        <f>ABS('Annual Calculations'!$Q$12)*(1+$C$3)^AA$176</f>
        <v>1070.0148130719317</v>
      </c>
      <c r="AB64" s="78">
        <f>ABS('Annual Calculations'!$Q$12)*(1+$C$3)^AB$176</f>
        <v>1117.0954648470968</v>
      </c>
      <c r="AC64" s="78">
        <f>ABS('Annual Calculations'!$Q$12)*(1+$C$3)^AC$176</f>
        <v>1166.2476653003691</v>
      </c>
      <c r="AD64" s="78">
        <f>ABS('Annual Calculations'!$Q$12)*(1+$C$3)^AD$176</f>
        <v>1217.5625625735852</v>
      </c>
      <c r="AE64" s="78">
        <f>ABS('Annual Calculations'!$Q$12)*(1+$C$3)^AE$176</f>
        <v>1271.135315326823</v>
      </c>
      <c r="AF64" s="78">
        <f>ABS('Annual Calculations'!$Q$12)*(1+$C$3)^AF$176</f>
        <v>1327.0652692012031</v>
      </c>
      <c r="AG64" s="78">
        <f>ABS('Annual Calculations'!$Q$12)*(1+$C$3)^AG$176</f>
        <v>1385.456141046056</v>
      </c>
      <c r="AH64" s="78">
        <f>ABS('Annual Calculations'!$Q$12)*(1+$C$3)^AH$176</f>
        <v>1446.4162112520828</v>
      </c>
      <c r="AI64" s="78">
        <f>ABS('Annual Calculations'!$Q$12)*(1+$C$3)^AI$176</f>
        <v>1510.0585245471746</v>
      </c>
      <c r="AJ64" s="78">
        <f>ABS('Annual Calculations'!$Q$12)*(1+$C$3)^AJ$176</f>
        <v>1576.5010996272501</v>
      </c>
      <c r="AK64" s="78">
        <f>ABS('Annual Calculations'!$Q$12)*(1+$C$3)^AK$176</f>
        <v>1645.8671480108494</v>
      </c>
      <c r="AL64" s="78">
        <f>ABS('Annual Calculations'!$Q$12)*(1+$C$3)^AL$176</f>
        <v>1718.2853025233264</v>
      </c>
      <c r="AM64" s="78">
        <f>ABS('Annual Calculations'!$Q$12)*(1+$C$3)^AM$176</f>
        <v>1793.8898558343531</v>
      </c>
      <c r="AN64" s="78">
        <f>ABS('Annual Calculations'!$Q$12)*(1+$C$3)^AN$176</f>
        <v>1872.8210094910646</v>
      </c>
      <c r="AO64" s="78">
        <f>ABS('Annual Calculations'!$Q$12)*(1+$C$3)^AO$176</f>
        <v>1955.2251339086713</v>
      </c>
      <c r="AP64" s="78">
        <f>ABS('Annual Calculations'!$Q$12)*(1+$C$3)^AP$176</f>
        <v>2041.2550398006531</v>
      </c>
      <c r="AQ64" s="78">
        <f>ABS('Annual Calculations'!$Q$12)*(1+$C$3)^AQ$176</f>
        <v>2131.0702615518821</v>
      </c>
      <c r="AR64" s="78">
        <f>ABS('Annual Calculations'!$Q$12)*(1+$C$3)^AR$176</f>
        <v>2224.8373530601643</v>
      </c>
      <c r="AS64" s="78">
        <f>ABS('Annual Calculations'!$Q$12)*(1+$C$3)^AS$176</f>
        <v>2322.7301965948122</v>
      </c>
      <c r="AT64" s="78">
        <f>ABS('Annual Calculations'!$Q$12)*(1+$C$3)^AT$176</f>
        <v>2424.930325244984</v>
      </c>
      <c r="AU64" s="78">
        <f>ABS('Annual Calculations'!$Q$12)*(1+$C$3)^AU$176</f>
        <v>2531.6272595557634</v>
      </c>
      <c r="AV64" s="78">
        <f>ABS('Annual Calculations'!$Q$12)*(1+$C$3)^AV$176</f>
        <v>2643.018858976217</v>
      </c>
      <c r="AW64" s="78">
        <f>ABS('Annual Calculations'!$Q$12)*(1+$C$3)^AW$176</f>
        <v>2759.3116887711703</v>
      </c>
      <c r="AX64" s="78">
        <f>ABS('Annual Calculations'!$Q$12)*(1+$C$3)^AX$176</f>
        <v>2880.7214030771015</v>
      </c>
      <c r="AY64" s="78">
        <f>ABS('Annual Calculations'!$Q$12)*(1+$C$3)^AY$176</f>
        <v>3007.4731448124949</v>
      </c>
      <c r="AZ64" s="78">
        <f>ABS('Annual Calculations'!$Q$12)*(1+$C$3)^AZ$176</f>
        <v>3139.801963184244</v>
      </c>
      <c r="BA64" s="78">
        <f>ABS('Annual Calculations'!$Q$12)*(1+$C$3)^BA$176</f>
        <v>3277.9532495643512</v>
      </c>
      <c r="BB64" s="78">
        <f>ABS('Annual Calculations'!$Q$12)*(1+$C$3)^BB$176</f>
        <v>3422.1831925451829</v>
      </c>
    </row>
    <row r="65" spans="1:54" x14ac:dyDescent="0.25">
      <c r="A65" s="180"/>
      <c r="B65" s="76" t="s">
        <v>357</v>
      </c>
      <c r="C65" s="77" t="s">
        <v>362</v>
      </c>
      <c r="D65" s="76">
        <v>0</v>
      </c>
      <c r="E65" s="76">
        <v>0</v>
      </c>
      <c r="F65" s="76">
        <v>0</v>
      </c>
      <c r="G65" s="76">
        <v>0</v>
      </c>
      <c r="H65" s="76">
        <v>0</v>
      </c>
      <c r="I65" s="76">
        <v>0</v>
      </c>
      <c r="J65" s="76">
        <v>0</v>
      </c>
      <c r="K65" s="76">
        <v>0</v>
      </c>
      <c r="L65" s="76">
        <v>0</v>
      </c>
      <c r="M65" s="76">
        <v>0</v>
      </c>
      <c r="N65" s="76">
        <v>0</v>
      </c>
      <c r="O65" s="76">
        <v>0</v>
      </c>
      <c r="P65" s="76">
        <v>0</v>
      </c>
      <c r="Q65" s="76">
        <v>0</v>
      </c>
      <c r="R65" s="76">
        <v>0</v>
      </c>
      <c r="S65" s="76">
        <v>0</v>
      </c>
      <c r="T65" s="76">
        <v>0</v>
      </c>
      <c r="U65" s="76">
        <v>0</v>
      </c>
      <c r="V65" s="76">
        <v>0</v>
      </c>
      <c r="W65" s="76">
        <v>0</v>
      </c>
      <c r="X65" s="76">
        <v>0</v>
      </c>
      <c r="Y65" s="76">
        <v>0</v>
      </c>
      <c r="Z65" s="76">
        <v>0</v>
      </c>
      <c r="AA65" s="76">
        <v>0</v>
      </c>
      <c r="AB65" s="76">
        <v>0</v>
      </c>
      <c r="AC65" s="76">
        <v>0</v>
      </c>
      <c r="AD65" s="76">
        <v>0</v>
      </c>
      <c r="AE65" s="76">
        <v>0</v>
      </c>
      <c r="AF65" s="76">
        <v>0</v>
      </c>
      <c r="AG65" s="76">
        <v>0</v>
      </c>
      <c r="AH65" s="76">
        <v>0</v>
      </c>
      <c r="AI65" s="76">
        <v>0</v>
      </c>
      <c r="AJ65" s="76">
        <v>0</v>
      </c>
      <c r="AK65" s="76">
        <v>0</v>
      </c>
      <c r="AL65" s="76">
        <v>0</v>
      </c>
      <c r="AM65" s="76">
        <v>0</v>
      </c>
      <c r="AN65" s="76">
        <v>0</v>
      </c>
      <c r="AO65" s="76">
        <v>0</v>
      </c>
      <c r="AP65" s="76">
        <v>0</v>
      </c>
      <c r="AQ65" s="76">
        <v>0</v>
      </c>
      <c r="AR65" s="76">
        <v>0</v>
      </c>
      <c r="AS65" s="76">
        <v>0</v>
      </c>
      <c r="AT65" s="76">
        <v>0</v>
      </c>
      <c r="AU65" s="76">
        <v>0</v>
      </c>
      <c r="AV65" s="76">
        <v>0</v>
      </c>
      <c r="AW65" s="76">
        <v>0</v>
      </c>
      <c r="AX65" s="76">
        <v>0</v>
      </c>
      <c r="AY65" s="76">
        <v>0</v>
      </c>
      <c r="AZ65" s="76">
        <v>0</v>
      </c>
      <c r="BA65" s="76">
        <v>0</v>
      </c>
      <c r="BB65" s="76">
        <v>0</v>
      </c>
    </row>
    <row r="66" spans="1:54" x14ac:dyDescent="0.25">
      <c r="A66" s="180"/>
      <c r="B66" s="76" t="s">
        <v>358</v>
      </c>
      <c r="C66" s="77" t="s">
        <v>362</v>
      </c>
      <c r="D66" s="76">
        <f>SUM(D63:D65)</f>
        <v>-8397.5249999999996</v>
      </c>
      <c r="E66" s="78">
        <f t="shared" ref="E66:BB66" si="89">SUM(E63:E65)</f>
        <v>414.93380572139858</v>
      </c>
      <c r="F66" s="78">
        <f t="shared" si="89"/>
        <v>433.19089317314007</v>
      </c>
      <c r="G66" s="78">
        <f t="shared" si="89"/>
        <v>452.25129247275834</v>
      </c>
      <c r="H66" s="78">
        <f t="shared" si="89"/>
        <v>472.15034934155966</v>
      </c>
      <c r="I66" s="78">
        <f t="shared" si="89"/>
        <v>492.92496471258823</v>
      </c>
      <c r="J66" s="78">
        <f t="shared" si="89"/>
        <v>514.61366315994223</v>
      </c>
      <c r="K66" s="78">
        <f t="shared" si="89"/>
        <v>537.2566643389797</v>
      </c>
      <c r="L66" s="78">
        <f t="shared" si="89"/>
        <v>560.89595756989479</v>
      </c>
      <c r="M66" s="78">
        <f t="shared" si="89"/>
        <v>585.57537970297017</v>
      </c>
      <c r="N66" s="78">
        <f t="shared" si="89"/>
        <v>-7649.6466836507552</v>
      </c>
      <c r="O66" s="78">
        <f t="shared" si="89"/>
        <v>638.23968705193658</v>
      </c>
      <c r="P66" s="78">
        <f t="shared" si="89"/>
        <v>666.32223328222176</v>
      </c>
      <c r="Q66" s="78">
        <f t="shared" si="89"/>
        <v>695.64041154663948</v>
      </c>
      <c r="R66" s="78">
        <f t="shared" si="89"/>
        <v>726.24858965469161</v>
      </c>
      <c r="S66" s="78">
        <f t="shared" si="89"/>
        <v>758.20352759949822</v>
      </c>
      <c r="T66" s="78">
        <f t="shared" si="89"/>
        <v>791.564482813876</v>
      </c>
      <c r="U66" s="78">
        <f t="shared" si="89"/>
        <v>826.39332005768654</v>
      </c>
      <c r="V66" s="78">
        <f t="shared" si="89"/>
        <v>862.7546261402249</v>
      </c>
      <c r="W66" s="78">
        <f t="shared" si="89"/>
        <v>900.7158296903948</v>
      </c>
      <c r="X66" s="78">
        <f t="shared" si="89"/>
        <v>-11766.474647547275</v>
      </c>
      <c r="Y66" s="78">
        <f t="shared" si="89"/>
        <v>981.72260854942999</v>
      </c>
      <c r="Z66" s="78">
        <f t="shared" si="89"/>
        <v>1024.9184033256051</v>
      </c>
      <c r="AA66" s="78">
        <f t="shared" si="89"/>
        <v>1070.0148130719317</v>
      </c>
      <c r="AB66" s="78">
        <f t="shared" si="89"/>
        <v>1117.0954648470968</v>
      </c>
      <c r="AC66" s="78">
        <f t="shared" si="89"/>
        <v>-3515.8323896202105</v>
      </c>
      <c r="AD66" s="78">
        <f t="shared" si="89"/>
        <v>1217.5625625735852</v>
      </c>
      <c r="AE66" s="78">
        <f t="shared" si="89"/>
        <v>1271.135315326823</v>
      </c>
      <c r="AF66" s="78">
        <f t="shared" si="89"/>
        <v>1327.0652692012031</v>
      </c>
      <c r="AG66" s="78">
        <f t="shared" si="89"/>
        <v>1385.456141046056</v>
      </c>
      <c r="AH66" s="78">
        <f t="shared" si="89"/>
        <v>-18098.865392995929</v>
      </c>
      <c r="AI66" s="78">
        <f t="shared" si="89"/>
        <v>1510.0585245471746</v>
      </c>
      <c r="AJ66" s="78">
        <f t="shared" si="89"/>
        <v>1576.5010996272501</v>
      </c>
      <c r="AK66" s="78">
        <f t="shared" si="89"/>
        <v>1645.8671480108494</v>
      </c>
      <c r="AL66" s="78">
        <f t="shared" si="89"/>
        <v>1718.2853025233264</v>
      </c>
      <c r="AM66" s="78">
        <f t="shared" si="89"/>
        <v>1793.8898558343531</v>
      </c>
      <c r="AN66" s="78">
        <f t="shared" si="89"/>
        <v>1872.8210094910646</v>
      </c>
      <c r="AO66" s="78">
        <f t="shared" si="89"/>
        <v>1955.2251339086713</v>
      </c>
      <c r="AP66" s="78">
        <f t="shared" si="89"/>
        <v>2041.2550398006531</v>
      </c>
      <c r="AQ66" s="78">
        <f t="shared" si="89"/>
        <v>2131.0702615518821</v>
      </c>
      <c r="AR66" s="78">
        <f t="shared" si="89"/>
        <v>-27839.173441984818</v>
      </c>
      <c r="AS66" s="78">
        <f t="shared" si="89"/>
        <v>2322.7301965948122</v>
      </c>
      <c r="AT66" s="78">
        <f t="shared" si="89"/>
        <v>2424.930325244984</v>
      </c>
      <c r="AU66" s="78">
        <f t="shared" si="89"/>
        <v>2531.6272595557634</v>
      </c>
      <c r="AV66" s="78">
        <f t="shared" si="89"/>
        <v>2643.018858976217</v>
      </c>
      <c r="AW66" s="78">
        <f t="shared" si="89"/>
        <v>2759.3116887711703</v>
      </c>
      <c r="AX66" s="78">
        <f t="shared" si="89"/>
        <v>2880.7214030771015</v>
      </c>
      <c r="AY66" s="78">
        <f t="shared" si="89"/>
        <v>3007.4731448124949</v>
      </c>
      <c r="AZ66" s="78">
        <f t="shared" si="89"/>
        <v>3139.801963184244</v>
      </c>
      <c r="BA66" s="78">
        <f t="shared" si="89"/>
        <v>3277.9532495643512</v>
      </c>
      <c r="BB66" s="78">
        <f t="shared" si="89"/>
        <v>3422.1831925451829</v>
      </c>
    </row>
    <row r="67" spans="1:54" x14ac:dyDescent="0.25">
      <c r="A67" s="180"/>
      <c r="B67" s="76" t="s">
        <v>359</v>
      </c>
      <c r="C67" s="77"/>
      <c r="D67" s="76">
        <f t="shared" ref="D67:AI67" si="90">(1+$C$2)^D$176</f>
        <v>1</v>
      </c>
      <c r="E67" s="79">
        <f t="shared" si="90"/>
        <v>1.1499999999999999</v>
      </c>
      <c r="F67" s="79">
        <f t="shared" si="90"/>
        <v>1.3224999999999998</v>
      </c>
      <c r="G67" s="79">
        <f t="shared" si="90"/>
        <v>1.5208749999999995</v>
      </c>
      <c r="H67" s="79">
        <f t="shared" si="90"/>
        <v>1.7490062499999994</v>
      </c>
      <c r="I67" s="79">
        <f t="shared" si="90"/>
        <v>2.0113571874999994</v>
      </c>
      <c r="J67" s="79">
        <f t="shared" si="90"/>
        <v>2.3130607656249991</v>
      </c>
      <c r="K67" s="79">
        <f t="shared" si="90"/>
        <v>2.6600198804687483</v>
      </c>
      <c r="L67" s="79">
        <f t="shared" si="90"/>
        <v>3.0590228625390603</v>
      </c>
      <c r="M67" s="79">
        <f t="shared" si="90"/>
        <v>3.5178762919199191</v>
      </c>
      <c r="N67" s="79">
        <f t="shared" si="90"/>
        <v>4.0455577357079067</v>
      </c>
      <c r="O67" s="79">
        <f t="shared" si="90"/>
        <v>4.6523913960640924</v>
      </c>
      <c r="P67" s="79">
        <f t="shared" si="90"/>
        <v>5.3502501054737053</v>
      </c>
      <c r="Q67" s="79">
        <f t="shared" si="90"/>
        <v>6.1527876212947614</v>
      </c>
      <c r="R67" s="79">
        <f t="shared" si="90"/>
        <v>7.0757057644889754</v>
      </c>
      <c r="S67" s="79">
        <f t="shared" si="90"/>
        <v>8.1370616291623197</v>
      </c>
      <c r="T67" s="79">
        <f t="shared" si="90"/>
        <v>9.3576208735366659</v>
      </c>
      <c r="U67" s="79">
        <f t="shared" si="90"/>
        <v>10.761264004567165</v>
      </c>
      <c r="V67" s="79">
        <f t="shared" si="90"/>
        <v>12.375453605252238</v>
      </c>
      <c r="W67" s="79">
        <f t="shared" si="90"/>
        <v>14.231771646040073</v>
      </c>
      <c r="X67" s="79">
        <f t="shared" si="90"/>
        <v>16.366537392946082</v>
      </c>
      <c r="Y67" s="79">
        <f t="shared" si="90"/>
        <v>18.821518001887995</v>
      </c>
      <c r="Z67" s="79">
        <f t="shared" si="90"/>
        <v>21.644745702171193</v>
      </c>
      <c r="AA67" s="79">
        <f t="shared" si="90"/>
        <v>24.891457557496867</v>
      </c>
      <c r="AB67" s="79">
        <f t="shared" si="90"/>
        <v>28.625176191121394</v>
      </c>
      <c r="AC67" s="79">
        <f t="shared" si="90"/>
        <v>32.9189526197896</v>
      </c>
      <c r="AD67" s="79">
        <f t="shared" si="90"/>
        <v>37.85679551275804</v>
      </c>
      <c r="AE67" s="79">
        <f t="shared" si="90"/>
        <v>43.535314839671742</v>
      </c>
      <c r="AF67" s="79">
        <f t="shared" si="90"/>
        <v>50.065612065622496</v>
      </c>
      <c r="AG67" s="79">
        <f t="shared" si="90"/>
        <v>57.575453875465868</v>
      </c>
      <c r="AH67" s="79">
        <f t="shared" si="90"/>
        <v>66.211771956785753</v>
      </c>
      <c r="AI67" s="79">
        <f t="shared" si="90"/>
        <v>76.143537750303594</v>
      </c>
      <c r="AJ67" s="79">
        <f t="shared" ref="AJ67:BB67" si="91">(1+$C$2)^AJ$176</f>
        <v>87.565068412849115</v>
      </c>
      <c r="AK67" s="79">
        <f t="shared" si="91"/>
        <v>100.69982867477647</v>
      </c>
      <c r="AL67" s="79">
        <f t="shared" si="91"/>
        <v>115.80480297599294</v>
      </c>
      <c r="AM67" s="79">
        <f t="shared" si="91"/>
        <v>133.17552342239185</v>
      </c>
      <c r="AN67" s="79">
        <f t="shared" si="91"/>
        <v>153.15185193575064</v>
      </c>
      <c r="AO67" s="79">
        <f t="shared" si="91"/>
        <v>176.12462972611323</v>
      </c>
      <c r="AP67" s="79">
        <f t="shared" si="91"/>
        <v>202.5433241850302</v>
      </c>
      <c r="AQ67" s="79">
        <f t="shared" si="91"/>
        <v>232.92482281278467</v>
      </c>
      <c r="AR67" s="79">
        <f t="shared" si="91"/>
        <v>267.86354623470237</v>
      </c>
      <c r="AS67" s="79">
        <f t="shared" si="91"/>
        <v>308.04307816990769</v>
      </c>
      <c r="AT67" s="79">
        <f t="shared" si="91"/>
        <v>354.24953989539381</v>
      </c>
      <c r="AU67" s="79">
        <f t="shared" si="91"/>
        <v>407.38697087970286</v>
      </c>
      <c r="AV67" s="79">
        <f t="shared" si="91"/>
        <v>468.49501651165821</v>
      </c>
      <c r="AW67" s="79">
        <f t="shared" si="91"/>
        <v>538.76926898840691</v>
      </c>
      <c r="AX67" s="79">
        <f t="shared" si="91"/>
        <v>619.58465933666798</v>
      </c>
      <c r="AY67" s="79">
        <f t="shared" si="91"/>
        <v>712.52235823716796</v>
      </c>
      <c r="AZ67" s="79">
        <f t="shared" si="91"/>
        <v>819.40071197274301</v>
      </c>
      <c r="BA67" s="79">
        <f t="shared" si="91"/>
        <v>942.31081876865449</v>
      </c>
      <c r="BB67" s="79">
        <f t="shared" si="91"/>
        <v>1083.6574415839525</v>
      </c>
    </row>
    <row r="68" spans="1:54" x14ac:dyDescent="0.25">
      <c r="A68" s="180"/>
      <c r="B68" s="76" t="s">
        <v>360</v>
      </c>
      <c r="C68" s="77" t="s">
        <v>362</v>
      </c>
      <c r="D68" s="76">
        <f>D66/D67</f>
        <v>-8397.5249999999996</v>
      </c>
      <c r="E68" s="78">
        <f>E66/E67</f>
        <v>360.81200497512924</v>
      </c>
      <c r="F68" s="78">
        <f>F66/F67</f>
        <v>327.55455060350863</v>
      </c>
      <c r="G68" s="78">
        <f t="shared" ref="G68:BB68" si="92">G66/G67</f>
        <v>297.36256593918534</v>
      </c>
      <c r="H68" s="78">
        <f t="shared" si="92"/>
        <v>269.95349464392126</v>
      </c>
      <c r="I68" s="78">
        <f t="shared" si="92"/>
        <v>245.07082470282936</v>
      </c>
      <c r="J68" s="78">
        <f t="shared" si="92"/>
        <v>222.48168781717735</v>
      </c>
      <c r="K68" s="78">
        <f t="shared" si="92"/>
        <v>201.97468007055062</v>
      </c>
      <c r="L68" s="78">
        <f t="shared" si="92"/>
        <v>183.35788347274334</v>
      </c>
      <c r="M68" s="78">
        <f t="shared" si="92"/>
        <v>166.4570698656905</v>
      </c>
      <c r="N68" s="78">
        <f t="shared" si="92"/>
        <v>-1890.8756674343178</v>
      </c>
      <c r="O68" s="78">
        <f t="shared" si="92"/>
        <v>137.18529519934313</v>
      </c>
      <c r="P68" s="78">
        <f t="shared" si="92"/>
        <v>124.54038972879499</v>
      </c>
      <c r="Q68" s="78">
        <f t="shared" si="92"/>
        <v>113.06101467553214</v>
      </c>
      <c r="R68" s="78">
        <f t="shared" si="92"/>
        <v>102.63973854022223</v>
      </c>
      <c r="S68" s="78">
        <f t="shared" si="92"/>
        <v>93.179032205210476</v>
      </c>
      <c r="T68" s="78">
        <f t="shared" si="92"/>
        <v>84.590356193251949</v>
      </c>
      <c r="U68" s="78">
        <f t="shared" si="92"/>
        <v>76.79333205717829</v>
      </c>
      <c r="V68" s="78">
        <f t="shared" si="92"/>
        <v>69.714990145821019</v>
      </c>
      <c r="W68" s="78">
        <f t="shared" si="92"/>
        <v>63.289086706293169</v>
      </c>
      <c r="X68" s="78">
        <f t="shared" si="92"/>
        <v>-718.93488311208591</v>
      </c>
      <c r="Y68" s="78">
        <f t="shared" si="92"/>
        <v>52.159587151841471</v>
      </c>
      <c r="Z68" s="78">
        <f t="shared" si="92"/>
        <v>47.351833901323921</v>
      </c>
      <c r="AA68" s="78">
        <f t="shared" si="92"/>
        <v>42.987230080854069</v>
      </c>
      <c r="AB68" s="78">
        <f t="shared" si="92"/>
        <v>39.024928873401443</v>
      </c>
      <c r="AC68" s="78">
        <f t="shared" si="92"/>
        <v>-106.80268082121871</v>
      </c>
      <c r="AD68" s="78">
        <f t="shared" si="92"/>
        <v>32.162325048438319</v>
      </c>
      <c r="AE68" s="78">
        <f t="shared" si="92"/>
        <v>29.197797696147486</v>
      </c>
      <c r="AF68" s="78">
        <f t="shared" si="92"/>
        <v>26.50652243024172</v>
      </c>
      <c r="AG68" s="78">
        <f t="shared" si="92"/>
        <v>24.063312536671614</v>
      </c>
      <c r="AH68" s="78">
        <f t="shared" si="92"/>
        <v>-273.34815030790088</v>
      </c>
      <c r="AI68" s="78">
        <f t="shared" si="92"/>
        <v>19.831735813209622</v>
      </c>
      <c r="AJ68" s="78">
        <f t="shared" si="92"/>
        <v>18.003767120861607</v>
      </c>
      <c r="AK68" s="78">
        <f t="shared" si="92"/>
        <v>16.34428945580828</v>
      </c>
      <c r="AL68" s="78">
        <f t="shared" si="92"/>
        <v>14.837772340751167</v>
      </c>
      <c r="AM68" s="78">
        <f t="shared" si="92"/>
        <v>13.470116803255847</v>
      </c>
      <c r="AN68" s="78">
        <f t="shared" si="92"/>
        <v>12.228523428347046</v>
      </c>
      <c r="AO68" s="78">
        <f t="shared" si="92"/>
        <v>11.101372573212448</v>
      </c>
      <c r="AP68" s="78">
        <f t="shared" si="92"/>
        <v>10.078115622985912</v>
      </c>
      <c r="AQ68" s="78">
        <f t="shared" si="92"/>
        <v>9.1491762699106918</v>
      </c>
      <c r="AR68" s="78">
        <f t="shared" si="92"/>
        <v>-103.93042962849488</v>
      </c>
      <c r="AS68" s="78">
        <f t="shared" si="92"/>
        <v>7.5402771923791168</v>
      </c>
      <c r="AT68" s="78">
        <f t="shared" si="92"/>
        <v>6.8452603381250423</v>
      </c>
      <c r="AU68" s="78">
        <f t="shared" si="92"/>
        <v>6.2143059069587343</v>
      </c>
      <c r="AV68" s="78">
        <f t="shared" si="92"/>
        <v>5.6415090146651474</v>
      </c>
      <c r="AW68" s="78">
        <f t="shared" si="92"/>
        <v>5.121509053313404</v>
      </c>
      <c r="AX68" s="78">
        <f t="shared" si="92"/>
        <v>4.6494395231819068</v>
      </c>
      <c r="AY68" s="78">
        <f t="shared" si="92"/>
        <v>4.2208824888712293</v>
      </c>
      <c r="AZ68" s="78">
        <f t="shared" si="92"/>
        <v>3.8318272333752721</v>
      </c>
      <c r="BA68" s="78">
        <f t="shared" si="92"/>
        <v>3.4786327231685084</v>
      </c>
      <c r="BB68" s="78">
        <f t="shared" si="92"/>
        <v>3.1579935330329767</v>
      </c>
    </row>
    <row r="69" spans="1:54" x14ac:dyDescent="0.25">
      <c r="A69" s="180"/>
      <c r="B69" s="76" t="s">
        <v>645</v>
      </c>
      <c r="C69" s="77" t="s">
        <v>362</v>
      </c>
      <c r="D69" s="76">
        <f>D68</f>
        <v>-8397.5249999999996</v>
      </c>
      <c r="E69" s="78">
        <f>E68+D69</f>
        <v>-8036.71299502487</v>
      </c>
      <c r="F69" s="78">
        <f t="shared" ref="F69:BB69" si="93">F68+E69</f>
        <v>-7709.1584444213613</v>
      </c>
      <c r="G69" s="78">
        <f t="shared" si="93"/>
        <v>-7411.7958784821758</v>
      </c>
      <c r="H69" s="78">
        <f t="shared" si="93"/>
        <v>-7141.8423838382541</v>
      </c>
      <c r="I69" s="78">
        <f t="shared" si="93"/>
        <v>-6896.7715591354245</v>
      </c>
      <c r="J69" s="78">
        <f t="shared" si="93"/>
        <v>-6674.2898713182467</v>
      </c>
      <c r="K69" s="78">
        <f t="shared" si="93"/>
        <v>-6472.315191247696</v>
      </c>
      <c r="L69" s="78">
        <f t="shared" si="93"/>
        <v>-6288.9573077749528</v>
      </c>
      <c r="M69" s="78">
        <f t="shared" si="93"/>
        <v>-6122.5002379092621</v>
      </c>
      <c r="N69" s="78">
        <f t="shared" si="93"/>
        <v>-8013.3759053435797</v>
      </c>
      <c r="O69" s="78">
        <f t="shared" si="93"/>
        <v>-7876.1906101442364</v>
      </c>
      <c r="P69" s="78">
        <f t="shared" si="93"/>
        <v>-7751.6502204154413</v>
      </c>
      <c r="Q69" s="78">
        <f t="shared" si="93"/>
        <v>-7638.5892057399087</v>
      </c>
      <c r="R69" s="78">
        <f t="shared" si="93"/>
        <v>-7535.9494671996863</v>
      </c>
      <c r="S69" s="78">
        <f t="shared" si="93"/>
        <v>-7442.7704349944761</v>
      </c>
      <c r="T69" s="78">
        <f t="shared" si="93"/>
        <v>-7358.1800788012242</v>
      </c>
      <c r="U69" s="78">
        <f t="shared" si="93"/>
        <v>-7281.3867467440459</v>
      </c>
      <c r="V69" s="78">
        <f t="shared" si="93"/>
        <v>-7211.6717565982253</v>
      </c>
      <c r="W69" s="78">
        <f t="shared" si="93"/>
        <v>-7148.382669891932</v>
      </c>
      <c r="X69" s="78">
        <f t="shared" si="93"/>
        <v>-7867.317553004018</v>
      </c>
      <c r="Y69" s="78">
        <f t="shared" si="93"/>
        <v>-7815.1579658521769</v>
      </c>
      <c r="Z69" s="78">
        <f t="shared" si="93"/>
        <v>-7767.8061319508533</v>
      </c>
      <c r="AA69" s="78">
        <f t="shared" si="93"/>
        <v>-7724.8189018699995</v>
      </c>
      <c r="AB69" s="78">
        <f t="shared" si="93"/>
        <v>-7685.7939729965983</v>
      </c>
      <c r="AC69" s="78">
        <f t="shared" si="93"/>
        <v>-7792.5966538178172</v>
      </c>
      <c r="AD69" s="78">
        <f t="shared" si="93"/>
        <v>-7760.4343287693791</v>
      </c>
      <c r="AE69" s="78">
        <f t="shared" si="93"/>
        <v>-7731.2365310732321</v>
      </c>
      <c r="AF69" s="78">
        <f t="shared" si="93"/>
        <v>-7704.7300086429905</v>
      </c>
      <c r="AG69" s="78">
        <f t="shared" si="93"/>
        <v>-7680.6666961063193</v>
      </c>
      <c r="AH69" s="78">
        <f t="shared" si="93"/>
        <v>-7954.0148464142203</v>
      </c>
      <c r="AI69" s="78">
        <f t="shared" si="93"/>
        <v>-7934.1831106010104</v>
      </c>
      <c r="AJ69" s="78">
        <f t="shared" si="93"/>
        <v>-7916.1793434801484</v>
      </c>
      <c r="AK69" s="78">
        <f t="shared" si="93"/>
        <v>-7899.83505402434</v>
      </c>
      <c r="AL69" s="78">
        <f t="shared" si="93"/>
        <v>-7884.9972816835889</v>
      </c>
      <c r="AM69" s="78">
        <f t="shared" si="93"/>
        <v>-7871.5271648803327</v>
      </c>
      <c r="AN69" s="78">
        <f t="shared" si="93"/>
        <v>-7859.2986414519855</v>
      </c>
      <c r="AO69" s="78">
        <f t="shared" si="93"/>
        <v>-7848.1972688787728</v>
      </c>
      <c r="AP69" s="78">
        <f t="shared" si="93"/>
        <v>-7838.1191532557868</v>
      </c>
      <c r="AQ69" s="78">
        <f t="shared" si="93"/>
        <v>-7828.9699769858762</v>
      </c>
      <c r="AR69" s="78">
        <f t="shared" si="93"/>
        <v>-7932.9004066143707</v>
      </c>
      <c r="AS69" s="78">
        <f t="shared" si="93"/>
        <v>-7925.3601294219916</v>
      </c>
      <c r="AT69" s="78">
        <f t="shared" si="93"/>
        <v>-7918.5148690838669</v>
      </c>
      <c r="AU69" s="78">
        <f t="shared" si="93"/>
        <v>-7912.3005631769083</v>
      </c>
      <c r="AV69" s="78">
        <f t="shared" si="93"/>
        <v>-7906.6590541622436</v>
      </c>
      <c r="AW69" s="78">
        <f t="shared" si="93"/>
        <v>-7901.5375451089303</v>
      </c>
      <c r="AX69" s="78">
        <f t="shared" si="93"/>
        <v>-7896.8881055857482</v>
      </c>
      <c r="AY69" s="78">
        <f t="shared" si="93"/>
        <v>-7892.667223096877</v>
      </c>
      <c r="AZ69" s="78">
        <f t="shared" si="93"/>
        <v>-7888.8353958635016</v>
      </c>
      <c r="BA69" s="78">
        <f t="shared" si="93"/>
        <v>-7885.356763140333</v>
      </c>
      <c r="BB69" s="78">
        <f t="shared" si="93"/>
        <v>-7882.1987696073002</v>
      </c>
    </row>
    <row r="70" spans="1:54" x14ac:dyDescent="0.25">
      <c r="A70" s="180"/>
      <c r="B70" s="80" t="s">
        <v>361</v>
      </c>
      <c r="C70" s="81" t="s">
        <v>362</v>
      </c>
      <c r="D70" s="92">
        <f>SUM(D68:BB68)</f>
        <v>-7882.1987696073002</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row>
    <row r="71" spans="1:54" x14ac:dyDescent="0.25">
      <c r="A71" s="177" t="s">
        <v>716</v>
      </c>
      <c r="B71" t="s">
        <v>363</v>
      </c>
      <c r="C71" s="72" t="s">
        <v>362</v>
      </c>
      <c r="D71">
        <f>-(PV!$B$56*PV!$B$60)/South_Facade_PV_10S!$B$7</f>
        <v>-4198.7624999999998</v>
      </c>
      <c r="E71">
        <v>0</v>
      </c>
      <c r="F71">
        <v>0</v>
      </c>
      <c r="G71">
        <v>0</v>
      </c>
      <c r="H71">
        <v>0</v>
      </c>
      <c r="I71">
        <v>0</v>
      </c>
      <c r="J71">
        <v>0</v>
      </c>
      <c r="K71">
        <v>0</v>
      </c>
      <c r="L71">
        <v>0</v>
      </c>
      <c r="M71">
        <v>0</v>
      </c>
      <c r="N71">
        <f>-((PV!$B$78*PV!$B$56)/South_Facade_PV_10S!$B$7)*(1+$C$1)^N$176</f>
        <v>-4130.4936900303283</v>
      </c>
      <c r="O71">
        <v>0</v>
      </c>
      <c r="P71">
        <v>0</v>
      </c>
      <c r="Q71">
        <v>0</v>
      </c>
      <c r="R71">
        <v>0</v>
      </c>
      <c r="S71">
        <v>0</v>
      </c>
      <c r="T71">
        <v>0</v>
      </c>
      <c r="U71">
        <v>0</v>
      </c>
      <c r="V71">
        <v>0</v>
      </c>
      <c r="W71">
        <v>0</v>
      </c>
      <c r="X71">
        <f>-((PV!$B$78*PV!$B$56)/South_Facade_PV_10S!$B$7)*(1+$C$1)^X$176</f>
        <v>-6353.4109868720234</v>
      </c>
      <c r="Y71">
        <v>0</v>
      </c>
      <c r="Z71">
        <v>0</v>
      </c>
      <c r="AA71">
        <v>0</v>
      </c>
      <c r="AB71">
        <v>0</v>
      </c>
      <c r="AC71">
        <f>-(PV!$B$80*PV!$B$56/South_Facade_PV_10S!$B$7)*(1+$C$1)^AC$176</f>
        <v>-2341.0400274602898</v>
      </c>
      <c r="AD71">
        <v>0</v>
      </c>
      <c r="AE71">
        <v>0</v>
      </c>
      <c r="AF71">
        <v>0</v>
      </c>
      <c r="AG71">
        <v>0</v>
      </c>
      <c r="AH71">
        <f>-((PV!$B$78*PV!$B$56)/South_Facade_PV_10S!$B$7)*(1+$C$1)^AH$176</f>
        <v>-9772.6408021240059</v>
      </c>
      <c r="AI71">
        <v>0</v>
      </c>
      <c r="AJ71">
        <v>0</v>
      </c>
      <c r="AK71">
        <v>0</v>
      </c>
      <c r="AL71">
        <v>0</v>
      </c>
      <c r="AM71">
        <v>0</v>
      </c>
      <c r="AN71">
        <v>0</v>
      </c>
      <c r="AO71">
        <v>0</v>
      </c>
      <c r="AP71">
        <v>0</v>
      </c>
      <c r="AQ71">
        <v>0</v>
      </c>
      <c r="AR71">
        <f>-((PV!$B$78*PV!$B$56)/South_Facade_PV_10S!$B$7)*(1+$C$1)^AR$176</f>
        <v>-15032.005397522491</v>
      </c>
      <c r="AS71">
        <v>0</v>
      </c>
      <c r="AT71">
        <v>0</v>
      </c>
      <c r="AU71">
        <v>0</v>
      </c>
      <c r="AV71">
        <v>0</v>
      </c>
      <c r="AW71">
        <v>0</v>
      </c>
      <c r="AX71">
        <v>0</v>
      </c>
      <c r="AY71">
        <v>0</v>
      </c>
      <c r="AZ71">
        <v>0</v>
      </c>
      <c r="BA71">
        <v>0</v>
      </c>
      <c r="BB71">
        <v>0</v>
      </c>
    </row>
    <row r="72" spans="1:54" x14ac:dyDescent="0.25">
      <c r="A72" s="177"/>
      <c r="B72" t="s">
        <v>356</v>
      </c>
      <c r="C72" s="72" t="s">
        <v>362</v>
      </c>
      <c r="D72">
        <v>0</v>
      </c>
      <c r="E72" s="18">
        <f>ABS('Annual Calculations'!$Q$13)*(1+$C$3)^E$176</f>
        <v>222.00064299436767</v>
      </c>
      <c r="F72" s="18">
        <f>ABS('Annual Calculations'!$Q$13)*(1+$C$3)^F$176</f>
        <v>231.76867128611985</v>
      </c>
      <c r="G72" s="18">
        <f>ABS('Annual Calculations'!$Q$13)*(1+$C$3)^G$176</f>
        <v>241.96649282270914</v>
      </c>
      <c r="H72" s="18">
        <f>ABS('Annual Calculations'!$Q$13)*(1+$C$3)^H$176</f>
        <v>252.61301850690833</v>
      </c>
      <c r="I72" s="18">
        <f>ABS('Annual Calculations'!$Q$13)*(1+$C$3)^I$176</f>
        <v>263.7279913212123</v>
      </c>
      <c r="J72" s="18">
        <f>ABS('Annual Calculations'!$Q$13)*(1+$C$3)^J$176</f>
        <v>275.33202293934568</v>
      </c>
      <c r="K72" s="18">
        <f>ABS('Annual Calculations'!$Q$13)*(1+$C$3)^K$176</f>
        <v>287.4466319486769</v>
      </c>
      <c r="L72" s="18">
        <f>ABS('Annual Calculations'!$Q$13)*(1+$C$3)^L$176</f>
        <v>300.09428375441865</v>
      </c>
      <c r="M72" s="18">
        <f>ABS('Annual Calculations'!$Q$13)*(1+$C$3)^M$176</f>
        <v>313.29843223961313</v>
      </c>
      <c r="N72" s="18">
        <f>ABS('Annual Calculations'!$Q$13)*(1+$C$3)^N$176</f>
        <v>327.08356325815606</v>
      </c>
      <c r="O72" s="18">
        <f>ABS('Annual Calculations'!$Q$13)*(1+$C$3)^O$176</f>
        <v>341.47524004151501</v>
      </c>
      <c r="P72" s="18">
        <f>ABS('Annual Calculations'!$Q$13)*(1+$C$3)^P$176</f>
        <v>356.50015060334164</v>
      </c>
      <c r="Q72" s="18">
        <f>ABS('Annual Calculations'!$Q$13)*(1+$C$3)^Q$176</f>
        <v>372.18615722988864</v>
      </c>
      <c r="R72" s="18">
        <f>ABS('Annual Calculations'!$Q$13)*(1+$C$3)^R$176</f>
        <v>388.56234814800376</v>
      </c>
      <c r="S72" s="18">
        <f>ABS('Annual Calculations'!$Q$13)*(1+$C$3)^S$176</f>
        <v>405.65909146651597</v>
      </c>
      <c r="T72" s="18">
        <f>ABS('Annual Calculations'!$Q$13)*(1+$C$3)^T$176</f>
        <v>423.50809149104265</v>
      </c>
      <c r="U72" s="18">
        <f>ABS('Annual Calculations'!$Q$13)*(1+$C$3)^U$176</f>
        <v>442.14244751664847</v>
      </c>
      <c r="V72" s="18">
        <f>ABS('Annual Calculations'!$Q$13)*(1+$C$3)^V$176</f>
        <v>461.59671520738107</v>
      </c>
      <c r="W72" s="18">
        <f>ABS('Annual Calculations'!$Q$13)*(1+$C$3)^W$176</f>
        <v>481.90697067650586</v>
      </c>
      <c r="X72" s="18">
        <f>ABS('Annual Calculations'!$Q$13)*(1+$C$3)^X$176</f>
        <v>503.11087738627214</v>
      </c>
      <c r="Y72" s="18">
        <f>ABS('Annual Calculations'!$Q$13)*(1+$C$3)^Y$176</f>
        <v>525.24775599126804</v>
      </c>
      <c r="Z72" s="18">
        <f>ABS('Annual Calculations'!$Q$13)*(1+$C$3)^Z$176</f>
        <v>548.35865725488395</v>
      </c>
      <c r="AA72" s="18">
        <f>ABS('Annual Calculations'!$Q$13)*(1+$C$3)^AA$176</f>
        <v>572.48643817409891</v>
      </c>
      <c r="AB72" s="18">
        <f>ABS('Annual Calculations'!$Q$13)*(1+$C$3)^AB$176</f>
        <v>597.67584145375918</v>
      </c>
      <c r="AC72" s="18">
        <f>ABS('Annual Calculations'!$Q$13)*(1+$C$3)^AC$176</f>
        <v>623.97357847772457</v>
      </c>
      <c r="AD72" s="18">
        <f>ABS('Annual Calculations'!$Q$13)*(1+$C$3)^AD$176</f>
        <v>651.42841593074445</v>
      </c>
      <c r="AE72" s="18">
        <f>ABS('Annual Calculations'!$Q$13)*(1+$C$3)^AE$176</f>
        <v>680.09126623169732</v>
      </c>
      <c r="AF72" s="18">
        <f>ABS('Annual Calculations'!$Q$13)*(1+$C$3)^AF$176</f>
        <v>710.01528194589196</v>
      </c>
      <c r="AG72" s="18">
        <f>ABS('Annual Calculations'!$Q$13)*(1+$C$3)^AG$176</f>
        <v>741.25595435151115</v>
      </c>
      <c r="AH72" s="18">
        <f>ABS('Annual Calculations'!$Q$13)*(1+$C$3)^AH$176</f>
        <v>773.87121634297773</v>
      </c>
      <c r="AI72" s="18">
        <f>ABS('Annual Calculations'!$Q$13)*(1+$C$3)^AI$176</f>
        <v>807.9215498620689</v>
      </c>
      <c r="AJ72" s="18">
        <f>ABS('Annual Calculations'!$Q$13)*(1+$C$3)^AJ$176</f>
        <v>843.47009805599976</v>
      </c>
      <c r="AK72" s="18">
        <f>ABS('Annual Calculations'!$Q$13)*(1+$C$3)^AK$176</f>
        <v>880.58278237046386</v>
      </c>
      <c r="AL72" s="18">
        <f>ABS('Annual Calculations'!$Q$13)*(1+$C$3)^AL$176</f>
        <v>919.32842479476415</v>
      </c>
      <c r="AM72" s="18">
        <f>ABS('Annual Calculations'!$Q$13)*(1+$C$3)^AM$176</f>
        <v>959.77887548573392</v>
      </c>
      <c r="AN72" s="18">
        <f>ABS('Annual Calculations'!$Q$13)*(1+$C$3)^AN$176</f>
        <v>1002.0091460071062</v>
      </c>
      <c r="AO72" s="18">
        <f>ABS('Annual Calculations'!$Q$13)*(1+$C$3)^AO$176</f>
        <v>1046.0975484314188</v>
      </c>
      <c r="AP72" s="18">
        <f>ABS('Annual Calculations'!$Q$13)*(1+$C$3)^AP$176</f>
        <v>1092.1258405624014</v>
      </c>
      <c r="AQ72" s="18">
        <f>ABS('Annual Calculations'!$Q$13)*(1+$C$3)^AQ$176</f>
        <v>1140.1793775471472</v>
      </c>
      <c r="AR72" s="18">
        <f>ABS('Annual Calculations'!$Q$13)*(1+$C$3)^AR$176</f>
        <v>1190.3472701592214</v>
      </c>
      <c r="AS72" s="18">
        <f>ABS('Annual Calculations'!$Q$13)*(1+$C$3)^AS$176</f>
        <v>1242.7225500462273</v>
      </c>
      <c r="AT72" s="18">
        <f>ABS('Annual Calculations'!$Q$13)*(1+$C$3)^AT$176</f>
        <v>1297.4023422482614</v>
      </c>
      <c r="AU72" s="18">
        <f>ABS('Annual Calculations'!$Q$13)*(1+$C$3)^AU$176</f>
        <v>1354.4880453071851</v>
      </c>
      <c r="AV72" s="18">
        <f>ABS('Annual Calculations'!$Q$13)*(1+$C$3)^AV$176</f>
        <v>1414.0855193007012</v>
      </c>
      <c r="AW72" s="18">
        <f>ABS('Annual Calculations'!$Q$13)*(1+$C$3)^AW$176</f>
        <v>1476.3052821499318</v>
      </c>
      <c r="AX72" s="18">
        <f>ABS('Annual Calculations'!$Q$13)*(1+$C$3)^AX$176</f>
        <v>1541.2627145645288</v>
      </c>
      <c r="AY72" s="18">
        <f>ABS('Annual Calculations'!$Q$13)*(1+$C$3)^AY$176</f>
        <v>1609.0782740053685</v>
      </c>
      <c r="AZ72" s="18">
        <f>ABS('Annual Calculations'!$Q$13)*(1+$C$3)^AZ$176</f>
        <v>1679.8777180616044</v>
      </c>
      <c r="BA72" s="18">
        <f>ABS('Annual Calculations'!$Q$13)*(1+$C$3)^BA$176</f>
        <v>1753.7923376563151</v>
      </c>
      <c r="BB72" s="18">
        <f>ABS('Annual Calculations'!$Q$13)*(1+$C$3)^BB$176</f>
        <v>1830.9592005131933</v>
      </c>
    </row>
    <row r="73" spans="1:54" x14ac:dyDescent="0.25">
      <c r="A73" s="177"/>
      <c r="B73" t="s">
        <v>357</v>
      </c>
      <c r="C73" s="72" t="s">
        <v>362</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25">
      <c r="A74" s="177"/>
      <c r="B74" t="s">
        <v>358</v>
      </c>
      <c r="C74" s="72" t="s">
        <v>362</v>
      </c>
      <c r="D74">
        <f>SUM(D71:D73)</f>
        <v>-4198.7624999999998</v>
      </c>
      <c r="E74" s="18">
        <f t="shared" ref="E74:BB74" si="94">SUM(E71:E73)</f>
        <v>222.00064299436767</v>
      </c>
      <c r="F74" s="18">
        <f t="shared" si="94"/>
        <v>231.76867128611985</v>
      </c>
      <c r="G74" s="18">
        <f t="shared" si="94"/>
        <v>241.96649282270914</v>
      </c>
      <c r="H74" s="18">
        <f t="shared" si="94"/>
        <v>252.61301850690833</v>
      </c>
      <c r="I74" s="18">
        <f t="shared" si="94"/>
        <v>263.7279913212123</v>
      </c>
      <c r="J74" s="18">
        <f t="shared" si="94"/>
        <v>275.33202293934568</v>
      </c>
      <c r="K74" s="18">
        <f t="shared" si="94"/>
        <v>287.4466319486769</v>
      </c>
      <c r="L74" s="18">
        <f t="shared" si="94"/>
        <v>300.09428375441865</v>
      </c>
      <c r="M74" s="18">
        <f t="shared" si="94"/>
        <v>313.29843223961313</v>
      </c>
      <c r="N74" s="18">
        <f t="shared" si="94"/>
        <v>-3803.4101267721721</v>
      </c>
      <c r="O74" s="18">
        <f t="shared" si="94"/>
        <v>341.47524004151501</v>
      </c>
      <c r="P74" s="18">
        <f t="shared" si="94"/>
        <v>356.50015060334164</v>
      </c>
      <c r="Q74" s="18">
        <f t="shared" si="94"/>
        <v>372.18615722988864</v>
      </c>
      <c r="R74" s="18">
        <f t="shared" si="94"/>
        <v>388.56234814800376</v>
      </c>
      <c r="S74" s="18">
        <f t="shared" si="94"/>
        <v>405.65909146651597</v>
      </c>
      <c r="T74" s="18">
        <f t="shared" si="94"/>
        <v>423.50809149104265</v>
      </c>
      <c r="U74" s="18">
        <f t="shared" si="94"/>
        <v>442.14244751664847</v>
      </c>
      <c r="V74" s="18">
        <f t="shared" si="94"/>
        <v>461.59671520738107</v>
      </c>
      <c r="W74" s="18">
        <f t="shared" si="94"/>
        <v>481.90697067650586</v>
      </c>
      <c r="X74" s="18">
        <f t="shared" si="94"/>
        <v>-5850.3001094857509</v>
      </c>
      <c r="Y74" s="18">
        <f t="shared" si="94"/>
        <v>525.24775599126804</v>
      </c>
      <c r="Z74" s="18">
        <f t="shared" si="94"/>
        <v>548.35865725488395</v>
      </c>
      <c r="AA74" s="18">
        <f t="shared" si="94"/>
        <v>572.48643817409891</v>
      </c>
      <c r="AB74" s="18">
        <f t="shared" si="94"/>
        <v>597.67584145375918</v>
      </c>
      <c r="AC74" s="18">
        <f t="shared" si="94"/>
        <v>-1717.0664489825654</v>
      </c>
      <c r="AD74" s="18">
        <f t="shared" si="94"/>
        <v>651.42841593074445</v>
      </c>
      <c r="AE74" s="18">
        <f t="shared" si="94"/>
        <v>680.09126623169732</v>
      </c>
      <c r="AF74" s="18">
        <f t="shared" si="94"/>
        <v>710.01528194589196</v>
      </c>
      <c r="AG74" s="18">
        <f t="shared" si="94"/>
        <v>741.25595435151115</v>
      </c>
      <c r="AH74" s="18">
        <f t="shared" si="94"/>
        <v>-8998.7695857810286</v>
      </c>
      <c r="AI74" s="18">
        <f t="shared" si="94"/>
        <v>807.9215498620689</v>
      </c>
      <c r="AJ74" s="18">
        <f t="shared" si="94"/>
        <v>843.47009805599976</v>
      </c>
      <c r="AK74" s="18">
        <f t="shared" si="94"/>
        <v>880.58278237046386</v>
      </c>
      <c r="AL74" s="18">
        <f t="shared" si="94"/>
        <v>919.32842479476415</v>
      </c>
      <c r="AM74" s="18">
        <f t="shared" si="94"/>
        <v>959.77887548573392</v>
      </c>
      <c r="AN74" s="18">
        <f t="shared" si="94"/>
        <v>1002.0091460071062</v>
      </c>
      <c r="AO74" s="18">
        <f t="shared" si="94"/>
        <v>1046.0975484314188</v>
      </c>
      <c r="AP74" s="18">
        <f t="shared" si="94"/>
        <v>1092.1258405624014</v>
      </c>
      <c r="AQ74" s="18">
        <f t="shared" si="94"/>
        <v>1140.1793775471472</v>
      </c>
      <c r="AR74" s="18">
        <f t="shared" si="94"/>
        <v>-13841.658127363269</v>
      </c>
      <c r="AS74" s="18">
        <f t="shared" si="94"/>
        <v>1242.7225500462273</v>
      </c>
      <c r="AT74" s="18">
        <f t="shared" si="94"/>
        <v>1297.4023422482614</v>
      </c>
      <c r="AU74" s="18">
        <f t="shared" si="94"/>
        <v>1354.4880453071851</v>
      </c>
      <c r="AV74" s="18">
        <f t="shared" si="94"/>
        <v>1414.0855193007012</v>
      </c>
      <c r="AW74" s="18">
        <f t="shared" si="94"/>
        <v>1476.3052821499318</v>
      </c>
      <c r="AX74" s="18">
        <f t="shared" si="94"/>
        <v>1541.2627145645288</v>
      </c>
      <c r="AY74" s="18">
        <f t="shared" si="94"/>
        <v>1609.0782740053685</v>
      </c>
      <c r="AZ74" s="18">
        <f t="shared" si="94"/>
        <v>1679.8777180616044</v>
      </c>
      <c r="BA74" s="18">
        <f t="shared" si="94"/>
        <v>1753.7923376563151</v>
      </c>
      <c r="BB74" s="18">
        <f t="shared" si="94"/>
        <v>1830.9592005131933</v>
      </c>
    </row>
    <row r="75" spans="1:54" x14ac:dyDescent="0.25">
      <c r="A75" s="177"/>
      <c r="B75" t="s">
        <v>359</v>
      </c>
      <c r="C75" s="72"/>
      <c r="D75">
        <f t="shared" ref="D75:AI75" si="95">(1+$C$2)^D$176</f>
        <v>1</v>
      </c>
      <c r="E75" s="40">
        <f t="shared" si="95"/>
        <v>1.1499999999999999</v>
      </c>
      <c r="F75" s="40">
        <f t="shared" si="95"/>
        <v>1.3224999999999998</v>
      </c>
      <c r="G75" s="40">
        <f t="shared" si="95"/>
        <v>1.5208749999999995</v>
      </c>
      <c r="H75" s="40">
        <f t="shared" si="95"/>
        <v>1.7490062499999994</v>
      </c>
      <c r="I75" s="40">
        <f t="shared" si="95"/>
        <v>2.0113571874999994</v>
      </c>
      <c r="J75" s="40">
        <f t="shared" si="95"/>
        <v>2.3130607656249991</v>
      </c>
      <c r="K75" s="40">
        <f t="shared" si="95"/>
        <v>2.6600198804687483</v>
      </c>
      <c r="L75" s="40">
        <f t="shared" si="95"/>
        <v>3.0590228625390603</v>
      </c>
      <c r="M75" s="40">
        <f t="shared" si="95"/>
        <v>3.5178762919199191</v>
      </c>
      <c r="N75" s="40">
        <f t="shared" si="95"/>
        <v>4.0455577357079067</v>
      </c>
      <c r="O75" s="40">
        <f t="shared" si="95"/>
        <v>4.6523913960640924</v>
      </c>
      <c r="P75" s="40">
        <f t="shared" si="95"/>
        <v>5.3502501054737053</v>
      </c>
      <c r="Q75" s="40">
        <f t="shared" si="95"/>
        <v>6.1527876212947614</v>
      </c>
      <c r="R75" s="40">
        <f t="shared" si="95"/>
        <v>7.0757057644889754</v>
      </c>
      <c r="S75" s="40">
        <f t="shared" si="95"/>
        <v>8.1370616291623197</v>
      </c>
      <c r="T75" s="40">
        <f t="shared" si="95"/>
        <v>9.3576208735366659</v>
      </c>
      <c r="U75" s="40">
        <f t="shared" si="95"/>
        <v>10.761264004567165</v>
      </c>
      <c r="V75" s="40">
        <f t="shared" si="95"/>
        <v>12.375453605252238</v>
      </c>
      <c r="W75" s="40">
        <f t="shared" si="95"/>
        <v>14.231771646040073</v>
      </c>
      <c r="X75" s="40">
        <f t="shared" si="95"/>
        <v>16.366537392946082</v>
      </c>
      <c r="Y75" s="40">
        <f t="shared" si="95"/>
        <v>18.821518001887995</v>
      </c>
      <c r="Z75" s="40">
        <f t="shared" si="95"/>
        <v>21.644745702171193</v>
      </c>
      <c r="AA75" s="40">
        <f t="shared" si="95"/>
        <v>24.891457557496867</v>
      </c>
      <c r="AB75" s="40">
        <f t="shared" si="95"/>
        <v>28.625176191121394</v>
      </c>
      <c r="AC75" s="40">
        <f t="shared" si="95"/>
        <v>32.9189526197896</v>
      </c>
      <c r="AD75" s="40">
        <f t="shared" si="95"/>
        <v>37.85679551275804</v>
      </c>
      <c r="AE75" s="40">
        <f t="shared" si="95"/>
        <v>43.535314839671742</v>
      </c>
      <c r="AF75" s="40">
        <f t="shared" si="95"/>
        <v>50.065612065622496</v>
      </c>
      <c r="AG75" s="40">
        <f t="shared" si="95"/>
        <v>57.575453875465868</v>
      </c>
      <c r="AH75" s="40">
        <f t="shared" si="95"/>
        <v>66.211771956785753</v>
      </c>
      <c r="AI75" s="40">
        <f t="shared" si="95"/>
        <v>76.143537750303594</v>
      </c>
      <c r="AJ75" s="40">
        <f t="shared" ref="AJ75:BB75" si="96">(1+$C$2)^AJ$176</f>
        <v>87.565068412849115</v>
      </c>
      <c r="AK75" s="40">
        <f t="shared" si="96"/>
        <v>100.69982867477647</v>
      </c>
      <c r="AL75" s="40">
        <f t="shared" si="96"/>
        <v>115.80480297599294</v>
      </c>
      <c r="AM75" s="40">
        <f t="shared" si="96"/>
        <v>133.17552342239185</v>
      </c>
      <c r="AN75" s="40">
        <f t="shared" si="96"/>
        <v>153.15185193575064</v>
      </c>
      <c r="AO75" s="40">
        <f t="shared" si="96"/>
        <v>176.12462972611323</v>
      </c>
      <c r="AP75" s="40">
        <f t="shared" si="96"/>
        <v>202.5433241850302</v>
      </c>
      <c r="AQ75" s="40">
        <f t="shared" si="96"/>
        <v>232.92482281278467</v>
      </c>
      <c r="AR75" s="40">
        <f t="shared" si="96"/>
        <v>267.86354623470237</v>
      </c>
      <c r="AS75" s="40">
        <f t="shared" si="96"/>
        <v>308.04307816990769</v>
      </c>
      <c r="AT75" s="40">
        <f t="shared" si="96"/>
        <v>354.24953989539381</v>
      </c>
      <c r="AU75" s="40">
        <f t="shared" si="96"/>
        <v>407.38697087970286</v>
      </c>
      <c r="AV75" s="40">
        <f t="shared" si="96"/>
        <v>468.49501651165821</v>
      </c>
      <c r="AW75" s="40">
        <f t="shared" si="96"/>
        <v>538.76926898840691</v>
      </c>
      <c r="AX75" s="40">
        <f t="shared" si="96"/>
        <v>619.58465933666798</v>
      </c>
      <c r="AY75" s="40">
        <f t="shared" si="96"/>
        <v>712.52235823716796</v>
      </c>
      <c r="AZ75" s="40">
        <f t="shared" si="96"/>
        <v>819.40071197274301</v>
      </c>
      <c r="BA75" s="40">
        <f t="shared" si="96"/>
        <v>942.31081876865449</v>
      </c>
      <c r="BB75" s="40">
        <f t="shared" si="96"/>
        <v>1083.6574415839525</v>
      </c>
    </row>
    <row r="76" spans="1:54" x14ac:dyDescent="0.25">
      <c r="A76" s="177"/>
      <c r="B76" t="s">
        <v>360</v>
      </c>
      <c r="C76" s="72" t="s">
        <v>362</v>
      </c>
      <c r="D76">
        <f>D74/D75</f>
        <v>-4198.7624999999998</v>
      </c>
      <c r="E76" s="18">
        <f>E74/E75</f>
        <v>193.04403738640667</v>
      </c>
      <c r="F76" s="18">
        <f>F74/F75</f>
        <v>175.25041307079007</v>
      </c>
      <c r="G76" s="18">
        <f t="shared" ref="G76:BB76" si="97">G74/G75</f>
        <v>159.09689673556946</v>
      </c>
      <c r="H76" s="18">
        <f t="shared" si="97"/>
        <v>144.43231321037786</v>
      </c>
      <c r="I76" s="18">
        <f t="shared" si="97"/>
        <v>131.11942173185605</v>
      </c>
      <c r="J76" s="18">
        <f t="shared" si="97"/>
        <v>119.03363155483284</v>
      </c>
      <c r="K76" s="18">
        <f t="shared" si="97"/>
        <v>108.06183595064827</v>
      </c>
      <c r="L76" s="18">
        <f t="shared" si="97"/>
        <v>98.101353680414604</v>
      </c>
      <c r="M76" s="18">
        <f t="shared" si="97"/>
        <v>89.058968036828588</v>
      </c>
      <c r="N76" s="18">
        <f t="shared" si="97"/>
        <v>-940.14481444710793</v>
      </c>
      <c r="O76" s="18">
        <f t="shared" si="97"/>
        <v>73.397788571787387</v>
      </c>
      <c r="P76" s="18">
        <f t="shared" si="97"/>
        <v>66.632427190387858</v>
      </c>
      <c r="Q76" s="18">
        <f t="shared" si="97"/>
        <v>60.490655640665146</v>
      </c>
      <c r="R76" s="18">
        <f t="shared" si="97"/>
        <v>54.914995207699491</v>
      </c>
      <c r="S76" s="18">
        <f t="shared" si="97"/>
        <v>49.853265214641993</v>
      </c>
      <c r="T76" s="18">
        <f t="shared" si="97"/>
        <v>45.258094681814129</v>
      </c>
      <c r="U76" s="18">
        <f t="shared" si="97"/>
        <v>41.086478998099082</v>
      </c>
      <c r="V76" s="18">
        <f t="shared" si="97"/>
        <v>37.299377455665613</v>
      </c>
      <c r="W76" s="18">
        <f t="shared" si="97"/>
        <v>33.86134788149122</v>
      </c>
      <c r="X76" s="18">
        <f t="shared" si="97"/>
        <v>-357.45496857552831</v>
      </c>
      <c r="Y76" s="18">
        <f t="shared" si="97"/>
        <v>27.906769046927042</v>
      </c>
      <c r="Z76" s="18">
        <f t="shared" si="97"/>
        <v>25.334492943471169</v>
      </c>
      <c r="AA76" s="18">
        <f t="shared" si="97"/>
        <v>22.99931359389905</v>
      </c>
      <c r="AB76" s="18">
        <f t="shared" si="97"/>
        <v>20.879376862635311</v>
      </c>
      <c r="AC76" s="18">
        <f t="shared" si="97"/>
        <v>-52.16042165176092</v>
      </c>
      <c r="AD76" s="18">
        <f t="shared" si="97"/>
        <v>17.207700945295485</v>
      </c>
      <c r="AE76" s="18">
        <f t="shared" si="97"/>
        <v>15.621599814685645</v>
      </c>
      <c r="AF76" s="18">
        <f t="shared" si="97"/>
        <v>14.181695831766795</v>
      </c>
      <c r="AG76" s="18">
        <f t="shared" si="97"/>
        <v>12.874513433360464</v>
      </c>
      <c r="AH76" s="18">
        <f t="shared" si="97"/>
        <v>-135.90890743196286</v>
      </c>
      <c r="AI76" s="18">
        <f t="shared" si="97"/>
        <v>10.610507125522252</v>
      </c>
      <c r="AJ76" s="18">
        <f t="shared" si="97"/>
        <v>9.6324951643871586</v>
      </c>
      <c r="AK76" s="18">
        <f t="shared" si="97"/>
        <v>8.7446303927132139</v>
      </c>
      <c r="AL76" s="18">
        <f t="shared" si="97"/>
        <v>7.9386035912979072</v>
      </c>
      <c r="AM76" s="18">
        <f t="shared" si="97"/>
        <v>7.2068714341869731</v>
      </c>
      <c r="AN76" s="18">
        <f t="shared" si="97"/>
        <v>6.5425858932966943</v>
      </c>
      <c r="AO76" s="18">
        <f t="shared" si="97"/>
        <v>5.9395301500884772</v>
      </c>
      <c r="AP76" s="18">
        <f t="shared" si="97"/>
        <v>5.3920604145151056</v>
      </c>
      <c r="AQ76" s="18">
        <f t="shared" si="97"/>
        <v>4.8950531067424112</v>
      </c>
      <c r="AR76" s="18">
        <f t="shared" si="97"/>
        <v>-51.674288352903353</v>
      </c>
      <c r="AS76" s="18">
        <f t="shared" si="97"/>
        <v>4.0342492271836647</v>
      </c>
      <c r="AT76" s="18">
        <f t="shared" si="97"/>
        <v>3.6623966897215188</v>
      </c>
      <c r="AU76" s="18">
        <f t="shared" si="97"/>
        <v>3.3248192557124057</v>
      </c>
      <c r="AV76" s="18">
        <f t="shared" si="97"/>
        <v>3.0183576547510884</v>
      </c>
      <c r="AW76" s="18">
        <f t="shared" si="97"/>
        <v>2.7401438187479443</v>
      </c>
      <c r="AX76" s="18">
        <f t="shared" si="97"/>
        <v>2.487574040672047</v>
      </c>
      <c r="AY76" s="18">
        <f t="shared" si="97"/>
        <v>2.258284607357929</v>
      </c>
      <c r="AZ76" s="18">
        <f t="shared" si="97"/>
        <v>2.0501296783318939</v>
      </c>
      <c r="BA76" s="18">
        <f t="shared" si="97"/>
        <v>1.8611612036334759</v>
      </c>
      <c r="BB76" s="18">
        <f t="shared" si="97"/>
        <v>1.6896106926898691</v>
      </c>
    </row>
    <row r="77" spans="1:54" x14ac:dyDescent="0.25">
      <c r="A77" s="177"/>
      <c r="B77" s="76" t="s">
        <v>645</v>
      </c>
      <c r="C77" s="77" t="s">
        <v>362</v>
      </c>
      <c r="D77" s="76">
        <f>D76</f>
        <v>-4198.7624999999998</v>
      </c>
      <c r="E77" s="78">
        <f>E76+D77</f>
        <v>-4005.7184626135931</v>
      </c>
      <c r="F77" s="78">
        <f t="shared" ref="F77:BB77" si="98">F76+E77</f>
        <v>-3830.4680495428029</v>
      </c>
      <c r="G77" s="78">
        <f t="shared" si="98"/>
        <v>-3671.3711528072336</v>
      </c>
      <c r="H77" s="78">
        <f t="shared" si="98"/>
        <v>-3526.9388395968558</v>
      </c>
      <c r="I77" s="78">
        <f t="shared" si="98"/>
        <v>-3395.8194178649997</v>
      </c>
      <c r="J77" s="78">
        <f t="shared" si="98"/>
        <v>-3276.7857863101667</v>
      </c>
      <c r="K77" s="78">
        <f t="shared" si="98"/>
        <v>-3168.7239503595183</v>
      </c>
      <c r="L77" s="78">
        <f t="shared" si="98"/>
        <v>-3070.6225966791035</v>
      </c>
      <c r="M77" s="78">
        <f t="shared" si="98"/>
        <v>-2981.563628642275</v>
      </c>
      <c r="N77" s="78">
        <f t="shared" si="98"/>
        <v>-3921.7084430893829</v>
      </c>
      <c r="O77" s="78">
        <f t="shared" si="98"/>
        <v>-3848.3106545175956</v>
      </c>
      <c r="P77" s="78">
        <f t="shared" si="98"/>
        <v>-3781.6782273272079</v>
      </c>
      <c r="Q77" s="78">
        <f t="shared" si="98"/>
        <v>-3721.1875716865429</v>
      </c>
      <c r="R77" s="78">
        <f t="shared" si="98"/>
        <v>-3666.2725764788433</v>
      </c>
      <c r="S77" s="78">
        <f t="shared" si="98"/>
        <v>-3616.4193112642015</v>
      </c>
      <c r="T77" s="78">
        <f t="shared" si="98"/>
        <v>-3571.1612165823872</v>
      </c>
      <c r="U77" s="78">
        <f t="shared" si="98"/>
        <v>-3530.074737584288</v>
      </c>
      <c r="V77" s="78">
        <f t="shared" si="98"/>
        <v>-3492.7753601286222</v>
      </c>
      <c r="W77" s="78">
        <f t="shared" si="98"/>
        <v>-3458.9140122471308</v>
      </c>
      <c r="X77" s="78">
        <f t="shared" si="98"/>
        <v>-3816.3689808226591</v>
      </c>
      <c r="Y77" s="78">
        <f t="shared" si="98"/>
        <v>-3788.4622117757322</v>
      </c>
      <c r="Z77" s="78">
        <f t="shared" si="98"/>
        <v>-3763.1277188322611</v>
      </c>
      <c r="AA77" s="78">
        <f t="shared" si="98"/>
        <v>-3740.1284052383621</v>
      </c>
      <c r="AB77" s="78">
        <f t="shared" si="98"/>
        <v>-3719.249028375727</v>
      </c>
      <c r="AC77" s="78">
        <f t="shared" si="98"/>
        <v>-3771.4094500274878</v>
      </c>
      <c r="AD77" s="78">
        <f t="shared" si="98"/>
        <v>-3754.2017490821922</v>
      </c>
      <c r="AE77" s="78">
        <f t="shared" si="98"/>
        <v>-3738.5801492675064</v>
      </c>
      <c r="AF77" s="78">
        <f t="shared" si="98"/>
        <v>-3724.3984534357396</v>
      </c>
      <c r="AG77" s="78">
        <f t="shared" si="98"/>
        <v>-3711.5239400023793</v>
      </c>
      <c r="AH77" s="78">
        <f t="shared" si="98"/>
        <v>-3847.432847434342</v>
      </c>
      <c r="AI77" s="78">
        <f t="shared" si="98"/>
        <v>-3836.8223403088195</v>
      </c>
      <c r="AJ77" s="78">
        <f t="shared" si="98"/>
        <v>-3827.1898451444322</v>
      </c>
      <c r="AK77" s="78">
        <f t="shared" si="98"/>
        <v>-3818.445214751719</v>
      </c>
      <c r="AL77" s="78">
        <f t="shared" si="98"/>
        <v>-3810.506611160421</v>
      </c>
      <c r="AM77" s="78">
        <f t="shared" si="98"/>
        <v>-3803.2997397262338</v>
      </c>
      <c r="AN77" s="78">
        <f t="shared" si="98"/>
        <v>-3796.7571538329371</v>
      </c>
      <c r="AO77" s="78">
        <f t="shared" si="98"/>
        <v>-3790.8176236828485</v>
      </c>
      <c r="AP77" s="78">
        <f t="shared" si="98"/>
        <v>-3785.4255632683335</v>
      </c>
      <c r="AQ77" s="78">
        <f t="shared" si="98"/>
        <v>-3780.5305101615909</v>
      </c>
      <c r="AR77" s="78">
        <f t="shared" si="98"/>
        <v>-3832.2047985144941</v>
      </c>
      <c r="AS77" s="78">
        <f t="shared" si="98"/>
        <v>-3828.1705492873102</v>
      </c>
      <c r="AT77" s="78">
        <f t="shared" si="98"/>
        <v>-3824.5081525975888</v>
      </c>
      <c r="AU77" s="78">
        <f t="shared" si="98"/>
        <v>-3821.1833333418763</v>
      </c>
      <c r="AV77" s="78">
        <f t="shared" si="98"/>
        <v>-3818.1649756871252</v>
      </c>
      <c r="AW77" s="78">
        <f t="shared" si="98"/>
        <v>-3815.4248318683772</v>
      </c>
      <c r="AX77" s="78">
        <f t="shared" si="98"/>
        <v>-3812.9372578277053</v>
      </c>
      <c r="AY77" s="78">
        <f t="shared" si="98"/>
        <v>-3810.6789732203474</v>
      </c>
      <c r="AZ77" s="78">
        <f t="shared" si="98"/>
        <v>-3808.6288435420156</v>
      </c>
      <c r="BA77" s="78">
        <f t="shared" si="98"/>
        <v>-3806.7676823383822</v>
      </c>
      <c r="BB77" s="78">
        <f t="shared" si="98"/>
        <v>-3805.0780716456925</v>
      </c>
    </row>
    <row r="78" spans="1:54" x14ac:dyDescent="0.25">
      <c r="A78" s="177"/>
      <c r="B78" s="22" t="s">
        <v>361</v>
      </c>
      <c r="C78" s="75" t="s">
        <v>362</v>
      </c>
      <c r="D78" s="93">
        <f>SUM(D76:BB76)</f>
        <v>-3805.0780716456925</v>
      </c>
    </row>
    <row r="79" spans="1:54" x14ac:dyDescent="0.25">
      <c r="A79" s="180" t="s">
        <v>537</v>
      </c>
      <c r="B79" s="76" t="s">
        <v>363</v>
      </c>
      <c r="C79" s="77" t="s">
        <v>362</v>
      </c>
      <c r="D79" s="78">
        <f>-South_Facade_PV!$B$23/South_Facade_PV!$B$7</f>
        <v>-3159.7999999999997</v>
      </c>
      <c r="E79" s="76">
        <v>0</v>
      </c>
      <c r="F79" s="76">
        <v>0</v>
      </c>
      <c r="G79" s="76">
        <v>0</v>
      </c>
      <c r="H79" s="76">
        <v>0</v>
      </c>
      <c r="I79" s="76">
        <v>0</v>
      </c>
      <c r="J79" s="76">
        <v>0</v>
      </c>
      <c r="K79" s="76">
        <v>0</v>
      </c>
      <c r="L79" s="76">
        <v>0</v>
      </c>
      <c r="M79" s="76">
        <v>0</v>
      </c>
      <c r="N79" s="76">
        <f>-((South_Facade_PV!$B$33*South_Facade_PV!$B$19)/South_Facade_PV!$B$7)*(1+$C$1)^N$176</f>
        <v>-4574.4936621847073</v>
      </c>
      <c r="O79" s="76">
        <v>0</v>
      </c>
      <c r="P79" s="76">
        <v>0</v>
      </c>
      <c r="Q79" s="76">
        <v>0</v>
      </c>
      <c r="R79" s="76">
        <v>0</v>
      </c>
      <c r="S79" s="76">
        <v>0</v>
      </c>
      <c r="T79" s="76">
        <v>0</v>
      </c>
      <c r="U79" s="76">
        <v>0</v>
      </c>
      <c r="V79" s="76">
        <v>0</v>
      </c>
      <c r="W79" s="76">
        <v>0</v>
      </c>
      <c r="X79" s="76">
        <f>-((South_Facade_PV!$B$33*South_Facade_PV!$B$19)/South_Facade_PV!$B$7)*(1+$C$1)^X$176</f>
        <v>-7036.359446051436</v>
      </c>
      <c r="Y79" s="76">
        <v>0</v>
      </c>
      <c r="Z79" s="76">
        <v>0</v>
      </c>
      <c r="AA79" s="76">
        <v>0</v>
      </c>
      <c r="AB79" s="76">
        <v>0</v>
      </c>
      <c r="AC79" s="76">
        <f>-(South_Facade_PV!$B$35*South_Facade_PV!$B$19/South_Facade_PV!$B$7)*(1+$C$1)^X$176</f>
        <v>-1589.5446357103463</v>
      </c>
      <c r="AD79" s="76">
        <v>0</v>
      </c>
      <c r="AE79" s="76">
        <v>0</v>
      </c>
      <c r="AF79" s="76">
        <v>0</v>
      </c>
      <c r="AG79" s="76">
        <v>0</v>
      </c>
      <c r="AH79" s="76">
        <f>-((South_Facade_PV!$B$33*South_Facade_PV!$B$19)/South_Facade_PV!$B$7)*(1+$C$1)^AH$176</f>
        <v>-10823.133205608574</v>
      </c>
      <c r="AI79" s="76">
        <v>0</v>
      </c>
      <c r="AJ79" s="76">
        <v>0</v>
      </c>
      <c r="AK79" s="76">
        <v>0</v>
      </c>
      <c r="AL79" s="76">
        <v>0</v>
      </c>
      <c r="AM79" s="76">
        <v>0</v>
      </c>
      <c r="AN79" s="76">
        <v>0</v>
      </c>
      <c r="AO79" s="76">
        <v>0</v>
      </c>
      <c r="AP79" s="76">
        <v>0</v>
      </c>
      <c r="AQ79" s="76">
        <v>0</v>
      </c>
      <c r="AR79" s="76">
        <f>-((South_Facade_PV!$B$33*South_Facade_PV!$B$19)/South_Facade_PV!$B$7)*(1+$C$1)^AR$176</f>
        <v>-16647.843715841151</v>
      </c>
      <c r="AS79" s="76">
        <v>0</v>
      </c>
      <c r="AT79" s="76">
        <v>0</v>
      </c>
      <c r="AU79" s="76">
        <v>0</v>
      </c>
      <c r="AV79" s="76">
        <v>0</v>
      </c>
      <c r="AW79" s="76">
        <v>0</v>
      </c>
      <c r="AX79" s="76">
        <v>0</v>
      </c>
      <c r="AY79" s="76">
        <v>0</v>
      </c>
      <c r="AZ79" s="76">
        <v>0</v>
      </c>
      <c r="BA79" s="76">
        <v>0</v>
      </c>
      <c r="BB79" s="76">
        <v>0</v>
      </c>
    </row>
    <row r="80" spans="1:54" x14ac:dyDescent="0.25">
      <c r="A80" s="180"/>
      <c r="B80" s="76" t="s">
        <v>356</v>
      </c>
      <c r="C80" s="77" t="s">
        <v>362</v>
      </c>
      <c r="D80" s="76">
        <v>0</v>
      </c>
      <c r="E80" s="78">
        <f>ABS('Annual Calculations'!$Q$14)*(1+$C$3)^E$176</f>
        <v>122.52924920535594</v>
      </c>
      <c r="F80" s="78">
        <f>ABS('Annual Calculations'!$Q$14)*(1+$C$3)^F$176</f>
        <v>127.92053617039159</v>
      </c>
      <c r="G80" s="78">
        <f>ABS('Annual Calculations'!$Q$14)*(1+$C$3)^G$176</f>
        <v>133.54903976188885</v>
      </c>
      <c r="H80" s="78">
        <f>ABS('Annual Calculations'!$Q$14)*(1+$C$3)^H$176</f>
        <v>139.42519751141194</v>
      </c>
      <c r="I80" s="78">
        <f>ABS('Annual Calculations'!$Q$14)*(1+$C$3)^I$176</f>
        <v>145.55990620191406</v>
      </c>
      <c r="J80" s="78">
        <f>ABS('Annual Calculations'!$Q$14)*(1+$C$3)^J$176</f>
        <v>151.96454207479829</v>
      </c>
      <c r="K80" s="78">
        <f>ABS('Annual Calculations'!$Q$14)*(1+$C$3)^K$176</f>
        <v>158.65098192608943</v>
      </c>
      <c r="L80" s="78">
        <f>ABS('Annual Calculations'!$Q$14)*(1+$C$3)^L$176</f>
        <v>165.63162513083736</v>
      </c>
      <c r="M80" s="78">
        <f>ABS('Annual Calculations'!$Q$14)*(1+$C$3)^M$176</f>
        <v>172.91941663659421</v>
      </c>
      <c r="N80" s="78">
        <f>ABS('Annual Calculations'!$Q$14)*(1+$C$3)^N$176</f>
        <v>180.52787096860436</v>
      </c>
      <c r="O80" s="78">
        <f>ABS('Annual Calculations'!$Q$14)*(1+$C$3)^O$176</f>
        <v>188.47109729122297</v>
      </c>
      <c r="P80" s="78">
        <f>ABS('Annual Calculations'!$Q$14)*(1+$C$3)^P$176</f>
        <v>196.76382557203678</v>
      </c>
      <c r="Q80" s="78">
        <f>ABS('Annual Calculations'!$Q$14)*(1+$C$3)^Q$176</f>
        <v>205.42143389720638</v>
      </c>
      <c r="R80" s="78">
        <f>ABS('Annual Calculations'!$Q$14)*(1+$C$3)^R$176</f>
        <v>214.45997698868348</v>
      </c>
      <c r="S80" s="78">
        <f>ABS('Annual Calculations'!$Q$14)*(1+$C$3)^S$176</f>
        <v>223.89621597618557</v>
      </c>
      <c r="T80" s="78">
        <f>ABS('Annual Calculations'!$Q$14)*(1+$C$3)^T$176</f>
        <v>233.74764947913772</v>
      </c>
      <c r="U80" s="78">
        <f>ABS('Annual Calculations'!$Q$14)*(1+$C$3)^U$176</f>
        <v>244.03254605621976</v>
      </c>
      <c r="V80" s="78">
        <f>ABS('Annual Calculations'!$Q$14)*(1+$C$3)^V$176</f>
        <v>254.76997808269346</v>
      </c>
      <c r="W80" s="78">
        <f>ABS('Annual Calculations'!$Q$14)*(1+$C$3)^W$176</f>
        <v>265.97985711833201</v>
      </c>
      <c r="X80" s="78">
        <f>ABS('Annual Calculations'!$Q$14)*(1+$C$3)^X$176</f>
        <v>277.68297083153857</v>
      </c>
      <c r="Y80" s="78">
        <f>ABS('Annual Calculations'!$Q$14)*(1+$C$3)^Y$176</f>
        <v>289.90102154812627</v>
      </c>
      <c r="Z80" s="78">
        <f>ABS('Annual Calculations'!$Q$14)*(1+$C$3)^Z$176</f>
        <v>302.65666649624387</v>
      </c>
      <c r="AA80" s="78">
        <f>ABS('Annual Calculations'!$Q$14)*(1+$C$3)^AA$176</f>
        <v>315.97355982207864</v>
      </c>
      <c r="AB80" s="78">
        <f>ABS('Annual Calculations'!$Q$14)*(1+$C$3)^AB$176</f>
        <v>329.87639645425008</v>
      </c>
      <c r="AC80" s="78">
        <f>ABS('Annual Calculations'!$Q$14)*(1+$C$3)^AC$176</f>
        <v>344.3909578982371</v>
      </c>
      <c r="AD80" s="78">
        <f>ABS('Annual Calculations'!$Q$14)*(1+$C$3)^AD$176</f>
        <v>359.5441600457595</v>
      </c>
      <c r="AE80" s="78">
        <f>ABS('Annual Calculations'!$Q$14)*(1+$C$3)^AE$176</f>
        <v>375.36410308777295</v>
      </c>
      <c r="AF80" s="78">
        <f>ABS('Annual Calculations'!$Q$14)*(1+$C$3)^AF$176</f>
        <v>391.88012362363492</v>
      </c>
      <c r="AG80" s="78">
        <f>ABS('Annual Calculations'!$Q$14)*(1+$C$3)^AG$176</f>
        <v>409.12284906307485</v>
      </c>
      <c r="AH80" s="78">
        <f>ABS('Annual Calculations'!$Q$14)*(1+$C$3)^AH$176</f>
        <v>427.1242544218502</v>
      </c>
      <c r="AI80" s="78">
        <f>ABS('Annual Calculations'!$Q$14)*(1+$C$3)^AI$176</f>
        <v>445.91772161641165</v>
      </c>
      <c r="AJ80" s="78">
        <f>ABS('Annual Calculations'!$Q$14)*(1+$C$3)^AJ$176</f>
        <v>465.53810136753373</v>
      </c>
      <c r="AK80" s="78">
        <f>ABS('Annual Calculations'!$Q$14)*(1+$C$3)^AK$176</f>
        <v>486.02177782770525</v>
      </c>
      <c r="AL80" s="78">
        <f>ABS('Annual Calculations'!$Q$14)*(1+$C$3)^AL$176</f>
        <v>507.40673605212424</v>
      </c>
      <c r="AM80" s="78">
        <f>ABS('Annual Calculations'!$Q$14)*(1+$C$3)^AM$176</f>
        <v>529.7326324384178</v>
      </c>
      <c r="AN80" s="78">
        <f>ABS('Annual Calculations'!$Q$14)*(1+$C$3)^AN$176</f>
        <v>553.04086826570813</v>
      </c>
      <c r="AO80" s="78">
        <f>ABS('Annual Calculations'!$Q$14)*(1+$C$3)^AO$176</f>
        <v>577.37466646939924</v>
      </c>
      <c r="AP80" s="78">
        <f>ABS('Annual Calculations'!$Q$14)*(1+$C$3)^AP$176</f>
        <v>602.77915179405295</v>
      </c>
      <c r="AQ80" s="78">
        <f>ABS('Annual Calculations'!$Q$14)*(1+$C$3)^AQ$176</f>
        <v>629.30143447299133</v>
      </c>
      <c r="AR80" s="78">
        <f>ABS('Annual Calculations'!$Q$14)*(1+$C$3)^AR$176</f>
        <v>656.99069758980283</v>
      </c>
      <c r="AS80" s="78">
        <f>ABS('Annual Calculations'!$Q$14)*(1+$C$3)^AS$176</f>
        <v>685.89828828375425</v>
      </c>
      <c r="AT80" s="78">
        <f>ABS('Annual Calculations'!$Q$14)*(1+$C$3)^AT$176</f>
        <v>716.07781296823941</v>
      </c>
      <c r="AU80" s="78">
        <f>ABS('Annual Calculations'!$Q$14)*(1+$C$3)^AU$176</f>
        <v>747.58523673884213</v>
      </c>
      <c r="AV80" s="78">
        <f>ABS('Annual Calculations'!$Q$14)*(1+$C$3)^AV$176</f>
        <v>780.47898715535109</v>
      </c>
      <c r="AW80" s="78">
        <f>ABS('Annual Calculations'!$Q$14)*(1+$C$3)^AW$176</f>
        <v>814.82006259018647</v>
      </c>
      <c r="AX80" s="78">
        <f>ABS('Annual Calculations'!$Q$14)*(1+$C$3)^AX$176</f>
        <v>850.67214534415473</v>
      </c>
      <c r="AY80" s="78">
        <f>ABS('Annual Calculations'!$Q$14)*(1+$C$3)^AY$176</f>
        <v>888.10171973929766</v>
      </c>
      <c r="AZ80" s="78">
        <f>ABS('Annual Calculations'!$Q$14)*(1+$C$3)^AZ$176</f>
        <v>927.17819540782659</v>
      </c>
      <c r="BA80" s="78">
        <f>ABS('Annual Calculations'!$Q$14)*(1+$C$3)^BA$176</f>
        <v>967.97403600577104</v>
      </c>
      <c r="BB80" s="78">
        <f>ABS('Annual Calculations'!$Q$14)*(1+$C$3)^BB$176</f>
        <v>1010.5648935900251</v>
      </c>
    </row>
    <row r="81" spans="1:54" x14ac:dyDescent="0.25">
      <c r="A81" s="180"/>
      <c r="B81" s="76" t="s">
        <v>357</v>
      </c>
      <c r="C81" s="77" t="s">
        <v>362</v>
      </c>
      <c r="D81" s="76">
        <v>0</v>
      </c>
      <c r="E81" s="76">
        <v>0</v>
      </c>
      <c r="F81" s="76">
        <v>0</v>
      </c>
      <c r="G81" s="76">
        <v>0</v>
      </c>
      <c r="H81" s="76">
        <v>0</v>
      </c>
      <c r="I81" s="76">
        <v>0</v>
      </c>
      <c r="J81" s="76">
        <v>0</v>
      </c>
      <c r="K81" s="76">
        <v>0</v>
      </c>
      <c r="L81" s="76">
        <v>0</v>
      </c>
      <c r="M81" s="76">
        <v>0</v>
      </c>
      <c r="N81" s="76">
        <v>0</v>
      </c>
      <c r="O81" s="76">
        <v>0</v>
      </c>
      <c r="P81" s="76">
        <v>0</v>
      </c>
      <c r="Q81" s="76">
        <v>0</v>
      </c>
      <c r="R81" s="76">
        <v>0</v>
      </c>
      <c r="S81" s="76">
        <v>0</v>
      </c>
      <c r="T81" s="76">
        <v>0</v>
      </c>
      <c r="U81" s="76">
        <v>0</v>
      </c>
      <c r="V81" s="76">
        <v>0</v>
      </c>
      <c r="W81" s="76">
        <v>0</v>
      </c>
      <c r="X81" s="76">
        <v>0</v>
      </c>
      <c r="Y81" s="76">
        <v>0</v>
      </c>
      <c r="Z81" s="76">
        <v>0</v>
      </c>
      <c r="AA81" s="76">
        <v>0</v>
      </c>
      <c r="AB81" s="76">
        <v>0</v>
      </c>
      <c r="AC81" s="76">
        <v>0</v>
      </c>
      <c r="AD81" s="76">
        <v>0</v>
      </c>
      <c r="AE81" s="76">
        <v>0</v>
      </c>
      <c r="AF81" s="76">
        <v>0</v>
      </c>
      <c r="AG81" s="76">
        <v>0</v>
      </c>
      <c r="AH81" s="76">
        <v>0</v>
      </c>
      <c r="AI81" s="76">
        <v>0</v>
      </c>
      <c r="AJ81" s="76">
        <v>0</v>
      </c>
      <c r="AK81" s="76">
        <v>0</v>
      </c>
      <c r="AL81" s="76">
        <v>0</v>
      </c>
      <c r="AM81" s="76">
        <v>0</v>
      </c>
      <c r="AN81" s="76">
        <v>0</v>
      </c>
      <c r="AO81" s="76">
        <v>0</v>
      </c>
      <c r="AP81" s="76">
        <v>0</v>
      </c>
      <c r="AQ81" s="76">
        <v>0</v>
      </c>
      <c r="AR81" s="76">
        <v>0</v>
      </c>
      <c r="AS81" s="76">
        <v>0</v>
      </c>
      <c r="AT81" s="76">
        <v>0</v>
      </c>
      <c r="AU81" s="76">
        <v>0</v>
      </c>
      <c r="AV81" s="76">
        <v>0</v>
      </c>
      <c r="AW81" s="76">
        <v>0</v>
      </c>
      <c r="AX81" s="76">
        <v>0</v>
      </c>
      <c r="AY81" s="76">
        <v>0</v>
      </c>
      <c r="AZ81" s="76">
        <v>0</v>
      </c>
      <c r="BA81" s="76">
        <v>0</v>
      </c>
      <c r="BB81" s="76">
        <v>0</v>
      </c>
    </row>
    <row r="82" spans="1:54" x14ac:dyDescent="0.25">
      <c r="A82" s="180"/>
      <c r="B82" s="76" t="s">
        <v>358</v>
      </c>
      <c r="C82" s="77" t="s">
        <v>362</v>
      </c>
      <c r="D82" s="76">
        <f>SUM(D79:D81)</f>
        <v>-3159.7999999999997</v>
      </c>
      <c r="E82" s="78">
        <f t="shared" ref="E82:BB82" si="99">SUM(E79:E81)</f>
        <v>122.52924920535594</v>
      </c>
      <c r="F82" s="78">
        <f t="shared" si="99"/>
        <v>127.92053617039159</v>
      </c>
      <c r="G82" s="78">
        <f t="shared" si="99"/>
        <v>133.54903976188885</v>
      </c>
      <c r="H82" s="78">
        <f t="shared" si="99"/>
        <v>139.42519751141194</v>
      </c>
      <c r="I82" s="78">
        <f t="shared" si="99"/>
        <v>145.55990620191406</v>
      </c>
      <c r="J82" s="78">
        <f t="shared" si="99"/>
        <v>151.96454207479829</v>
      </c>
      <c r="K82" s="78">
        <f t="shared" si="99"/>
        <v>158.65098192608943</v>
      </c>
      <c r="L82" s="78">
        <f t="shared" si="99"/>
        <v>165.63162513083736</v>
      </c>
      <c r="M82" s="78">
        <f t="shared" si="99"/>
        <v>172.91941663659421</v>
      </c>
      <c r="N82" s="78">
        <f t="shared" si="99"/>
        <v>-4393.9657912161028</v>
      </c>
      <c r="O82" s="78">
        <f t="shared" si="99"/>
        <v>188.47109729122297</v>
      </c>
      <c r="P82" s="78">
        <f t="shared" si="99"/>
        <v>196.76382557203678</v>
      </c>
      <c r="Q82" s="78">
        <f t="shared" si="99"/>
        <v>205.42143389720638</v>
      </c>
      <c r="R82" s="78">
        <f t="shared" si="99"/>
        <v>214.45997698868348</v>
      </c>
      <c r="S82" s="78">
        <f t="shared" si="99"/>
        <v>223.89621597618557</v>
      </c>
      <c r="T82" s="78">
        <f t="shared" si="99"/>
        <v>233.74764947913772</v>
      </c>
      <c r="U82" s="78">
        <f t="shared" si="99"/>
        <v>244.03254605621976</v>
      </c>
      <c r="V82" s="78">
        <f t="shared" si="99"/>
        <v>254.76997808269346</v>
      </c>
      <c r="W82" s="78">
        <f t="shared" si="99"/>
        <v>265.97985711833201</v>
      </c>
      <c r="X82" s="78">
        <f t="shared" si="99"/>
        <v>-6758.6764752198978</v>
      </c>
      <c r="Y82" s="78">
        <f t="shared" si="99"/>
        <v>289.90102154812627</v>
      </c>
      <c r="Z82" s="78">
        <f t="shared" si="99"/>
        <v>302.65666649624387</v>
      </c>
      <c r="AA82" s="78">
        <f t="shared" si="99"/>
        <v>315.97355982207864</v>
      </c>
      <c r="AB82" s="78">
        <f t="shared" si="99"/>
        <v>329.87639645425008</v>
      </c>
      <c r="AC82" s="78">
        <f t="shared" si="99"/>
        <v>-1245.1536778121092</v>
      </c>
      <c r="AD82" s="78">
        <f t="shared" si="99"/>
        <v>359.5441600457595</v>
      </c>
      <c r="AE82" s="78">
        <f t="shared" si="99"/>
        <v>375.36410308777295</v>
      </c>
      <c r="AF82" s="78">
        <f t="shared" si="99"/>
        <v>391.88012362363492</v>
      </c>
      <c r="AG82" s="78">
        <f t="shared" si="99"/>
        <v>409.12284906307485</v>
      </c>
      <c r="AH82" s="78">
        <f t="shared" si="99"/>
        <v>-10396.008951186725</v>
      </c>
      <c r="AI82" s="78">
        <f t="shared" si="99"/>
        <v>445.91772161641165</v>
      </c>
      <c r="AJ82" s="78">
        <f t="shared" si="99"/>
        <v>465.53810136753373</v>
      </c>
      <c r="AK82" s="78">
        <f t="shared" si="99"/>
        <v>486.02177782770525</v>
      </c>
      <c r="AL82" s="78">
        <f t="shared" si="99"/>
        <v>507.40673605212424</v>
      </c>
      <c r="AM82" s="78">
        <f t="shared" si="99"/>
        <v>529.7326324384178</v>
      </c>
      <c r="AN82" s="78">
        <f t="shared" si="99"/>
        <v>553.04086826570813</v>
      </c>
      <c r="AO82" s="78">
        <f t="shared" si="99"/>
        <v>577.37466646939924</v>
      </c>
      <c r="AP82" s="78">
        <f t="shared" si="99"/>
        <v>602.77915179405295</v>
      </c>
      <c r="AQ82" s="78">
        <f t="shared" si="99"/>
        <v>629.30143447299133</v>
      </c>
      <c r="AR82" s="78">
        <f t="shared" si="99"/>
        <v>-15990.853018251348</v>
      </c>
      <c r="AS82" s="78">
        <f t="shared" si="99"/>
        <v>685.89828828375425</v>
      </c>
      <c r="AT82" s="78">
        <f t="shared" si="99"/>
        <v>716.07781296823941</v>
      </c>
      <c r="AU82" s="78">
        <f t="shared" si="99"/>
        <v>747.58523673884213</v>
      </c>
      <c r="AV82" s="78">
        <f t="shared" si="99"/>
        <v>780.47898715535109</v>
      </c>
      <c r="AW82" s="78">
        <f t="shared" si="99"/>
        <v>814.82006259018647</v>
      </c>
      <c r="AX82" s="78">
        <f t="shared" si="99"/>
        <v>850.67214534415473</v>
      </c>
      <c r="AY82" s="78">
        <f t="shared" si="99"/>
        <v>888.10171973929766</v>
      </c>
      <c r="AZ82" s="78">
        <f t="shared" si="99"/>
        <v>927.17819540782659</v>
      </c>
      <c r="BA82" s="78">
        <f t="shared" si="99"/>
        <v>967.97403600577104</v>
      </c>
      <c r="BB82" s="78">
        <f t="shared" si="99"/>
        <v>1010.5648935900251</v>
      </c>
    </row>
    <row r="83" spans="1:54" x14ac:dyDescent="0.25">
      <c r="A83" s="180"/>
      <c r="B83" s="76" t="s">
        <v>359</v>
      </c>
      <c r="C83" s="77"/>
      <c r="D83" s="76">
        <f t="shared" ref="D83:AI83" si="100">(1+$C$2)^D$176</f>
        <v>1</v>
      </c>
      <c r="E83" s="79">
        <f t="shared" si="100"/>
        <v>1.1499999999999999</v>
      </c>
      <c r="F83" s="79">
        <f t="shared" si="100"/>
        <v>1.3224999999999998</v>
      </c>
      <c r="G83" s="79">
        <f t="shared" si="100"/>
        <v>1.5208749999999995</v>
      </c>
      <c r="H83" s="79">
        <f t="shared" si="100"/>
        <v>1.7490062499999994</v>
      </c>
      <c r="I83" s="79">
        <f t="shared" si="100"/>
        <v>2.0113571874999994</v>
      </c>
      <c r="J83" s="79">
        <f t="shared" si="100"/>
        <v>2.3130607656249991</v>
      </c>
      <c r="K83" s="79">
        <f t="shared" si="100"/>
        <v>2.6600198804687483</v>
      </c>
      <c r="L83" s="79">
        <f t="shared" si="100"/>
        <v>3.0590228625390603</v>
      </c>
      <c r="M83" s="79">
        <f t="shared" si="100"/>
        <v>3.5178762919199191</v>
      </c>
      <c r="N83" s="79">
        <f t="shared" si="100"/>
        <v>4.0455577357079067</v>
      </c>
      <c r="O83" s="79">
        <f t="shared" si="100"/>
        <v>4.6523913960640924</v>
      </c>
      <c r="P83" s="79">
        <f t="shared" si="100"/>
        <v>5.3502501054737053</v>
      </c>
      <c r="Q83" s="79">
        <f t="shared" si="100"/>
        <v>6.1527876212947614</v>
      </c>
      <c r="R83" s="79">
        <f t="shared" si="100"/>
        <v>7.0757057644889754</v>
      </c>
      <c r="S83" s="79">
        <f t="shared" si="100"/>
        <v>8.1370616291623197</v>
      </c>
      <c r="T83" s="79">
        <f t="shared" si="100"/>
        <v>9.3576208735366659</v>
      </c>
      <c r="U83" s="79">
        <f t="shared" si="100"/>
        <v>10.761264004567165</v>
      </c>
      <c r="V83" s="79">
        <f t="shared" si="100"/>
        <v>12.375453605252238</v>
      </c>
      <c r="W83" s="79">
        <f t="shared" si="100"/>
        <v>14.231771646040073</v>
      </c>
      <c r="X83" s="79">
        <f t="shared" si="100"/>
        <v>16.366537392946082</v>
      </c>
      <c r="Y83" s="79">
        <f t="shared" si="100"/>
        <v>18.821518001887995</v>
      </c>
      <c r="Z83" s="79">
        <f t="shared" si="100"/>
        <v>21.644745702171193</v>
      </c>
      <c r="AA83" s="79">
        <f t="shared" si="100"/>
        <v>24.891457557496867</v>
      </c>
      <c r="AB83" s="79">
        <f t="shared" si="100"/>
        <v>28.625176191121394</v>
      </c>
      <c r="AC83" s="79">
        <f t="shared" si="100"/>
        <v>32.9189526197896</v>
      </c>
      <c r="AD83" s="79">
        <f t="shared" si="100"/>
        <v>37.85679551275804</v>
      </c>
      <c r="AE83" s="79">
        <f t="shared" si="100"/>
        <v>43.535314839671742</v>
      </c>
      <c r="AF83" s="79">
        <f t="shared" si="100"/>
        <v>50.065612065622496</v>
      </c>
      <c r="AG83" s="79">
        <f t="shared" si="100"/>
        <v>57.575453875465868</v>
      </c>
      <c r="AH83" s="79">
        <f t="shared" si="100"/>
        <v>66.211771956785753</v>
      </c>
      <c r="AI83" s="79">
        <f t="shared" si="100"/>
        <v>76.143537750303594</v>
      </c>
      <c r="AJ83" s="79">
        <f t="shared" ref="AJ83:BB83" si="101">(1+$C$2)^AJ$176</f>
        <v>87.565068412849115</v>
      </c>
      <c r="AK83" s="79">
        <f t="shared" si="101"/>
        <v>100.69982867477647</v>
      </c>
      <c r="AL83" s="79">
        <f t="shared" si="101"/>
        <v>115.80480297599294</v>
      </c>
      <c r="AM83" s="79">
        <f t="shared" si="101"/>
        <v>133.17552342239185</v>
      </c>
      <c r="AN83" s="79">
        <f t="shared" si="101"/>
        <v>153.15185193575064</v>
      </c>
      <c r="AO83" s="79">
        <f t="shared" si="101"/>
        <v>176.12462972611323</v>
      </c>
      <c r="AP83" s="79">
        <f t="shared" si="101"/>
        <v>202.5433241850302</v>
      </c>
      <c r="AQ83" s="79">
        <f t="shared" si="101"/>
        <v>232.92482281278467</v>
      </c>
      <c r="AR83" s="79">
        <f t="shared" si="101"/>
        <v>267.86354623470237</v>
      </c>
      <c r="AS83" s="79">
        <f t="shared" si="101"/>
        <v>308.04307816990769</v>
      </c>
      <c r="AT83" s="79">
        <f t="shared" si="101"/>
        <v>354.24953989539381</v>
      </c>
      <c r="AU83" s="79">
        <f t="shared" si="101"/>
        <v>407.38697087970286</v>
      </c>
      <c r="AV83" s="79">
        <f t="shared" si="101"/>
        <v>468.49501651165821</v>
      </c>
      <c r="AW83" s="79">
        <f t="shared" si="101"/>
        <v>538.76926898840691</v>
      </c>
      <c r="AX83" s="79">
        <f t="shared" si="101"/>
        <v>619.58465933666798</v>
      </c>
      <c r="AY83" s="79">
        <f t="shared" si="101"/>
        <v>712.52235823716796</v>
      </c>
      <c r="AZ83" s="79">
        <f t="shared" si="101"/>
        <v>819.40071197274301</v>
      </c>
      <c r="BA83" s="79">
        <f t="shared" si="101"/>
        <v>942.31081876865449</v>
      </c>
      <c r="BB83" s="79">
        <f t="shared" si="101"/>
        <v>1083.6574415839525</v>
      </c>
    </row>
    <row r="84" spans="1:54" x14ac:dyDescent="0.25">
      <c r="A84" s="180"/>
      <c r="B84" s="76" t="s">
        <v>360</v>
      </c>
      <c r="C84" s="77" t="s">
        <v>362</v>
      </c>
      <c r="D84" s="76">
        <f>D82/D83</f>
        <v>-3159.7999999999997</v>
      </c>
      <c r="E84" s="78">
        <f>E82/E83</f>
        <v>106.54717322204866</v>
      </c>
      <c r="F84" s="78">
        <f>F82/F83</f>
        <v>96.726303342451118</v>
      </c>
      <c r="G84" s="78">
        <f t="shared" ref="G84:BB84" si="102">G82/G83</f>
        <v>87.810661469146964</v>
      </c>
      <c r="H84" s="78">
        <f t="shared" si="102"/>
        <v>79.716809194599492</v>
      </c>
      <c r="I84" s="78">
        <f t="shared" si="102"/>
        <v>72.368998955792932</v>
      </c>
      <c r="J84" s="78">
        <f t="shared" si="102"/>
        <v>65.698465138998117</v>
      </c>
      <c r="K84" s="78">
        <f t="shared" si="102"/>
        <v>59.642780526186137</v>
      </c>
      <c r="L84" s="78">
        <f t="shared" si="102"/>
        <v>54.145272060294197</v>
      </c>
      <c r="M84" s="78">
        <f t="shared" si="102"/>
        <v>49.154490461693172</v>
      </c>
      <c r="N84" s="78">
        <f t="shared" si="102"/>
        <v>-1086.1211428112842</v>
      </c>
      <c r="O84" s="78">
        <f t="shared" si="102"/>
        <v>40.510585040344822</v>
      </c>
      <c r="P84" s="78">
        <f t="shared" si="102"/>
        <v>36.776565897495651</v>
      </c>
      <c r="Q84" s="78">
        <f t="shared" si="102"/>
        <v>33.386725910422136</v>
      </c>
      <c r="R84" s="78">
        <f t="shared" si="102"/>
        <v>30.309340739548446</v>
      </c>
      <c r="S84" s="78">
        <f t="shared" si="102"/>
        <v>27.515610201816163</v>
      </c>
      <c r="T84" s="78">
        <f t="shared" si="102"/>
        <v>24.979388739735718</v>
      </c>
      <c r="U84" s="78">
        <f t="shared" si="102"/>
        <v>22.67694073416008</v>
      </c>
      <c r="V84" s="78">
        <f t="shared" si="102"/>
        <v>20.586718370837502</v>
      </c>
      <c r="W84" s="78">
        <f t="shared" si="102"/>
        <v>18.689159981873352</v>
      </c>
      <c r="X84" s="78">
        <f t="shared" si="102"/>
        <v>-412.95701790489068</v>
      </c>
      <c r="Y84" s="78">
        <f t="shared" si="102"/>
        <v>15.402637636297252</v>
      </c>
      <c r="Z84" s="78">
        <f t="shared" si="102"/>
        <v>13.982916254168986</v>
      </c>
      <c r="AA84" s="78">
        <f t="shared" si="102"/>
        <v>12.694056147262978</v>
      </c>
      <c r="AB84" s="78">
        <f t="shared" si="102"/>
        <v>11.523995319776132</v>
      </c>
      <c r="AC84" s="78">
        <f t="shared" si="102"/>
        <v>-37.824826694624875</v>
      </c>
      <c r="AD84" s="78">
        <f t="shared" si="102"/>
        <v>9.4974800475278016</v>
      </c>
      <c r="AE84" s="78">
        <f t="shared" si="102"/>
        <v>8.6220601474948051</v>
      </c>
      <c r="AF84" s="78">
        <f t="shared" si="102"/>
        <v>7.8273311252039806</v>
      </c>
      <c r="AG84" s="78">
        <f t="shared" si="102"/>
        <v>7.1058553867069181</v>
      </c>
      <c r="AH84" s="78">
        <f t="shared" si="102"/>
        <v>-157.0114897086859</v>
      </c>
      <c r="AI84" s="78">
        <f t="shared" si="102"/>
        <v>5.8562779559665747</v>
      </c>
      <c r="AJ84" s="78">
        <f t="shared" si="102"/>
        <v>5.3164819008948738</v>
      </c>
      <c r="AK84" s="78">
        <f t="shared" si="102"/>
        <v>4.8264409604645646</v>
      </c>
      <c r="AL84" s="78">
        <f t="shared" si="102"/>
        <v>4.3815690110652215</v>
      </c>
      <c r="AM84" s="78">
        <f t="shared" si="102"/>
        <v>3.9777026500452988</v>
      </c>
      <c r="AN84" s="78">
        <f t="shared" si="102"/>
        <v>3.6110622318672094</v>
      </c>
      <c r="AO84" s="78">
        <f t="shared" si="102"/>
        <v>3.2782164957124929</v>
      </c>
      <c r="AP84" s="78">
        <f t="shared" si="102"/>
        <v>2.9760504534989942</v>
      </c>
      <c r="AQ84" s="78">
        <f t="shared" si="102"/>
        <v>2.701736237785175</v>
      </c>
      <c r="AR84" s="78">
        <f t="shared" si="102"/>
        <v>-59.697757470291023</v>
      </c>
      <c r="AS84" s="78">
        <f t="shared" si="102"/>
        <v>2.2266310684813782</v>
      </c>
      <c r="AT84" s="78">
        <f t="shared" si="102"/>
        <v>2.0213937699952687</v>
      </c>
      <c r="AU84" s="78">
        <f t="shared" si="102"/>
        <v>1.8350739964130967</v>
      </c>
      <c r="AV84" s="78">
        <f t="shared" si="102"/>
        <v>1.6659280454393677</v>
      </c>
      <c r="AW84" s="78">
        <f t="shared" si="102"/>
        <v>1.5123729386423477</v>
      </c>
      <c r="AX84" s="78">
        <f t="shared" si="102"/>
        <v>1.3729716069066182</v>
      </c>
      <c r="AY84" s="78">
        <f t="shared" si="102"/>
        <v>1.2464194414004437</v>
      </c>
      <c r="AZ84" s="78">
        <f t="shared" si="102"/>
        <v>1.1315320841930985</v>
      </c>
      <c r="BA84" s="78">
        <f t="shared" si="102"/>
        <v>1.0272343442587781</v>
      </c>
      <c r="BB84" s="78">
        <f t="shared" si="102"/>
        <v>0.93255013513579532</v>
      </c>
    </row>
    <row r="85" spans="1:54" x14ac:dyDescent="0.25">
      <c r="A85" s="180"/>
      <c r="B85" s="76" t="s">
        <v>645</v>
      </c>
      <c r="C85" s="77" t="s">
        <v>362</v>
      </c>
      <c r="D85" s="76">
        <f>D84</f>
        <v>-3159.7999999999997</v>
      </c>
      <c r="E85" s="78">
        <f>E84+D85</f>
        <v>-3053.2528267779512</v>
      </c>
      <c r="F85" s="78">
        <f t="shared" ref="F85:BB85" si="103">F84+E85</f>
        <v>-2956.5265234355002</v>
      </c>
      <c r="G85" s="78">
        <f t="shared" si="103"/>
        <v>-2868.7158619663533</v>
      </c>
      <c r="H85" s="78">
        <f t="shared" si="103"/>
        <v>-2788.9990527717537</v>
      </c>
      <c r="I85" s="78">
        <f t="shared" si="103"/>
        <v>-2716.6300538159608</v>
      </c>
      <c r="J85" s="78">
        <f t="shared" si="103"/>
        <v>-2650.9315886769627</v>
      </c>
      <c r="K85" s="78">
        <f t="shared" si="103"/>
        <v>-2591.2888081507767</v>
      </c>
      <c r="L85" s="78">
        <f t="shared" si="103"/>
        <v>-2537.1435360904825</v>
      </c>
      <c r="M85" s="78">
        <f t="shared" si="103"/>
        <v>-2487.9890456287894</v>
      </c>
      <c r="N85" s="78">
        <f t="shared" si="103"/>
        <v>-3574.1101884400737</v>
      </c>
      <c r="O85" s="78">
        <f t="shared" si="103"/>
        <v>-3533.5996033997289</v>
      </c>
      <c r="P85" s="78">
        <f t="shared" si="103"/>
        <v>-3496.8230375022331</v>
      </c>
      <c r="Q85" s="78">
        <f t="shared" si="103"/>
        <v>-3463.4363115918109</v>
      </c>
      <c r="R85" s="78">
        <f t="shared" si="103"/>
        <v>-3433.1269708522623</v>
      </c>
      <c r="S85" s="78">
        <f t="shared" si="103"/>
        <v>-3405.6113606504459</v>
      </c>
      <c r="T85" s="78">
        <f t="shared" si="103"/>
        <v>-3380.63197191071</v>
      </c>
      <c r="U85" s="78">
        <f t="shared" si="103"/>
        <v>-3357.9550311765502</v>
      </c>
      <c r="V85" s="78">
        <f t="shared" si="103"/>
        <v>-3337.3683128057128</v>
      </c>
      <c r="W85" s="78">
        <f t="shared" si="103"/>
        <v>-3318.6791528238396</v>
      </c>
      <c r="X85" s="78">
        <f t="shared" si="103"/>
        <v>-3731.6361707287301</v>
      </c>
      <c r="Y85" s="78">
        <f t="shared" si="103"/>
        <v>-3716.2335330924329</v>
      </c>
      <c r="Z85" s="78">
        <f t="shared" si="103"/>
        <v>-3702.2506168382638</v>
      </c>
      <c r="AA85" s="78">
        <f t="shared" si="103"/>
        <v>-3689.5565606910009</v>
      </c>
      <c r="AB85" s="78">
        <f t="shared" si="103"/>
        <v>-3678.0325653712248</v>
      </c>
      <c r="AC85" s="78">
        <f t="shared" si="103"/>
        <v>-3715.8573920658496</v>
      </c>
      <c r="AD85" s="78">
        <f t="shared" si="103"/>
        <v>-3706.3599120183217</v>
      </c>
      <c r="AE85" s="78">
        <f t="shared" si="103"/>
        <v>-3697.7378518708269</v>
      </c>
      <c r="AF85" s="78">
        <f t="shared" si="103"/>
        <v>-3689.9105207456228</v>
      </c>
      <c r="AG85" s="78">
        <f t="shared" si="103"/>
        <v>-3682.8046653589158</v>
      </c>
      <c r="AH85" s="78">
        <f t="shared" si="103"/>
        <v>-3839.8161550676018</v>
      </c>
      <c r="AI85" s="78">
        <f t="shared" si="103"/>
        <v>-3833.9598771116353</v>
      </c>
      <c r="AJ85" s="78">
        <f t="shared" si="103"/>
        <v>-3828.6433952107404</v>
      </c>
      <c r="AK85" s="78">
        <f t="shared" si="103"/>
        <v>-3823.816954250276</v>
      </c>
      <c r="AL85" s="78">
        <f t="shared" si="103"/>
        <v>-3819.435385239211</v>
      </c>
      <c r="AM85" s="78">
        <f t="shared" si="103"/>
        <v>-3815.4576825891659</v>
      </c>
      <c r="AN85" s="78">
        <f t="shared" si="103"/>
        <v>-3811.8466203572984</v>
      </c>
      <c r="AO85" s="78">
        <f t="shared" si="103"/>
        <v>-3808.5684038615859</v>
      </c>
      <c r="AP85" s="78">
        <f t="shared" si="103"/>
        <v>-3805.5923534080871</v>
      </c>
      <c r="AQ85" s="78">
        <f t="shared" si="103"/>
        <v>-3802.890617170302</v>
      </c>
      <c r="AR85" s="78">
        <f t="shared" si="103"/>
        <v>-3862.588374640593</v>
      </c>
      <c r="AS85" s="78">
        <f t="shared" si="103"/>
        <v>-3860.3617435721117</v>
      </c>
      <c r="AT85" s="78">
        <f t="shared" si="103"/>
        <v>-3858.3403498021162</v>
      </c>
      <c r="AU85" s="78">
        <f t="shared" si="103"/>
        <v>-3856.5052758057031</v>
      </c>
      <c r="AV85" s="78">
        <f t="shared" si="103"/>
        <v>-3854.839347760264</v>
      </c>
      <c r="AW85" s="78">
        <f t="shared" si="103"/>
        <v>-3853.3269748216217</v>
      </c>
      <c r="AX85" s="78">
        <f t="shared" si="103"/>
        <v>-3851.9540032147152</v>
      </c>
      <c r="AY85" s="78">
        <f t="shared" si="103"/>
        <v>-3850.7075837733146</v>
      </c>
      <c r="AZ85" s="78">
        <f t="shared" si="103"/>
        <v>-3849.5760516891214</v>
      </c>
      <c r="BA85" s="78">
        <f t="shared" si="103"/>
        <v>-3848.5488173448625</v>
      </c>
      <c r="BB85" s="78">
        <f t="shared" si="103"/>
        <v>-3847.6162672097266</v>
      </c>
    </row>
    <row r="86" spans="1:54" x14ac:dyDescent="0.25">
      <c r="A86" s="180"/>
      <c r="B86" s="80" t="s">
        <v>361</v>
      </c>
      <c r="C86" s="81" t="s">
        <v>362</v>
      </c>
      <c r="D86" s="92">
        <f>SUM(D84:BB84)</f>
        <v>-3847.6162672097266</v>
      </c>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row>
    <row r="87" spans="1:54" x14ac:dyDescent="0.25">
      <c r="A87" s="180" t="s">
        <v>854</v>
      </c>
      <c r="B87" s="76" t="s">
        <v>363</v>
      </c>
      <c r="C87" s="77" t="s">
        <v>362</v>
      </c>
      <c r="D87" s="78">
        <f>-South_Facade_PV!$B$28/South_Facade_PV!$B$7</f>
        <v>-1151.2</v>
      </c>
      <c r="E87" s="76">
        <v>0</v>
      </c>
      <c r="F87" s="76">
        <v>0</v>
      </c>
      <c r="G87" s="76">
        <v>0</v>
      </c>
      <c r="H87" s="76">
        <v>0</v>
      </c>
      <c r="I87" s="76">
        <v>0</v>
      </c>
      <c r="J87" s="76">
        <v>0</v>
      </c>
      <c r="K87" s="76">
        <v>0</v>
      </c>
      <c r="L87" s="76">
        <v>0</v>
      </c>
      <c r="M87" s="76">
        <v>0</v>
      </c>
      <c r="N87" s="76">
        <f>-((South_Facade_PV!$B$34*South_Facade_PV!$B$19)/South_Facade_PV!$B$7)*(1+$C$1)^N$176</f>
        <v>-702.17565578360279</v>
      </c>
      <c r="O87" s="76">
        <v>0</v>
      </c>
      <c r="P87" s="76">
        <v>0</v>
      </c>
      <c r="Q87" s="76">
        <v>0</v>
      </c>
      <c r="R87" s="76">
        <v>0</v>
      </c>
      <c r="S87" s="76">
        <v>0</v>
      </c>
      <c r="T87" s="76">
        <v>0</v>
      </c>
      <c r="U87" s="76">
        <v>0</v>
      </c>
      <c r="V87" s="76">
        <v>0</v>
      </c>
      <c r="W87" s="76">
        <v>0</v>
      </c>
      <c r="X87" s="76">
        <f>-((South_Facade_PV!$B$34*South_Facade_PV!$B$19)/South_Facade_PV!$B$7)*(1+$C$1)^X$176</f>
        <v>-1080.0671447428972</v>
      </c>
      <c r="Y87" s="76">
        <v>0</v>
      </c>
      <c r="Z87" s="76">
        <v>0</v>
      </c>
      <c r="AA87" s="76">
        <v>0</v>
      </c>
      <c r="AB87" s="76">
        <v>0</v>
      </c>
      <c r="AC87" s="76">
        <f>-(South_Facade_PV!$B$35*South_Facade_PV!$B$19/South_Facade_PV!$B$7)*(1+$C$1)^X$176</f>
        <v>-1589.5446357103463</v>
      </c>
      <c r="AD87" s="76">
        <v>0</v>
      </c>
      <c r="AE87" s="76">
        <v>0</v>
      </c>
      <c r="AF87" s="76">
        <v>0</v>
      </c>
      <c r="AG87" s="76">
        <v>0</v>
      </c>
      <c r="AH87" s="76">
        <f>-((South_Facade_PV!$B$34*South_Facade_PV!$B$19)/South_Facade_PV!$B$7)*(1+$C$1)^AH$176</f>
        <v>-1661.3293661558971</v>
      </c>
      <c r="AI87" s="76">
        <v>0</v>
      </c>
      <c r="AJ87" s="76">
        <v>0</v>
      </c>
      <c r="AK87" s="76">
        <v>0</v>
      </c>
      <c r="AL87" s="76">
        <v>0</v>
      </c>
      <c r="AM87" s="76">
        <v>0</v>
      </c>
      <c r="AN87" s="76">
        <v>0</v>
      </c>
      <c r="AO87" s="76">
        <v>0</v>
      </c>
      <c r="AP87" s="76">
        <v>0</v>
      </c>
      <c r="AQ87" s="76">
        <v>0</v>
      </c>
      <c r="AR87" s="76">
        <f>-((South_Facade_PV!$B$34*South_Facade_PV!$B$19)/South_Facade_PV!$B$7)*(1+$C$1)^AR$176</f>
        <v>-2555.4108152312683</v>
      </c>
      <c r="AS87" s="76">
        <v>0</v>
      </c>
      <c r="AT87" s="76">
        <v>0</v>
      </c>
      <c r="AU87" s="76">
        <v>0</v>
      </c>
      <c r="AV87" s="76">
        <v>0</v>
      </c>
      <c r="AW87" s="76">
        <v>0</v>
      </c>
      <c r="AX87" s="76">
        <v>0</v>
      </c>
      <c r="AY87" s="76">
        <v>0</v>
      </c>
      <c r="AZ87" s="76">
        <v>0</v>
      </c>
      <c r="BA87" s="76">
        <v>0</v>
      </c>
      <c r="BB87" s="76">
        <v>0</v>
      </c>
    </row>
    <row r="88" spans="1:54" x14ac:dyDescent="0.25">
      <c r="A88" s="180"/>
      <c r="B88" s="76" t="s">
        <v>356</v>
      </c>
      <c r="C88" s="77" t="s">
        <v>362</v>
      </c>
      <c r="D88" s="76">
        <v>0</v>
      </c>
      <c r="E88" s="78">
        <f>ABS('Annual Calculations'!$Q$14)*(1+$C$3)^E$176</f>
        <v>122.52924920535594</v>
      </c>
      <c r="F88" s="78">
        <f>ABS('Annual Calculations'!$Q$14)*(1+$C$3)^F$176</f>
        <v>127.92053617039159</v>
      </c>
      <c r="G88" s="78">
        <f>ABS('Annual Calculations'!$Q$14)*(1+$C$3)^G$176</f>
        <v>133.54903976188885</v>
      </c>
      <c r="H88" s="78">
        <f>ABS('Annual Calculations'!$Q$14)*(1+$C$3)^H$176</f>
        <v>139.42519751141194</v>
      </c>
      <c r="I88" s="78">
        <f>ABS('Annual Calculations'!$Q$14)*(1+$C$3)^I$176</f>
        <v>145.55990620191406</v>
      </c>
      <c r="J88" s="78">
        <f>ABS('Annual Calculations'!$Q$14)*(1+$C$3)^J$176</f>
        <v>151.96454207479829</v>
      </c>
      <c r="K88" s="78">
        <f>ABS('Annual Calculations'!$Q$14)*(1+$C$3)^K$176</f>
        <v>158.65098192608943</v>
      </c>
      <c r="L88" s="78">
        <f>ABS('Annual Calculations'!$Q$14)*(1+$C$3)^L$176</f>
        <v>165.63162513083736</v>
      </c>
      <c r="M88" s="78">
        <f>ABS('Annual Calculations'!$Q$14)*(1+$C$3)^M$176</f>
        <v>172.91941663659421</v>
      </c>
      <c r="N88" s="78">
        <f>ABS('Annual Calculations'!$Q$14)*(1+$C$3)^N$176</f>
        <v>180.52787096860436</v>
      </c>
      <c r="O88" s="78">
        <f>ABS('Annual Calculations'!$Q$14)*(1+$C$3)^O$176</f>
        <v>188.47109729122297</v>
      </c>
      <c r="P88" s="78">
        <f>ABS('Annual Calculations'!$Q$14)*(1+$C$3)^P$176</f>
        <v>196.76382557203678</v>
      </c>
      <c r="Q88" s="78">
        <f>ABS('Annual Calculations'!$Q$14)*(1+$C$3)^Q$176</f>
        <v>205.42143389720638</v>
      </c>
      <c r="R88" s="78">
        <f>ABS('Annual Calculations'!$Q$14)*(1+$C$3)^R$176</f>
        <v>214.45997698868348</v>
      </c>
      <c r="S88" s="78">
        <f>ABS('Annual Calculations'!$Q$14)*(1+$C$3)^S$176</f>
        <v>223.89621597618557</v>
      </c>
      <c r="T88" s="78">
        <f>ABS('Annual Calculations'!$Q$14)*(1+$C$3)^T$176</f>
        <v>233.74764947913772</v>
      </c>
      <c r="U88" s="78">
        <f>ABS('Annual Calculations'!$Q$14)*(1+$C$3)^U$176</f>
        <v>244.03254605621976</v>
      </c>
      <c r="V88" s="78">
        <f>ABS('Annual Calculations'!$Q$14)*(1+$C$3)^V$176</f>
        <v>254.76997808269346</v>
      </c>
      <c r="W88" s="78">
        <f>ABS('Annual Calculations'!$Q$14)*(1+$C$3)^W$176</f>
        <v>265.97985711833201</v>
      </c>
      <c r="X88" s="78">
        <f>ABS('Annual Calculations'!$Q$14)*(1+$C$3)^X$176</f>
        <v>277.68297083153857</v>
      </c>
      <c r="Y88" s="78">
        <f>ABS('Annual Calculations'!$Q$14)*(1+$C$3)^Y$176</f>
        <v>289.90102154812627</v>
      </c>
      <c r="Z88" s="78">
        <f>ABS('Annual Calculations'!$Q$14)*(1+$C$3)^Z$176</f>
        <v>302.65666649624387</v>
      </c>
      <c r="AA88" s="78">
        <f>ABS('Annual Calculations'!$Q$14)*(1+$C$3)^AA$176</f>
        <v>315.97355982207864</v>
      </c>
      <c r="AB88" s="78">
        <f>ABS('Annual Calculations'!$Q$14)*(1+$C$3)^AB$176</f>
        <v>329.87639645425008</v>
      </c>
      <c r="AC88" s="78">
        <f>ABS('Annual Calculations'!$Q$14)*(1+$C$3)^AC$176</f>
        <v>344.3909578982371</v>
      </c>
      <c r="AD88" s="78">
        <f>ABS('Annual Calculations'!$Q$14)*(1+$C$3)^AD$176</f>
        <v>359.5441600457595</v>
      </c>
      <c r="AE88" s="78">
        <f>ABS('Annual Calculations'!$Q$14)*(1+$C$3)^AE$176</f>
        <v>375.36410308777295</v>
      </c>
      <c r="AF88" s="78">
        <f>ABS('Annual Calculations'!$Q$14)*(1+$C$3)^AF$176</f>
        <v>391.88012362363492</v>
      </c>
      <c r="AG88" s="78">
        <f>ABS('Annual Calculations'!$Q$14)*(1+$C$3)^AG$176</f>
        <v>409.12284906307485</v>
      </c>
      <c r="AH88" s="78">
        <f>ABS('Annual Calculations'!$Q$14)*(1+$C$3)^AH$176</f>
        <v>427.1242544218502</v>
      </c>
      <c r="AI88" s="78">
        <f>ABS('Annual Calculations'!$Q$14)*(1+$C$3)^AI$176</f>
        <v>445.91772161641165</v>
      </c>
      <c r="AJ88" s="78">
        <f>ABS('Annual Calculations'!$Q$14)*(1+$C$3)^AJ$176</f>
        <v>465.53810136753373</v>
      </c>
      <c r="AK88" s="78">
        <f>ABS('Annual Calculations'!$Q$14)*(1+$C$3)^AK$176</f>
        <v>486.02177782770525</v>
      </c>
      <c r="AL88" s="78">
        <f>ABS('Annual Calculations'!$Q$14)*(1+$C$3)^AL$176</f>
        <v>507.40673605212424</v>
      </c>
      <c r="AM88" s="78">
        <f>ABS('Annual Calculations'!$Q$14)*(1+$C$3)^AM$176</f>
        <v>529.7326324384178</v>
      </c>
      <c r="AN88" s="78">
        <f>ABS('Annual Calculations'!$Q$14)*(1+$C$3)^AN$176</f>
        <v>553.04086826570813</v>
      </c>
      <c r="AO88" s="78">
        <f>ABS('Annual Calculations'!$Q$14)*(1+$C$3)^AO$176</f>
        <v>577.37466646939924</v>
      </c>
      <c r="AP88" s="78">
        <f>ABS('Annual Calculations'!$Q$14)*(1+$C$3)^AP$176</f>
        <v>602.77915179405295</v>
      </c>
      <c r="AQ88" s="78">
        <f>ABS('Annual Calculations'!$Q$14)*(1+$C$3)^AQ$176</f>
        <v>629.30143447299133</v>
      </c>
      <c r="AR88" s="78">
        <f>ABS('Annual Calculations'!$Q$14)*(1+$C$3)^AR$176</f>
        <v>656.99069758980283</v>
      </c>
      <c r="AS88" s="78">
        <f>ABS('Annual Calculations'!$Q$14)*(1+$C$3)^AS$176</f>
        <v>685.89828828375425</v>
      </c>
      <c r="AT88" s="78">
        <f>ABS('Annual Calculations'!$Q$14)*(1+$C$3)^AT$176</f>
        <v>716.07781296823941</v>
      </c>
      <c r="AU88" s="78">
        <f>ABS('Annual Calculations'!$Q$14)*(1+$C$3)^AU$176</f>
        <v>747.58523673884213</v>
      </c>
      <c r="AV88" s="78">
        <f>ABS('Annual Calculations'!$Q$14)*(1+$C$3)^AV$176</f>
        <v>780.47898715535109</v>
      </c>
      <c r="AW88" s="78">
        <f>ABS('Annual Calculations'!$Q$14)*(1+$C$3)^AW$176</f>
        <v>814.82006259018647</v>
      </c>
      <c r="AX88" s="78">
        <f>ABS('Annual Calculations'!$Q$14)*(1+$C$3)^AX$176</f>
        <v>850.67214534415473</v>
      </c>
      <c r="AY88" s="78">
        <f>ABS('Annual Calculations'!$Q$14)*(1+$C$3)^AY$176</f>
        <v>888.10171973929766</v>
      </c>
      <c r="AZ88" s="78">
        <f>ABS('Annual Calculations'!$Q$14)*(1+$C$3)^AZ$176</f>
        <v>927.17819540782659</v>
      </c>
      <c r="BA88" s="78">
        <f>ABS('Annual Calculations'!$Q$14)*(1+$C$3)^BA$176</f>
        <v>967.97403600577104</v>
      </c>
      <c r="BB88" s="78">
        <f>ABS('Annual Calculations'!$Q$14)*(1+$C$3)^BB$176</f>
        <v>1010.5648935900251</v>
      </c>
    </row>
    <row r="89" spans="1:54" x14ac:dyDescent="0.25">
      <c r="A89" s="180"/>
      <c r="B89" s="76" t="s">
        <v>357</v>
      </c>
      <c r="C89" s="77" t="s">
        <v>362</v>
      </c>
      <c r="D89" s="76">
        <v>0</v>
      </c>
      <c r="E89" s="76">
        <v>0</v>
      </c>
      <c r="F89" s="76">
        <v>0</v>
      </c>
      <c r="G89" s="76">
        <v>0</v>
      </c>
      <c r="H89" s="76">
        <v>0</v>
      </c>
      <c r="I89" s="76">
        <v>0</v>
      </c>
      <c r="J89" s="76">
        <v>0</v>
      </c>
      <c r="K89" s="76">
        <v>0</v>
      </c>
      <c r="L89" s="76">
        <v>0</v>
      </c>
      <c r="M89" s="76">
        <v>0</v>
      </c>
      <c r="N89" s="76">
        <v>0</v>
      </c>
      <c r="O89" s="76">
        <v>0</v>
      </c>
      <c r="P89" s="76">
        <v>0</v>
      </c>
      <c r="Q89" s="76">
        <v>0</v>
      </c>
      <c r="R89" s="76">
        <v>0</v>
      </c>
      <c r="S89" s="76">
        <v>0</v>
      </c>
      <c r="T89" s="76">
        <v>0</v>
      </c>
      <c r="U89" s="76">
        <v>0</v>
      </c>
      <c r="V89" s="76">
        <v>0</v>
      </c>
      <c r="W89" s="76">
        <v>0</v>
      </c>
      <c r="X89" s="76">
        <v>0</v>
      </c>
      <c r="Y89" s="76">
        <v>0</v>
      </c>
      <c r="Z89" s="76">
        <v>0</v>
      </c>
      <c r="AA89" s="76">
        <v>0</v>
      </c>
      <c r="AB89" s="76">
        <v>0</v>
      </c>
      <c r="AC89" s="76">
        <v>0</v>
      </c>
      <c r="AD89" s="76">
        <v>0</v>
      </c>
      <c r="AE89" s="76">
        <v>0</v>
      </c>
      <c r="AF89" s="76">
        <v>0</v>
      </c>
      <c r="AG89" s="76">
        <v>0</v>
      </c>
      <c r="AH89" s="76">
        <v>0</v>
      </c>
      <c r="AI89" s="76">
        <v>0</v>
      </c>
      <c r="AJ89" s="76">
        <v>0</v>
      </c>
      <c r="AK89" s="76">
        <v>0</v>
      </c>
      <c r="AL89" s="76">
        <v>0</v>
      </c>
      <c r="AM89" s="76">
        <v>0</v>
      </c>
      <c r="AN89" s="76">
        <v>0</v>
      </c>
      <c r="AO89" s="76">
        <v>0</v>
      </c>
      <c r="AP89" s="76">
        <v>0</v>
      </c>
      <c r="AQ89" s="76">
        <v>0</v>
      </c>
      <c r="AR89" s="76">
        <v>0</v>
      </c>
      <c r="AS89" s="76">
        <v>0</v>
      </c>
      <c r="AT89" s="76">
        <v>0</v>
      </c>
      <c r="AU89" s="76">
        <v>0</v>
      </c>
      <c r="AV89" s="76">
        <v>0</v>
      </c>
      <c r="AW89" s="76">
        <v>0</v>
      </c>
      <c r="AX89" s="76">
        <v>0</v>
      </c>
      <c r="AY89" s="76">
        <v>0</v>
      </c>
      <c r="AZ89" s="76">
        <v>0</v>
      </c>
      <c r="BA89" s="76">
        <v>0</v>
      </c>
      <c r="BB89" s="76">
        <v>0</v>
      </c>
    </row>
    <row r="90" spans="1:54" x14ac:dyDescent="0.25">
      <c r="A90" s="180"/>
      <c r="B90" s="76" t="s">
        <v>358</v>
      </c>
      <c r="C90" s="77" t="s">
        <v>362</v>
      </c>
      <c r="D90" s="76">
        <f>SUM(D87:D89)</f>
        <v>-1151.2</v>
      </c>
      <c r="E90" s="78">
        <f t="shared" ref="E90:BB90" si="104">SUM(E87:E89)</f>
        <v>122.52924920535594</v>
      </c>
      <c r="F90" s="78">
        <f t="shared" si="104"/>
        <v>127.92053617039159</v>
      </c>
      <c r="G90" s="78">
        <f t="shared" si="104"/>
        <v>133.54903976188885</v>
      </c>
      <c r="H90" s="78">
        <f t="shared" si="104"/>
        <v>139.42519751141194</v>
      </c>
      <c r="I90" s="78">
        <f t="shared" si="104"/>
        <v>145.55990620191406</v>
      </c>
      <c r="J90" s="78">
        <f t="shared" si="104"/>
        <v>151.96454207479829</v>
      </c>
      <c r="K90" s="78">
        <f t="shared" si="104"/>
        <v>158.65098192608943</v>
      </c>
      <c r="L90" s="78">
        <f t="shared" si="104"/>
        <v>165.63162513083736</v>
      </c>
      <c r="M90" s="78">
        <f t="shared" si="104"/>
        <v>172.91941663659421</v>
      </c>
      <c r="N90" s="78">
        <f t="shared" si="104"/>
        <v>-521.64778481499843</v>
      </c>
      <c r="O90" s="78">
        <f t="shared" si="104"/>
        <v>188.47109729122297</v>
      </c>
      <c r="P90" s="78">
        <f t="shared" si="104"/>
        <v>196.76382557203678</v>
      </c>
      <c r="Q90" s="78">
        <f t="shared" si="104"/>
        <v>205.42143389720638</v>
      </c>
      <c r="R90" s="78">
        <f t="shared" si="104"/>
        <v>214.45997698868348</v>
      </c>
      <c r="S90" s="78">
        <f t="shared" si="104"/>
        <v>223.89621597618557</v>
      </c>
      <c r="T90" s="78">
        <f t="shared" si="104"/>
        <v>233.74764947913772</v>
      </c>
      <c r="U90" s="78">
        <f t="shared" si="104"/>
        <v>244.03254605621976</v>
      </c>
      <c r="V90" s="78">
        <f t="shared" si="104"/>
        <v>254.76997808269346</v>
      </c>
      <c r="W90" s="78">
        <f t="shared" si="104"/>
        <v>265.97985711833201</v>
      </c>
      <c r="X90" s="78">
        <f t="shared" si="104"/>
        <v>-802.38417391135863</v>
      </c>
      <c r="Y90" s="78">
        <f t="shared" si="104"/>
        <v>289.90102154812627</v>
      </c>
      <c r="Z90" s="78">
        <f t="shared" si="104"/>
        <v>302.65666649624387</v>
      </c>
      <c r="AA90" s="78">
        <f t="shared" si="104"/>
        <v>315.97355982207864</v>
      </c>
      <c r="AB90" s="78">
        <f t="shared" si="104"/>
        <v>329.87639645425008</v>
      </c>
      <c r="AC90" s="78">
        <f t="shared" si="104"/>
        <v>-1245.1536778121092</v>
      </c>
      <c r="AD90" s="78">
        <f t="shared" si="104"/>
        <v>359.5441600457595</v>
      </c>
      <c r="AE90" s="78">
        <f t="shared" si="104"/>
        <v>375.36410308777295</v>
      </c>
      <c r="AF90" s="78">
        <f t="shared" si="104"/>
        <v>391.88012362363492</v>
      </c>
      <c r="AG90" s="78">
        <f t="shared" si="104"/>
        <v>409.12284906307485</v>
      </c>
      <c r="AH90" s="78">
        <f t="shared" si="104"/>
        <v>-1234.205111734047</v>
      </c>
      <c r="AI90" s="78">
        <f t="shared" si="104"/>
        <v>445.91772161641165</v>
      </c>
      <c r="AJ90" s="78">
        <f t="shared" si="104"/>
        <v>465.53810136753373</v>
      </c>
      <c r="AK90" s="78">
        <f t="shared" si="104"/>
        <v>486.02177782770525</v>
      </c>
      <c r="AL90" s="78">
        <f t="shared" si="104"/>
        <v>507.40673605212424</v>
      </c>
      <c r="AM90" s="78">
        <f t="shared" si="104"/>
        <v>529.7326324384178</v>
      </c>
      <c r="AN90" s="78">
        <f t="shared" si="104"/>
        <v>553.04086826570813</v>
      </c>
      <c r="AO90" s="78">
        <f t="shared" si="104"/>
        <v>577.37466646939924</v>
      </c>
      <c r="AP90" s="78">
        <f t="shared" si="104"/>
        <v>602.77915179405295</v>
      </c>
      <c r="AQ90" s="78">
        <f t="shared" si="104"/>
        <v>629.30143447299133</v>
      </c>
      <c r="AR90" s="78">
        <f t="shared" si="104"/>
        <v>-1898.4201176414654</v>
      </c>
      <c r="AS90" s="78">
        <f t="shared" si="104"/>
        <v>685.89828828375425</v>
      </c>
      <c r="AT90" s="78">
        <f t="shared" si="104"/>
        <v>716.07781296823941</v>
      </c>
      <c r="AU90" s="78">
        <f t="shared" si="104"/>
        <v>747.58523673884213</v>
      </c>
      <c r="AV90" s="78">
        <f t="shared" si="104"/>
        <v>780.47898715535109</v>
      </c>
      <c r="AW90" s="78">
        <f t="shared" si="104"/>
        <v>814.82006259018647</v>
      </c>
      <c r="AX90" s="78">
        <f t="shared" si="104"/>
        <v>850.67214534415473</v>
      </c>
      <c r="AY90" s="78">
        <f t="shared" si="104"/>
        <v>888.10171973929766</v>
      </c>
      <c r="AZ90" s="78">
        <f t="shared" si="104"/>
        <v>927.17819540782659</v>
      </c>
      <c r="BA90" s="78">
        <f t="shared" si="104"/>
        <v>967.97403600577104</v>
      </c>
      <c r="BB90" s="78">
        <f t="shared" si="104"/>
        <v>1010.5648935900251</v>
      </c>
    </row>
    <row r="91" spans="1:54" x14ac:dyDescent="0.25">
      <c r="A91" s="180"/>
      <c r="B91" s="76" t="s">
        <v>359</v>
      </c>
      <c r="C91" s="77"/>
      <c r="D91" s="76">
        <f t="shared" ref="D91:AI91" si="105">(1+$C$2)^D$176</f>
        <v>1</v>
      </c>
      <c r="E91" s="79">
        <f t="shared" si="105"/>
        <v>1.1499999999999999</v>
      </c>
      <c r="F91" s="79">
        <f t="shared" si="105"/>
        <v>1.3224999999999998</v>
      </c>
      <c r="G91" s="79">
        <f t="shared" si="105"/>
        <v>1.5208749999999995</v>
      </c>
      <c r="H91" s="79">
        <f t="shared" si="105"/>
        <v>1.7490062499999994</v>
      </c>
      <c r="I91" s="79">
        <f t="shared" si="105"/>
        <v>2.0113571874999994</v>
      </c>
      <c r="J91" s="79">
        <f t="shared" si="105"/>
        <v>2.3130607656249991</v>
      </c>
      <c r="K91" s="79">
        <f t="shared" si="105"/>
        <v>2.6600198804687483</v>
      </c>
      <c r="L91" s="79">
        <f t="shared" si="105"/>
        <v>3.0590228625390603</v>
      </c>
      <c r="M91" s="79">
        <f t="shared" si="105"/>
        <v>3.5178762919199191</v>
      </c>
      <c r="N91" s="79">
        <f t="shared" si="105"/>
        <v>4.0455577357079067</v>
      </c>
      <c r="O91" s="79">
        <f t="shared" si="105"/>
        <v>4.6523913960640924</v>
      </c>
      <c r="P91" s="79">
        <f t="shared" si="105"/>
        <v>5.3502501054737053</v>
      </c>
      <c r="Q91" s="79">
        <f t="shared" si="105"/>
        <v>6.1527876212947614</v>
      </c>
      <c r="R91" s="79">
        <f t="shared" si="105"/>
        <v>7.0757057644889754</v>
      </c>
      <c r="S91" s="79">
        <f t="shared" si="105"/>
        <v>8.1370616291623197</v>
      </c>
      <c r="T91" s="79">
        <f t="shared" si="105"/>
        <v>9.3576208735366659</v>
      </c>
      <c r="U91" s="79">
        <f t="shared" si="105"/>
        <v>10.761264004567165</v>
      </c>
      <c r="V91" s="79">
        <f t="shared" si="105"/>
        <v>12.375453605252238</v>
      </c>
      <c r="W91" s="79">
        <f t="shared" si="105"/>
        <v>14.231771646040073</v>
      </c>
      <c r="X91" s="79">
        <f t="shared" si="105"/>
        <v>16.366537392946082</v>
      </c>
      <c r="Y91" s="79">
        <f t="shared" si="105"/>
        <v>18.821518001887995</v>
      </c>
      <c r="Z91" s="79">
        <f t="shared" si="105"/>
        <v>21.644745702171193</v>
      </c>
      <c r="AA91" s="79">
        <f t="shared" si="105"/>
        <v>24.891457557496867</v>
      </c>
      <c r="AB91" s="79">
        <f t="shared" si="105"/>
        <v>28.625176191121394</v>
      </c>
      <c r="AC91" s="79">
        <f t="shared" si="105"/>
        <v>32.9189526197896</v>
      </c>
      <c r="AD91" s="79">
        <f t="shared" si="105"/>
        <v>37.85679551275804</v>
      </c>
      <c r="AE91" s="79">
        <f t="shared" si="105"/>
        <v>43.535314839671742</v>
      </c>
      <c r="AF91" s="79">
        <f t="shared" si="105"/>
        <v>50.065612065622496</v>
      </c>
      <c r="AG91" s="79">
        <f t="shared" si="105"/>
        <v>57.575453875465868</v>
      </c>
      <c r="AH91" s="79">
        <f t="shared" si="105"/>
        <v>66.211771956785753</v>
      </c>
      <c r="AI91" s="79">
        <f t="shared" si="105"/>
        <v>76.143537750303594</v>
      </c>
      <c r="AJ91" s="79">
        <f t="shared" ref="AJ91:BB91" si="106">(1+$C$2)^AJ$176</f>
        <v>87.565068412849115</v>
      </c>
      <c r="AK91" s="79">
        <f t="shared" si="106"/>
        <v>100.69982867477647</v>
      </c>
      <c r="AL91" s="79">
        <f t="shared" si="106"/>
        <v>115.80480297599294</v>
      </c>
      <c r="AM91" s="79">
        <f t="shared" si="106"/>
        <v>133.17552342239185</v>
      </c>
      <c r="AN91" s="79">
        <f t="shared" si="106"/>
        <v>153.15185193575064</v>
      </c>
      <c r="AO91" s="79">
        <f t="shared" si="106"/>
        <v>176.12462972611323</v>
      </c>
      <c r="AP91" s="79">
        <f t="shared" si="106"/>
        <v>202.5433241850302</v>
      </c>
      <c r="AQ91" s="79">
        <f t="shared" si="106"/>
        <v>232.92482281278467</v>
      </c>
      <c r="AR91" s="79">
        <f t="shared" si="106"/>
        <v>267.86354623470237</v>
      </c>
      <c r="AS91" s="79">
        <f t="shared" si="106"/>
        <v>308.04307816990769</v>
      </c>
      <c r="AT91" s="79">
        <f t="shared" si="106"/>
        <v>354.24953989539381</v>
      </c>
      <c r="AU91" s="79">
        <f t="shared" si="106"/>
        <v>407.38697087970286</v>
      </c>
      <c r="AV91" s="79">
        <f t="shared" si="106"/>
        <v>468.49501651165821</v>
      </c>
      <c r="AW91" s="79">
        <f t="shared" si="106"/>
        <v>538.76926898840691</v>
      </c>
      <c r="AX91" s="79">
        <f t="shared" si="106"/>
        <v>619.58465933666798</v>
      </c>
      <c r="AY91" s="79">
        <f t="shared" si="106"/>
        <v>712.52235823716796</v>
      </c>
      <c r="AZ91" s="79">
        <f t="shared" si="106"/>
        <v>819.40071197274301</v>
      </c>
      <c r="BA91" s="79">
        <f t="shared" si="106"/>
        <v>942.31081876865449</v>
      </c>
      <c r="BB91" s="79">
        <f t="shared" si="106"/>
        <v>1083.6574415839525</v>
      </c>
    </row>
    <row r="92" spans="1:54" x14ac:dyDescent="0.25">
      <c r="A92" s="180"/>
      <c r="B92" s="76" t="s">
        <v>360</v>
      </c>
      <c r="C92" s="77" t="s">
        <v>362</v>
      </c>
      <c r="D92" s="76">
        <f>D90/D91</f>
        <v>-1151.2</v>
      </c>
      <c r="E92" s="78">
        <f>E90/E91</f>
        <v>106.54717322204866</v>
      </c>
      <c r="F92" s="78">
        <f>F90/F91</f>
        <v>96.726303342451118</v>
      </c>
      <c r="G92" s="78">
        <f t="shared" ref="G92:BB92" si="107">G90/G91</f>
        <v>87.810661469146964</v>
      </c>
      <c r="H92" s="78">
        <f t="shared" si="107"/>
        <v>79.716809194599492</v>
      </c>
      <c r="I92" s="78">
        <f t="shared" si="107"/>
        <v>72.368998955792932</v>
      </c>
      <c r="J92" s="78">
        <f t="shared" si="107"/>
        <v>65.698465138998117</v>
      </c>
      <c r="K92" s="78">
        <f t="shared" si="107"/>
        <v>59.642780526186137</v>
      </c>
      <c r="L92" s="78">
        <f t="shared" si="107"/>
        <v>54.145272060294197</v>
      </c>
      <c r="M92" s="78">
        <f t="shared" si="107"/>
        <v>49.154490461693172</v>
      </c>
      <c r="N92" s="78">
        <f t="shared" si="107"/>
        <v>-128.94335438861771</v>
      </c>
      <c r="O92" s="78">
        <f t="shared" si="107"/>
        <v>40.510585040344822</v>
      </c>
      <c r="P92" s="78">
        <f t="shared" si="107"/>
        <v>36.776565897495651</v>
      </c>
      <c r="Q92" s="78">
        <f t="shared" si="107"/>
        <v>33.386725910422136</v>
      </c>
      <c r="R92" s="78">
        <f t="shared" si="107"/>
        <v>30.309340739548446</v>
      </c>
      <c r="S92" s="78">
        <f t="shared" si="107"/>
        <v>27.515610201816163</v>
      </c>
      <c r="T92" s="78">
        <f t="shared" si="107"/>
        <v>24.979388739735718</v>
      </c>
      <c r="U92" s="78">
        <f t="shared" si="107"/>
        <v>22.67694073416008</v>
      </c>
      <c r="V92" s="78">
        <f t="shared" si="107"/>
        <v>20.586718370837502</v>
      </c>
      <c r="W92" s="78">
        <f t="shared" si="107"/>
        <v>18.689159981873352</v>
      </c>
      <c r="X92" s="78">
        <f t="shared" si="107"/>
        <v>-49.025896843469361</v>
      </c>
      <c r="Y92" s="78">
        <f t="shared" si="107"/>
        <v>15.402637636297252</v>
      </c>
      <c r="Z92" s="78">
        <f t="shared" si="107"/>
        <v>13.982916254168986</v>
      </c>
      <c r="AA92" s="78">
        <f t="shared" si="107"/>
        <v>12.694056147262978</v>
      </c>
      <c r="AB92" s="78">
        <f t="shared" si="107"/>
        <v>11.523995319776132</v>
      </c>
      <c r="AC92" s="78">
        <f t="shared" si="107"/>
        <v>-37.824826694624875</v>
      </c>
      <c r="AD92" s="78">
        <f t="shared" si="107"/>
        <v>9.4974800475278016</v>
      </c>
      <c r="AE92" s="78">
        <f t="shared" si="107"/>
        <v>8.6220601474948051</v>
      </c>
      <c r="AF92" s="78">
        <f t="shared" si="107"/>
        <v>7.8273311252039806</v>
      </c>
      <c r="AG92" s="78">
        <f t="shared" si="107"/>
        <v>7.1058553867069181</v>
      </c>
      <c r="AH92" s="78">
        <f t="shared" si="107"/>
        <v>-18.640267059150329</v>
      </c>
      <c r="AI92" s="78">
        <f t="shared" si="107"/>
        <v>5.8562779559665747</v>
      </c>
      <c r="AJ92" s="78">
        <f t="shared" si="107"/>
        <v>5.3164819008948738</v>
      </c>
      <c r="AK92" s="78">
        <f t="shared" si="107"/>
        <v>4.8264409604645646</v>
      </c>
      <c r="AL92" s="78">
        <f t="shared" si="107"/>
        <v>4.3815690110652215</v>
      </c>
      <c r="AM92" s="78">
        <f t="shared" si="107"/>
        <v>3.9777026500452988</v>
      </c>
      <c r="AN92" s="78">
        <f t="shared" si="107"/>
        <v>3.6110622318672094</v>
      </c>
      <c r="AO92" s="78">
        <f t="shared" si="107"/>
        <v>3.2782164957124929</v>
      </c>
      <c r="AP92" s="78">
        <f t="shared" si="107"/>
        <v>2.9760504534989942</v>
      </c>
      <c r="AQ92" s="78">
        <f t="shared" si="107"/>
        <v>2.701736237785175</v>
      </c>
      <c r="AR92" s="78">
        <f t="shared" si="107"/>
        <v>-7.0872656780929324</v>
      </c>
      <c r="AS92" s="78">
        <f t="shared" si="107"/>
        <v>2.2266310684813782</v>
      </c>
      <c r="AT92" s="78">
        <f t="shared" si="107"/>
        <v>2.0213937699952687</v>
      </c>
      <c r="AU92" s="78">
        <f t="shared" si="107"/>
        <v>1.8350739964130967</v>
      </c>
      <c r="AV92" s="78">
        <f t="shared" si="107"/>
        <v>1.6659280454393677</v>
      </c>
      <c r="AW92" s="78">
        <f t="shared" si="107"/>
        <v>1.5123729386423477</v>
      </c>
      <c r="AX92" s="78">
        <f t="shared" si="107"/>
        <v>1.3729716069066182</v>
      </c>
      <c r="AY92" s="78">
        <f t="shared" si="107"/>
        <v>1.2464194414004437</v>
      </c>
      <c r="AZ92" s="78">
        <f t="shared" si="107"/>
        <v>1.1315320841930985</v>
      </c>
      <c r="BA92" s="78">
        <f t="shared" si="107"/>
        <v>1.0272343442587781</v>
      </c>
      <c r="BB92" s="78">
        <f t="shared" si="107"/>
        <v>0.93255013513579532</v>
      </c>
    </row>
    <row r="93" spans="1:54" x14ac:dyDescent="0.25">
      <c r="A93" s="180"/>
      <c r="B93" s="76" t="s">
        <v>645</v>
      </c>
      <c r="C93" s="77" t="s">
        <v>362</v>
      </c>
      <c r="D93" s="76">
        <f>D92</f>
        <v>-1151.2</v>
      </c>
      <c r="E93" s="78">
        <f>E92+D93</f>
        <v>-1044.6528267779513</v>
      </c>
      <c r="F93" s="78">
        <f t="shared" ref="F93" si="108">F92+E93</f>
        <v>-947.92652343550014</v>
      </c>
      <c r="G93" s="78">
        <f t="shared" ref="G93" si="109">G92+F93</f>
        <v>-860.11586196635312</v>
      </c>
      <c r="H93" s="78">
        <f t="shared" ref="H93" si="110">H92+G93</f>
        <v>-780.39905277175365</v>
      </c>
      <c r="I93" s="78">
        <f t="shared" ref="I93" si="111">I92+H93</f>
        <v>-708.03005381596074</v>
      </c>
      <c r="J93" s="78">
        <f t="shared" ref="J93" si="112">J92+I93</f>
        <v>-642.33158867696261</v>
      </c>
      <c r="K93" s="78">
        <f t="shared" ref="K93" si="113">K92+J93</f>
        <v>-582.68880815077648</v>
      </c>
      <c r="L93" s="78">
        <f t="shared" ref="L93" si="114">L92+K93</f>
        <v>-528.54353609048223</v>
      </c>
      <c r="M93" s="78">
        <f t="shared" ref="M93" si="115">M92+L93</f>
        <v>-479.38904562878906</v>
      </c>
      <c r="N93" s="78">
        <f t="shared" ref="N93" si="116">N92+M93</f>
        <v>-608.33240001740683</v>
      </c>
      <c r="O93" s="78">
        <f t="shared" ref="O93" si="117">O92+N93</f>
        <v>-567.82181497706199</v>
      </c>
      <c r="P93" s="78">
        <f t="shared" ref="P93" si="118">P92+O93</f>
        <v>-531.04524907956636</v>
      </c>
      <c r="Q93" s="78">
        <f t="shared" ref="Q93" si="119">Q92+P93</f>
        <v>-497.65852316914425</v>
      </c>
      <c r="R93" s="78">
        <f t="shared" ref="R93" si="120">R92+Q93</f>
        <v>-467.34918242959577</v>
      </c>
      <c r="S93" s="78">
        <f t="shared" ref="S93" si="121">S92+R93</f>
        <v>-439.8335722277796</v>
      </c>
      <c r="T93" s="78">
        <f t="shared" ref="T93" si="122">T92+S93</f>
        <v>-414.85418348804387</v>
      </c>
      <c r="U93" s="78">
        <f t="shared" ref="U93" si="123">U92+T93</f>
        <v>-392.17724275388377</v>
      </c>
      <c r="V93" s="78">
        <f t="shared" ref="V93" si="124">V92+U93</f>
        <v>-371.59052438304627</v>
      </c>
      <c r="W93" s="78">
        <f t="shared" ref="W93" si="125">W92+V93</f>
        <v>-352.90136440117294</v>
      </c>
      <c r="X93" s="78">
        <f t="shared" ref="X93" si="126">X92+W93</f>
        <v>-401.9272612446423</v>
      </c>
      <c r="Y93" s="78">
        <f t="shared" ref="Y93" si="127">Y92+X93</f>
        <v>-386.52462360834505</v>
      </c>
      <c r="Z93" s="78">
        <f t="shared" ref="Z93" si="128">Z92+Y93</f>
        <v>-372.54170735417608</v>
      </c>
      <c r="AA93" s="78">
        <f t="shared" ref="AA93" si="129">AA92+Z93</f>
        <v>-359.8476512069131</v>
      </c>
      <c r="AB93" s="78">
        <f t="shared" ref="AB93" si="130">AB92+AA93</f>
        <v>-348.32365588713697</v>
      </c>
      <c r="AC93" s="78">
        <f t="shared" ref="AC93" si="131">AC92+AB93</f>
        <v>-386.14848258176187</v>
      </c>
      <c r="AD93" s="78">
        <f t="shared" ref="AD93" si="132">AD92+AC93</f>
        <v>-376.65100253423407</v>
      </c>
      <c r="AE93" s="78">
        <f t="shared" ref="AE93" si="133">AE92+AD93</f>
        <v>-368.02894238673929</v>
      </c>
      <c r="AF93" s="78">
        <f t="shared" ref="AF93" si="134">AF92+AE93</f>
        <v>-360.20161126153533</v>
      </c>
      <c r="AG93" s="78">
        <f t="shared" ref="AG93" si="135">AG92+AF93</f>
        <v>-353.0957558748284</v>
      </c>
      <c r="AH93" s="78">
        <f t="shared" ref="AH93" si="136">AH92+AG93</f>
        <v>-371.73602293397875</v>
      </c>
      <c r="AI93" s="78">
        <f t="shared" ref="AI93" si="137">AI92+AH93</f>
        <v>-365.87974497801218</v>
      </c>
      <c r="AJ93" s="78">
        <f t="shared" ref="AJ93" si="138">AJ92+AI93</f>
        <v>-360.56326307711731</v>
      </c>
      <c r="AK93" s="78">
        <f t="shared" ref="AK93" si="139">AK92+AJ93</f>
        <v>-355.73682211665277</v>
      </c>
      <c r="AL93" s="78">
        <f t="shared" ref="AL93" si="140">AL92+AK93</f>
        <v>-351.35525310558756</v>
      </c>
      <c r="AM93" s="78">
        <f t="shared" ref="AM93" si="141">AM92+AL93</f>
        <v>-347.37755045554229</v>
      </c>
      <c r="AN93" s="78">
        <f t="shared" ref="AN93" si="142">AN92+AM93</f>
        <v>-343.76648822367508</v>
      </c>
      <c r="AO93" s="78">
        <f t="shared" ref="AO93" si="143">AO92+AN93</f>
        <v>-340.48827172796257</v>
      </c>
      <c r="AP93" s="78">
        <f t="shared" ref="AP93" si="144">AP92+AO93</f>
        <v>-337.51222127446357</v>
      </c>
      <c r="AQ93" s="78">
        <f t="shared" ref="AQ93" si="145">AQ92+AP93</f>
        <v>-334.81048503667841</v>
      </c>
      <c r="AR93" s="78">
        <f t="shared" ref="AR93" si="146">AR92+AQ93</f>
        <v>-341.89775071477135</v>
      </c>
      <c r="AS93" s="78">
        <f t="shared" ref="AS93" si="147">AS92+AR93</f>
        <v>-339.67111964628998</v>
      </c>
      <c r="AT93" s="78">
        <f t="shared" ref="AT93" si="148">AT92+AS93</f>
        <v>-337.64972587629472</v>
      </c>
      <c r="AU93" s="78">
        <f t="shared" ref="AU93" si="149">AU92+AT93</f>
        <v>-335.81465187988164</v>
      </c>
      <c r="AV93" s="78">
        <f t="shared" ref="AV93" si="150">AV92+AU93</f>
        <v>-334.14872383444225</v>
      </c>
      <c r="AW93" s="78">
        <f t="shared" ref="AW93" si="151">AW92+AV93</f>
        <v>-332.63635089579992</v>
      </c>
      <c r="AX93" s="78">
        <f t="shared" ref="AX93" si="152">AX92+AW93</f>
        <v>-331.2633792888933</v>
      </c>
      <c r="AY93" s="78">
        <f t="shared" ref="AY93" si="153">AY92+AX93</f>
        <v>-330.01695984749284</v>
      </c>
      <c r="AZ93" s="78">
        <f t="shared" ref="AZ93" si="154">AZ92+AY93</f>
        <v>-328.88542776329973</v>
      </c>
      <c r="BA93" s="78">
        <f t="shared" ref="BA93" si="155">BA92+AZ93</f>
        <v>-327.85819341904096</v>
      </c>
      <c r="BB93" s="78">
        <f t="shared" ref="BB93" si="156">BB92+BA93</f>
        <v>-326.92564328390517</v>
      </c>
    </row>
    <row r="94" spans="1:54" x14ac:dyDescent="0.25">
      <c r="A94" s="180"/>
      <c r="B94" s="80" t="s">
        <v>361</v>
      </c>
      <c r="C94" s="81" t="s">
        <v>362</v>
      </c>
      <c r="D94" s="92">
        <f>SUM(D92:BB92)</f>
        <v>-326.92564328390517</v>
      </c>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row>
    <row r="95" spans="1:54" x14ac:dyDescent="0.25">
      <c r="A95" s="177" t="s">
        <v>673</v>
      </c>
      <c r="B95" t="s">
        <v>363</v>
      </c>
      <c r="C95" s="72" t="s">
        <v>362</v>
      </c>
      <c r="D95">
        <f>-South_Facade_PV_5S!$B$23/South_Facade_PV_5S!$B$7</f>
        <v>-3010.3999999999992</v>
      </c>
      <c r="E95">
        <v>0</v>
      </c>
      <c r="F95">
        <v>0</v>
      </c>
      <c r="G95">
        <v>0</v>
      </c>
      <c r="H95">
        <v>0</v>
      </c>
      <c r="I95">
        <v>0</v>
      </c>
      <c r="J95">
        <v>0</v>
      </c>
      <c r="K95">
        <v>0</v>
      </c>
      <c r="L95">
        <v>0</v>
      </c>
      <c r="M95">
        <v>0</v>
      </c>
      <c r="N95">
        <f>-((South_Facade_PV_5S!$B$28*South_Facade_PV_5S!$B$19)/South_Facade_PV_5S!$B$7)*(1+$C$1)^N$176</f>
        <v>-3800.0300609044862</v>
      </c>
      <c r="O95">
        <v>0</v>
      </c>
      <c r="P95">
        <v>0</v>
      </c>
      <c r="Q95">
        <v>0</v>
      </c>
      <c r="R95">
        <v>0</v>
      </c>
      <c r="S95">
        <v>0</v>
      </c>
      <c r="T95">
        <v>0</v>
      </c>
      <c r="U95">
        <v>0</v>
      </c>
      <c r="V95">
        <v>0</v>
      </c>
      <c r="W95">
        <v>0</v>
      </c>
      <c r="X95">
        <f>-((South_Facade_PV_5S!$B$28*South_Facade_PV_5S!$B$19)/South_Facade_PV_5S!$B$7)*(1+$C$1)^X$176</f>
        <v>-5845.1009857897279</v>
      </c>
      <c r="Y95">
        <v>0</v>
      </c>
      <c r="Z95">
        <v>0</v>
      </c>
      <c r="AA95">
        <v>0</v>
      </c>
      <c r="AB95">
        <v>0</v>
      </c>
      <c r="AC95">
        <f>-(South_Facade_PV_5S!$B$29*South_Facade_PV_5S!$B$19/South_Facade_PV_5S!$B$7)*(1+$C$1)^X$176</f>
        <v>-1589.5446357103467</v>
      </c>
      <c r="AD95">
        <v>0</v>
      </c>
      <c r="AE95">
        <v>0</v>
      </c>
      <c r="AF95">
        <v>0</v>
      </c>
      <c r="AG95">
        <v>0</v>
      </c>
      <c r="AH95">
        <f>-((South_Facade_PV_5S!$B$28*South_Facade_PV_5S!$B$19)/South_Facade_PV_5S!$B$7)*(1+$C$1)^AH$176</f>
        <v>-8990.7724377180384</v>
      </c>
      <c r="AI95">
        <v>0</v>
      </c>
      <c r="AJ95">
        <v>0</v>
      </c>
      <c r="AK95">
        <v>0</v>
      </c>
      <c r="AL95">
        <v>0</v>
      </c>
      <c r="AM95">
        <v>0</v>
      </c>
      <c r="AN95">
        <v>0</v>
      </c>
      <c r="AO95">
        <v>0</v>
      </c>
      <c r="AP95">
        <v>0</v>
      </c>
      <c r="AQ95">
        <v>0</v>
      </c>
      <c r="AR95">
        <f>-((South_Facade_PV_5S!$B$28*South_Facade_PV_5S!$B$19)/South_Facade_PV_5S!$B$7)*(1+$C$1)^AR$176</f>
        <v>-13829.357135719174</v>
      </c>
      <c r="AS95">
        <v>0</v>
      </c>
      <c r="AT95">
        <v>0</v>
      </c>
      <c r="AU95">
        <v>0</v>
      </c>
      <c r="AV95">
        <v>0</v>
      </c>
      <c r="AW95">
        <v>0</v>
      </c>
      <c r="AX95">
        <v>0</v>
      </c>
      <c r="AY95">
        <v>0</v>
      </c>
      <c r="AZ95">
        <v>0</v>
      </c>
      <c r="BA95">
        <v>0</v>
      </c>
      <c r="BB95">
        <v>0</v>
      </c>
    </row>
    <row r="96" spans="1:54" x14ac:dyDescent="0.25">
      <c r="A96" s="177"/>
      <c r="B96" t="s">
        <v>356</v>
      </c>
      <c r="C96" s="72" t="s">
        <v>362</v>
      </c>
      <c r="D96">
        <v>0</v>
      </c>
      <c r="E96" s="18">
        <f>ABS('Annual Calculations'!$Q$15)*(1+$C$3)^E$176</f>
        <v>122.52924920535594</v>
      </c>
      <c r="F96" s="18">
        <f>ABS('Annual Calculations'!$Q$15)*(1+$C$3)^F$176</f>
        <v>127.92053617039159</v>
      </c>
      <c r="G96" s="18">
        <f>ABS('Annual Calculations'!$Q$15)*(1+$C$3)^G$176</f>
        <v>133.54903976188885</v>
      </c>
      <c r="H96" s="18">
        <f>ABS('Annual Calculations'!$Q$15)*(1+$C$3)^H$176</f>
        <v>139.42519751141194</v>
      </c>
      <c r="I96" s="18">
        <f>ABS('Annual Calculations'!$Q$15)*(1+$C$3)^I$176</f>
        <v>145.55990620191406</v>
      </c>
      <c r="J96" s="18">
        <f>ABS('Annual Calculations'!$Q$15)*(1+$C$3)^J$176</f>
        <v>151.96454207479829</v>
      </c>
      <c r="K96" s="18">
        <f>ABS('Annual Calculations'!$Q$15)*(1+$C$3)^K$176</f>
        <v>158.65098192608943</v>
      </c>
      <c r="L96" s="18">
        <f>ABS('Annual Calculations'!$Q$15)*(1+$C$3)^L$176</f>
        <v>165.63162513083736</v>
      </c>
      <c r="M96" s="18">
        <f>ABS('Annual Calculations'!$Q$15)*(1+$C$3)^M$176</f>
        <v>172.91941663659421</v>
      </c>
      <c r="N96" s="18">
        <f>ABS('Annual Calculations'!$Q$15)*(1+$C$3)^N$176</f>
        <v>180.52787096860436</v>
      </c>
      <c r="O96" s="18">
        <f>ABS('Annual Calculations'!$Q$15)*(1+$C$3)^O$176</f>
        <v>188.47109729122297</v>
      </c>
      <c r="P96" s="18">
        <f>ABS('Annual Calculations'!$Q$15)*(1+$C$3)^P$176</f>
        <v>196.76382557203678</v>
      </c>
      <c r="Q96" s="18">
        <f>ABS('Annual Calculations'!$Q$15)*(1+$C$3)^Q$176</f>
        <v>205.42143389720638</v>
      </c>
      <c r="R96" s="18">
        <f>ABS('Annual Calculations'!$Q$15)*(1+$C$3)^R$176</f>
        <v>214.45997698868348</v>
      </c>
      <c r="S96" s="18">
        <f>ABS('Annual Calculations'!$Q$15)*(1+$C$3)^S$176</f>
        <v>223.89621597618557</v>
      </c>
      <c r="T96" s="18">
        <f>ABS('Annual Calculations'!$Q$15)*(1+$C$3)^T$176</f>
        <v>233.74764947913772</v>
      </c>
      <c r="U96" s="18">
        <f>ABS('Annual Calculations'!$Q$15)*(1+$C$3)^U$176</f>
        <v>244.03254605621976</v>
      </c>
      <c r="V96" s="18">
        <f>ABS('Annual Calculations'!$Q$15)*(1+$C$3)^V$176</f>
        <v>254.76997808269346</v>
      </c>
      <c r="W96" s="18">
        <f>ABS('Annual Calculations'!$Q$15)*(1+$C$3)^W$176</f>
        <v>265.97985711833201</v>
      </c>
      <c r="X96" s="18">
        <f>ABS('Annual Calculations'!$Q$15)*(1+$C$3)^X$176</f>
        <v>277.68297083153857</v>
      </c>
      <c r="Y96" s="18">
        <f>ABS('Annual Calculations'!$Q$15)*(1+$C$3)^Y$176</f>
        <v>289.90102154812627</v>
      </c>
      <c r="Z96" s="18">
        <f>ABS('Annual Calculations'!$Q$15)*(1+$C$3)^Z$176</f>
        <v>302.65666649624387</v>
      </c>
      <c r="AA96" s="18">
        <f>ABS('Annual Calculations'!$Q$15)*(1+$C$3)^AA$176</f>
        <v>315.97355982207864</v>
      </c>
      <c r="AB96" s="18">
        <f>ABS('Annual Calculations'!$Q$15)*(1+$C$3)^AB$176</f>
        <v>329.87639645425008</v>
      </c>
      <c r="AC96" s="18">
        <f>ABS('Annual Calculations'!$Q$15)*(1+$C$3)^AC$176</f>
        <v>344.3909578982371</v>
      </c>
      <c r="AD96" s="18">
        <f>ABS('Annual Calculations'!$Q$15)*(1+$C$3)^AD$176</f>
        <v>359.5441600457595</v>
      </c>
      <c r="AE96" s="18">
        <f>ABS('Annual Calculations'!$Q$15)*(1+$C$3)^AE$176</f>
        <v>375.36410308777295</v>
      </c>
      <c r="AF96" s="18">
        <f>ABS('Annual Calculations'!$Q$15)*(1+$C$3)^AF$176</f>
        <v>391.88012362363492</v>
      </c>
      <c r="AG96" s="18">
        <f>ABS('Annual Calculations'!$Q$15)*(1+$C$3)^AG$176</f>
        <v>409.12284906307485</v>
      </c>
      <c r="AH96" s="18">
        <f>ABS('Annual Calculations'!$Q$15)*(1+$C$3)^AH$176</f>
        <v>427.1242544218502</v>
      </c>
      <c r="AI96" s="18">
        <f>ABS('Annual Calculations'!$Q$15)*(1+$C$3)^AI$176</f>
        <v>445.91772161641165</v>
      </c>
      <c r="AJ96" s="18">
        <f>ABS('Annual Calculations'!$Q$15)*(1+$C$3)^AJ$176</f>
        <v>465.53810136753373</v>
      </c>
      <c r="AK96" s="18">
        <f>ABS('Annual Calculations'!$Q$15)*(1+$C$3)^AK$176</f>
        <v>486.02177782770525</v>
      </c>
      <c r="AL96" s="18">
        <f>ABS('Annual Calculations'!$Q$15)*(1+$C$3)^AL$176</f>
        <v>507.40673605212424</v>
      </c>
      <c r="AM96" s="18">
        <f>ABS('Annual Calculations'!$Q$15)*(1+$C$3)^AM$176</f>
        <v>529.7326324384178</v>
      </c>
      <c r="AN96" s="18">
        <f>ABS('Annual Calculations'!$Q$15)*(1+$C$3)^AN$176</f>
        <v>553.04086826570813</v>
      </c>
      <c r="AO96" s="18">
        <f>ABS('Annual Calculations'!$Q$15)*(1+$C$3)^AO$176</f>
        <v>577.37466646939924</v>
      </c>
      <c r="AP96" s="18">
        <f>ABS('Annual Calculations'!$Q$15)*(1+$C$3)^AP$176</f>
        <v>602.77915179405295</v>
      </c>
      <c r="AQ96" s="18">
        <f>ABS('Annual Calculations'!$Q$15)*(1+$C$3)^AQ$176</f>
        <v>629.30143447299133</v>
      </c>
      <c r="AR96" s="18">
        <f>ABS('Annual Calculations'!$Q$15)*(1+$C$3)^AR$176</f>
        <v>656.99069758980283</v>
      </c>
      <c r="AS96" s="18">
        <f>ABS('Annual Calculations'!$Q$15)*(1+$C$3)^AS$176</f>
        <v>685.89828828375425</v>
      </c>
      <c r="AT96" s="18">
        <f>ABS('Annual Calculations'!$Q$15)*(1+$C$3)^AT$176</f>
        <v>716.07781296823941</v>
      </c>
      <c r="AU96" s="18">
        <f>ABS('Annual Calculations'!$Q$15)*(1+$C$3)^AU$176</f>
        <v>747.58523673884213</v>
      </c>
      <c r="AV96" s="18">
        <f>ABS('Annual Calculations'!$Q$15)*(1+$C$3)^AV$176</f>
        <v>780.47898715535109</v>
      </c>
      <c r="AW96" s="18">
        <f>ABS('Annual Calculations'!$Q$15)*(1+$C$3)^AW$176</f>
        <v>814.82006259018647</v>
      </c>
      <c r="AX96" s="18">
        <f>ABS('Annual Calculations'!$Q$15)*(1+$C$3)^AX$176</f>
        <v>850.67214534415473</v>
      </c>
      <c r="AY96" s="18">
        <f>ABS('Annual Calculations'!$Q$15)*(1+$C$3)^AY$176</f>
        <v>888.10171973929766</v>
      </c>
      <c r="AZ96" s="18">
        <f>ABS('Annual Calculations'!$Q$15)*(1+$C$3)^AZ$176</f>
        <v>927.17819540782659</v>
      </c>
      <c r="BA96" s="18">
        <f>ABS('Annual Calculations'!$Q$15)*(1+$C$3)^BA$176</f>
        <v>967.97403600577104</v>
      </c>
      <c r="BB96" s="18">
        <f>ABS('Annual Calculations'!$Q$15)*(1+$C$3)^BB$176</f>
        <v>1010.5648935900251</v>
      </c>
    </row>
    <row r="97" spans="1:54" x14ac:dyDescent="0.25">
      <c r="A97" s="177"/>
      <c r="B97" t="s">
        <v>357</v>
      </c>
      <c r="C97" s="72" t="s">
        <v>362</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row>
    <row r="98" spans="1:54" x14ac:dyDescent="0.25">
      <c r="A98" s="177"/>
      <c r="B98" t="s">
        <v>358</v>
      </c>
      <c r="C98" s="72" t="s">
        <v>362</v>
      </c>
      <c r="D98">
        <f>SUM(D95:D97)</f>
        <v>-3010.3999999999992</v>
      </c>
      <c r="E98" s="18">
        <f t="shared" ref="E98:BB98" si="157">SUM(E95:E97)</f>
        <v>122.52924920535594</v>
      </c>
      <c r="F98" s="18">
        <f t="shared" si="157"/>
        <v>127.92053617039159</v>
      </c>
      <c r="G98" s="18">
        <f t="shared" si="157"/>
        <v>133.54903976188885</v>
      </c>
      <c r="H98" s="18">
        <f t="shared" si="157"/>
        <v>139.42519751141194</v>
      </c>
      <c r="I98" s="18">
        <f t="shared" si="157"/>
        <v>145.55990620191406</v>
      </c>
      <c r="J98" s="18">
        <f t="shared" si="157"/>
        <v>151.96454207479829</v>
      </c>
      <c r="K98" s="18">
        <f t="shared" si="157"/>
        <v>158.65098192608943</v>
      </c>
      <c r="L98" s="18">
        <f t="shared" si="157"/>
        <v>165.63162513083736</v>
      </c>
      <c r="M98" s="18">
        <f t="shared" si="157"/>
        <v>172.91941663659421</v>
      </c>
      <c r="N98" s="18">
        <f t="shared" si="157"/>
        <v>-3619.5021899358817</v>
      </c>
      <c r="O98" s="18">
        <f t="shared" si="157"/>
        <v>188.47109729122297</v>
      </c>
      <c r="P98" s="18">
        <f t="shared" si="157"/>
        <v>196.76382557203678</v>
      </c>
      <c r="Q98" s="18">
        <f t="shared" si="157"/>
        <v>205.42143389720638</v>
      </c>
      <c r="R98" s="18">
        <f t="shared" si="157"/>
        <v>214.45997698868348</v>
      </c>
      <c r="S98" s="18">
        <f t="shared" si="157"/>
        <v>223.89621597618557</v>
      </c>
      <c r="T98" s="18">
        <f t="shared" si="157"/>
        <v>233.74764947913772</v>
      </c>
      <c r="U98" s="18">
        <f t="shared" si="157"/>
        <v>244.03254605621976</v>
      </c>
      <c r="V98" s="18">
        <f t="shared" si="157"/>
        <v>254.76997808269346</v>
      </c>
      <c r="W98" s="18">
        <f t="shared" si="157"/>
        <v>265.97985711833201</v>
      </c>
      <c r="X98" s="18">
        <f t="shared" si="157"/>
        <v>-5567.4180149581898</v>
      </c>
      <c r="Y98" s="18">
        <f t="shared" si="157"/>
        <v>289.90102154812627</v>
      </c>
      <c r="Z98" s="18">
        <f t="shared" si="157"/>
        <v>302.65666649624387</v>
      </c>
      <c r="AA98" s="18">
        <f t="shared" si="157"/>
        <v>315.97355982207864</v>
      </c>
      <c r="AB98" s="18">
        <f t="shared" si="157"/>
        <v>329.87639645425008</v>
      </c>
      <c r="AC98" s="18">
        <f t="shared" si="157"/>
        <v>-1245.1536778121097</v>
      </c>
      <c r="AD98" s="18">
        <f t="shared" si="157"/>
        <v>359.5441600457595</v>
      </c>
      <c r="AE98" s="18">
        <f t="shared" si="157"/>
        <v>375.36410308777295</v>
      </c>
      <c r="AF98" s="18">
        <f t="shared" si="157"/>
        <v>391.88012362363492</v>
      </c>
      <c r="AG98" s="18">
        <f t="shared" si="157"/>
        <v>409.12284906307485</v>
      </c>
      <c r="AH98" s="18">
        <f t="shared" si="157"/>
        <v>-8563.648183296189</v>
      </c>
      <c r="AI98" s="18">
        <f t="shared" si="157"/>
        <v>445.91772161641165</v>
      </c>
      <c r="AJ98" s="18">
        <f t="shared" si="157"/>
        <v>465.53810136753373</v>
      </c>
      <c r="AK98" s="18">
        <f t="shared" si="157"/>
        <v>486.02177782770525</v>
      </c>
      <c r="AL98" s="18">
        <f t="shared" si="157"/>
        <v>507.40673605212424</v>
      </c>
      <c r="AM98" s="18">
        <f t="shared" si="157"/>
        <v>529.7326324384178</v>
      </c>
      <c r="AN98" s="18">
        <f t="shared" si="157"/>
        <v>553.04086826570813</v>
      </c>
      <c r="AO98" s="18">
        <f t="shared" si="157"/>
        <v>577.37466646939924</v>
      </c>
      <c r="AP98" s="18">
        <f t="shared" si="157"/>
        <v>602.77915179405295</v>
      </c>
      <c r="AQ98" s="18">
        <f t="shared" si="157"/>
        <v>629.30143447299133</v>
      </c>
      <c r="AR98" s="18">
        <f t="shared" si="157"/>
        <v>-13172.366438129371</v>
      </c>
      <c r="AS98" s="18">
        <f t="shared" si="157"/>
        <v>685.89828828375425</v>
      </c>
      <c r="AT98" s="18">
        <f t="shared" si="157"/>
        <v>716.07781296823941</v>
      </c>
      <c r="AU98" s="18">
        <f t="shared" si="157"/>
        <v>747.58523673884213</v>
      </c>
      <c r="AV98" s="18">
        <f t="shared" si="157"/>
        <v>780.47898715535109</v>
      </c>
      <c r="AW98" s="18">
        <f t="shared" si="157"/>
        <v>814.82006259018647</v>
      </c>
      <c r="AX98" s="18">
        <f t="shared" si="157"/>
        <v>850.67214534415473</v>
      </c>
      <c r="AY98" s="18">
        <f t="shared" si="157"/>
        <v>888.10171973929766</v>
      </c>
      <c r="AZ98" s="18">
        <f t="shared" si="157"/>
        <v>927.17819540782659</v>
      </c>
      <c r="BA98" s="18">
        <f t="shared" si="157"/>
        <v>967.97403600577104</v>
      </c>
      <c r="BB98" s="18">
        <f t="shared" si="157"/>
        <v>1010.5648935900251</v>
      </c>
    </row>
    <row r="99" spans="1:54" x14ac:dyDescent="0.25">
      <c r="A99" s="177"/>
      <c r="B99" t="s">
        <v>359</v>
      </c>
      <c r="C99" s="72"/>
      <c r="D99">
        <f t="shared" ref="D99:AI99" si="158">(1+$C$2)^D$176</f>
        <v>1</v>
      </c>
      <c r="E99" s="40">
        <f t="shared" si="158"/>
        <v>1.1499999999999999</v>
      </c>
      <c r="F99" s="40">
        <f t="shared" si="158"/>
        <v>1.3224999999999998</v>
      </c>
      <c r="G99" s="40">
        <f t="shared" si="158"/>
        <v>1.5208749999999995</v>
      </c>
      <c r="H99" s="40">
        <f t="shared" si="158"/>
        <v>1.7490062499999994</v>
      </c>
      <c r="I99" s="40">
        <f t="shared" si="158"/>
        <v>2.0113571874999994</v>
      </c>
      <c r="J99" s="40">
        <f t="shared" si="158"/>
        <v>2.3130607656249991</v>
      </c>
      <c r="K99" s="40">
        <f t="shared" si="158"/>
        <v>2.6600198804687483</v>
      </c>
      <c r="L99" s="40">
        <f t="shared" si="158"/>
        <v>3.0590228625390603</v>
      </c>
      <c r="M99" s="40">
        <f t="shared" si="158"/>
        <v>3.5178762919199191</v>
      </c>
      <c r="N99" s="40">
        <f t="shared" si="158"/>
        <v>4.0455577357079067</v>
      </c>
      <c r="O99" s="40">
        <f t="shared" si="158"/>
        <v>4.6523913960640924</v>
      </c>
      <c r="P99" s="40">
        <f t="shared" si="158"/>
        <v>5.3502501054737053</v>
      </c>
      <c r="Q99" s="40">
        <f t="shared" si="158"/>
        <v>6.1527876212947614</v>
      </c>
      <c r="R99" s="40">
        <f t="shared" si="158"/>
        <v>7.0757057644889754</v>
      </c>
      <c r="S99" s="40">
        <f t="shared" si="158"/>
        <v>8.1370616291623197</v>
      </c>
      <c r="T99" s="40">
        <f t="shared" si="158"/>
        <v>9.3576208735366659</v>
      </c>
      <c r="U99" s="40">
        <f t="shared" si="158"/>
        <v>10.761264004567165</v>
      </c>
      <c r="V99" s="40">
        <f t="shared" si="158"/>
        <v>12.375453605252238</v>
      </c>
      <c r="W99" s="40">
        <f t="shared" si="158"/>
        <v>14.231771646040073</v>
      </c>
      <c r="X99" s="40">
        <f t="shared" si="158"/>
        <v>16.366537392946082</v>
      </c>
      <c r="Y99" s="40">
        <f t="shared" si="158"/>
        <v>18.821518001887995</v>
      </c>
      <c r="Z99" s="40">
        <f t="shared" si="158"/>
        <v>21.644745702171193</v>
      </c>
      <c r="AA99" s="40">
        <f t="shared" si="158"/>
        <v>24.891457557496867</v>
      </c>
      <c r="AB99" s="40">
        <f t="shared" si="158"/>
        <v>28.625176191121394</v>
      </c>
      <c r="AC99" s="40">
        <f t="shared" si="158"/>
        <v>32.9189526197896</v>
      </c>
      <c r="AD99" s="40">
        <f t="shared" si="158"/>
        <v>37.85679551275804</v>
      </c>
      <c r="AE99" s="40">
        <f t="shared" si="158"/>
        <v>43.535314839671742</v>
      </c>
      <c r="AF99" s="40">
        <f t="shared" si="158"/>
        <v>50.065612065622496</v>
      </c>
      <c r="AG99" s="40">
        <f t="shared" si="158"/>
        <v>57.575453875465868</v>
      </c>
      <c r="AH99" s="40">
        <f t="shared" si="158"/>
        <v>66.211771956785753</v>
      </c>
      <c r="AI99" s="40">
        <f t="shared" si="158"/>
        <v>76.143537750303594</v>
      </c>
      <c r="AJ99" s="40">
        <f t="shared" ref="AJ99:BB99" si="159">(1+$C$2)^AJ$176</f>
        <v>87.565068412849115</v>
      </c>
      <c r="AK99" s="40">
        <f t="shared" si="159"/>
        <v>100.69982867477647</v>
      </c>
      <c r="AL99" s="40">
        <f t="shared" si="159"/>
        <v>115.80480297599294</v>
      </c>
      <c r="AM99" s="40">
        <f t="shared" si="159"/>
        <v>133.17552342239185</v>
      </c>
      <c r="AN99" s="40">
        <f t="shared" si="159"/>
        <v>153.15185193575064</v>
      </c>
      <c r="AO99" s="40">
        <f t="shared" si="159"/>
        <v>176.12462972611323</v>
      </c>
      <c r="AP99" s="40">
        <f t="shared" si="159"/>
        <v>202.5433241850302</v>
      </c>
      <c r="AQ99" s="40">
        <f t="shared" si="159"/>
        <v>232.92482281278467</v>
      </c>
      <c r="AR99" s="40">
        <f t="shared" si="159"/>
        <v>267.86354623470237</v>
      </c>
      <c r="AS99" s="40">
        <f t="shared" si="159"/>
        <v>308.04307816990769</v>
      </c>
      <c r="AT99" s="40">
        <f t="shared" si="159"/>
        <v>354.24953989539381</v>
      </c>
      <c r="AU99" s="40">
        <f t="shared" si="159"/>
        <v>407.38697087970286</v>
      </c>
      <c r="AV99" s="40">
        <f t="shared" si="159"/>
        <v>468.49501651165821</v>
      </c>
      <c r="AW99" s="40">
        <f t="shared" si="159"/>
        <v>538.76926898840691</v>
      </c>
      <c r="AX99" s="40">
        <f t="shared" si="159"/>
        <v>619.58465933666798</v>
      </c>
      <c r="AY99" s="40">
        <f t="shared" si="159"/>
        <v>712.52235823716796</v>
      </c>
      <c r="AZ99" s="40">
        <f t="shared" si="159"/>
        <v>819.40071197274301</v>
      </c>
      <c r="BA99" s="40">
        <f t="shared" si="159"/>
        <v>942.31081876865449</v>
      </c>
      <c r="BB99" s="40">
        <f t="shared" si="159"/>
        <v>1083.6574415839525</v>
      </c>
    </row>
    <row r="100" spans="1:54" x14ac:dyDescent="0.25">
      <c r="A100" s="177"/>
      <c r="B100" t="s">
        <v>360</v>
      </c>
      <c r="C100" s="72" t="s">
        <v>362</v>
      </c>
      <c r="D100">
        <f>D98/D99</f>
        <v>-3010.3999999999992</v>
      </c>
      <c r="E100" s="18">
        <f>E98/E99</f>
        <v>106.54717322204866</v>
      </c>
      <c r="F100" s="18">
        <f>F98/F99</f>
        <v>96.726303342451118</v>
      </c>
      <c r="G100" s="18">
        <f t="shared" ref="G100:BB100" si="160">G98/G99</f>
        <v>87.810661469146964</v>
      </c>
      <c r="H100" s="18">
        <f t="shared" si="160"/>
        <v>79.716809194599492</v>
      </c>
      <c r="I100" s="18">
        <f t="shared" si="160"/>
        <v>72.368998955792932</v>
      </c>
      <c r="J100" s="18">
        <f t="shared" si="160"/>
        <v>65.698465138998117</v>
      </c>
      <c r="K100" s="18">
        <f t="shared" si="160"/>
        <v>59.642780526186137</v>
      </c>
      <c r="L100" s="18">
        <f t="shared" si="160"/>
        <v>54.145272060294197</v>
      </c>
      <c r="M100" s="18">
        <f t="shared" si="160"/>
        <v>49.154490461693172</v>
      </c>
      <c r="N100" s="18">
        <f t="shared" si="160"/>
        <v>-894.68558512675088</v>
      </c>
      <c r="O100" s="18">
        <f t="shared" si="160"/>
        <v>40.510585040344822</v>
      </c>
      <c r="P100" s="18">
        <f t="shared" si="160"/>
        <v>36.776565897495651</v>
      </c>
      <c r="Q100" s="18">
        <f t="shared" si="160"/>
        <v>33.386725910422136</v>
      </c>
      <c r="R100" s="18">
        <f t="shared" si="160"/>
        <v>30.309340739548446</v>
      </c>
      <c r="S100" s="18">
        <f t="shared" si="160"/>
        <v>27.515610201816163</v>
      </c>
      <c r="T100" s="18">
        <f t="shared" si="160"/>
        <v>24.979388739735718</v>
      </c>
      <c r="U100" s="18">
        <f t="shared" si="160"/>
        <v>22.67694073416008</v>
      </c>
      <c r="V100" s="18">
        <f t="shared" si="160"/>
        <v>20.586718370837502</v>
      </c>
      <c r="W100" s="18">
        <f t="shared" si="160"/>
        <v>18.689159981873352</v>
      </c>
      <c r="X100" s="18">
        <f t="shared" si="160"/>
        <v>-340.17079369260642</v>
      </c>
      <c r="Y100" s="18">
        <f t="shared" si="160"/>
        <v>15.402637636297252</v>
      </c>
      <c r="Z100" s="18">
        <f t="shared" si="160"/>
        <v>13.982916254168986</v>
      </c>
      <c r="AA100" s="18">
        <f t="shared" si="160"/>
        <v>12.694056147262978</v>
      </c>
      <c r="AB100" s="18">
        <f t="shared" si="160"/>
        <v>11.523995319776132</v>
      </c>
      <c r="AC100" s="18">
        <f t="shared" si="160"/>
        <v>-37.824826694624889</v>
      </c>
      <c r="AD100" s="18">
        <f t="shared" si="160"/>
        <v>9.4974800475278016</v>
      </c>
      <c r="AE100" s="18">
        <f t="shared" si="160"/>
        <v>8.6220601474948051</v>
      </c>
      <c r="AF100" s="18">
        <f t="shared" si="160"/>
        <v>7.8273311252039806</v>
      </c>
      <c r="AG100" s="18">
        <f t="shared" si="160"/>
        <v>7.1058553867069181</v>
      </c>
      <c r="AH100" s="18">
        <f t="shared" si="160"/>
        <v>-129.3372451787788</v>
      </c>
      <c r="AI100" s="18">
        <f t="shared" si="160"/>
        <v>5.8562779559665747</v>
      </c>
      <c r="AJ100" s="18">
        <f t="shared" si="160"/>
        <v>5.3164819008948738</v>
      </c>
      <c r="AK100" s="18">
        <f t="shared" si="160"/>
        <v>4.8264409604645646</v>
      </c>
      <c r="AL100" s="18">
        <f t="shared" si="160"/>
        <v>4.3815690110652215</v>
      </c>
      <c r="AM100" s="18">
        <f t="shared" si="160"/>
        <v>3.9777026500452988</v>
      </c>
      <c r="AN100" s="18">
        <f t="shared" si="160"/>
        <v>3.6110622318672094</v>
      </c>
      <c r="AO100" s="18">
        <f t="shared" si="160"/>
        <v>3.2782164957124929</v>
      </c>
      <c r="AP100" s="18">
        <f t="shared" si="160"/>
        <v>2.9760504534989942</v>
      </c>
      <c r="AQ100" s="18">
        <f t="shared" si="160"/>
        <v>2.701736237785175</v>
      </c>
      <c r="AR100" s="18">
        <f t="shared" si="160"/>
        <v>-49.175659111851402</v>
      </c>
      <c r="AS100" s="18">
        <f t="shared" si="160"/>
        <v>2.2266310684813782</v>
      </c>
      <c r="AT100" s="18">
        <f t="shared" si="160"/>
        <v>2.0213937699952687</v>
      </c>
      <c r="AU100" s="18">
        <f t="shared" si="160"/>
        <v>1.8350739964130967</v>
      </c>
      <c r="AV100" s="18">
        <f t="shared" si="160"/>
        <v>1.6659280454393677</v>
      </c>
      <c r="AW100" s="18">
        <f t="shared" si="160"/>
        <v>1.5123729386423477</v>
      </c>
      <c r="AX100" s="18">
        <f t="shared" si="160"/>
        <v>1.3729716069066182</v>
      </c>
      <c r="AY100" s="18">
        <f t="shared" si="160"/>
        <v>1.2464194414004437</v>
      </c>
      <c r="AZ100" s="18">
        <f t="shared" si="160"/>
        <v>1.1315320841930985</v>
      </c>
      <c r="BA100" s="18">
        <f t="shared" si="160"/>
        <v>1.0272343442587781</v>
      </c>
      <c r="BB100" s="18">
        <f t="shared" si="160"/>
        <v>0.93255013513579532</v>
      </c>
    </row>
    <row r="101" spans="1:54" x14ac:dyDescent="0.25">
      <c r="A101" s="177"/>
      <c r="B101" s="76" t="s">
        <v>645</v>
      </c>
      <c r="C101" s="77" t="s">
        <v>362</v>
      </c>
      <c r="D101" s="76">
        <f>D100</f>
        <v>-3010.3999999999992</v>
      </c>
      <c r="E101" s="78">
        <f>E100+D101</f>
        <v>-2903.8528267779507</v>
      </c>
      <c r="F101" s="78">
        <f t="shared" ref="F101:BB101" si="161">F100+E101</f>
        <v>-2807.1265234354996</v>
      </c>
      <c r="G101" s="78">
        <f t="shared" si="161"/>
        <v>-2719.3158619663527</v>
      </c>
      <c r="H101" s="78">
        <f t="shared" si="161"/>
        <v>-2639.5990527717531</v>
      </c>
      <c r="I101" s="78">
        <f t="shared" si="161"/>
        <v>-2567.2300538159602</v>
      </c>
      <c r="J101" s="78">
        <f t="shared" si="161"/>
        <v>-2501.5315886769622</v>
      </c>
      <c r="K101" s="78">
        <f t="shared" si="161"/>
        <v>-2441.8888081507762</v>
      </c>
      <c r="L101" s="78">
        <f t="shared" si="161"/>
        <v>-2387.7435360904819</v>
      </c>
      <c r="M101" s="78">
        <f t="shared" si="161"/>
        <v>-2338.5890456287889</v>
      </c>
      <c r="N101" s="78">
        <f t="shared" si="161"/>
        <v>-3233.2746307555399</v>
      </c>
      <c r="O101" s="78">
        <f t="shared" si="161"/>
        <v>-3192.7640457151952</v>
      </c>
      <c r="P101" s="78">
        <f t="shared" si="161"/>
        <v>-3155.9874798176993</v>
      </c>
      <c r="Q101" s="78">
        <f t="shared" si="161"/>
        <v>-3122.6007539072771</v>
      </c>
      <c r="R101" s="78">
        <f t="shared" si="161"/>
        <v>-3092.2914131677285</v>
      </c>
      <c r="S101" s="78">
        <f t="shared" si="161"/>
        <v>-3064.7758029659121</v>
      </c>
      <c r="T101" s="78">
        <f t="shared" si="161"/>
        <v>-3039.7964142261762</v>
      </c>
      <c r="U101" s="78">
        <f t="shared" si="161"/>
        <v>-3017.1194734920164</v>
      </c>
      <c r="V101" s="78">
        <f t="shared" si="161"/>
        <v>-2996.532755121179</v>
      </c>
      <c r="W101" s="78">
        <f t="shared" si="161"/>
        <v>-2977.8435951393058</v>
      </c>
      <c r="X101" s="78">
        <f t="shared" si="161"/>
        <v>-3318.0143888319121</v>
      </c>
      <c r="Y101" s="78">
        <f t="shared" si="161"/>
        <v>-3302.6117511956149</v>
      </c>
      <c r="Z101" s="78">
        <f t="shared" si="161"/>
        <v>-3288.6288349414458</v>
      </c>
      <c r="AA101" s="78">
        <f t="shared" si="161"/>
        <v>-3275.9347787941829</v>
      </c>
      <c r="AB101" s="78">
        <f t="shared" si="161"/>
        <v>-3264.4107834744068</v>
      </c>
      <c r="AC101" s="78">
        <f t="shared" si="161"/>
        <v>-3302.2356101690316</v>
      </c>
      <c r="AD101" s="78">
        <f t="shared" si="161"/>
        <v>-3292.7381301215037</v>
      </c>
      <c r="AE101" s="78">
        <f t="shared" si="161"/>
        <v>-3284.116069974009</v>
      </c>
      <c r="AF101" s="78">
        <f t="shared" si="161"/>
        <v>-3276.2887388488048</v>
      </c>
      <c r="AG101" s="78">
        <f t="shared" si="161"/>
        <v>-3269.1828834620978</v>
      </c>
      <c r="AH101" s="78">
        <f t="shared" si="161"/>
        <v>-3398.5201286408765</v>
      </c>
      <c r="AI101" s="78">
        <f t="shared" si="161"/>
        <v>-3392.6638506849099</v>
      </c>
      <c r="AJ101" s="78">
        <f t="shared" si="161"/>
        <v>-3387.3473687840151</v>
      </c>
      <c r="AK101" s="78">
        <f t="shared" si="161"/>
        <v>-3382.5209278235507</v>
      </c>
      <c r="AL101" s="78">
        <f t="shared" si="161"/>
        <v>-3378.1393588124856</v>
      </c>
      <c r="AM101" s="78">
        <f t="shared" si="161"/>
        <v>-3374.1616561624405</v>
      </c>
      <c r="AN101" s="78">
        <f t="shared" si="161"/>
        <v>-3370.5505939305731</v>
      </c>
      <c r="AO101" s="78">
        <f t="shared" si="161"/>
        <v>-3367.2723774348606</v>
      </c>
      <c r="AP101" s="78">
        <f t="shared" si="161"/>
        <v>-3364.2963269813617</v>
      </c>
      <c r="AQ101" s="78">
        <f t="shared" si="161"/>
        <v>-3361.5945907435766</v>
      </c>
      <c r="AR101" s="78">
        <f t="shared" si="161"/>
        <v>-3410.7702498554281</v>
      </c>
      <c r="AS101" s="78">
        <f t="shared" si="161"/>
        <v>-3408.5436187869468</v>
      </c>
      <c r="AT101" s="78">
        <f t="shared" si="161"/>
        <v>-3406.5222250169513</v>
      </c>
      <c r="AU101" s="78">
        <f t="shared" si="161"/>
        <v>-3404.6871510205383</v>
      </c>
      <c r="AV101" s="78">
        <f t="shared" si="161"/>
        <v>-3403.0212229750991</v>
      </c>
      <c r="AW101" s="78">
        <f t="shared" si="161"/>
        <v>-3401.5088500364568</v>
      </c>
      <c r="AX101" s="78">
        <f t="shared" si="161"/>
        <v>-3400.1358784295503</v>
      </c>
      <c r="AY101" s="78">
        <f t="shared" si="161"/>
        <v>-3398.8894589881497</v>
      </c>
      <c r="AZ101" s="78">
        <f t="shared" si="161"/>
        <v>-3397.7579269039566</v>
      </c>
      <c r="BA101" s="78">
        <f t="shared" si="161"/>
        <v>-3396.7306925596977</v>
      </c>
      <c r="BB101" s="78">
        <f t="shared" si="161"/>
        <v>-3395.7981424245618</v>
      </c>
    </row>
    <row r="102" spans="1:54" x14ac:dyDescent="0.25">
      <c r="A102" s="177"/>
      <c r="B102" s="22" t="s">
        <v>361</v>
      </c>
      <c r="C102" s="75" t="s">
        <v>362</v>
      </c>
      <c r="D102" s="93">
        <f>SUM(D100:BB100)</f>
        <v>-3395.7981424245618</v>
      </c>
    </row>
    <row r="103" spans="1:54" x14ac:dyDescent="0.25">
      <c r="A103" s="180" t="s">
        <v>674</v>
      </c>
      <c r="B103" s="76" t="s">
        <v>363</v>
      </c>
      <c r="C103" s="77" t="s">
        <v>362</v>
      </c>
      <c r="D103" s="78">
        <f>-South_Facade_PV_10S!$B$23/South_Facade_PV_10S!$B$7</f>
        <v>-3043.5999999999995</v>
      </c>
      <c r="E103" s="76">
        <v>0</v>
      </c>
      <c r="F103" s="76">
        <v>0</v>
      </c>
      <c r="G103" s="76">
        <v>0</v>
      </c>
      <c r="H103" s="76">
        <v>0</v>
      </c>
      <c r="I103" s="76">
        <v>0</v>
      </c>
      <c r="J103" s="76">
        <v>0</v>
      </c>
      <c r="K103" s="76">
        <v>0</v>
      </c>
      <c r="L103" s="76">
        <v>0</v>
      </c>
      <c r="M103" s="76">
        <v>0</v>
      </c>
      <c r="N103" s="76">
        <f>-((South_Facade_PV_10S!$B$28*South_Facade_PV_10S!$B$19)/South_Facade_PV_10S!$B$7)*(1+$C$1)^N$176</f>
        <v>-4316.3391284246336</v>
      </c>
      <c r="O103" s="76">
        <v>0</v>
      </c>
      <c r="P103" s="76">
        <v>0</v>
      </c>
      <c r="Q103" s="76">
        <v>0</v>
      </c>
      <c r="R103" s="76">
        <v>0</v>
      </c>
      <c r="S103" s="76">
        <v>0</v>
      </c>
      <c r="T103" s="76">
        <v>0</v>
      </c>
      <c r="U103" s="76">
        <v>0</v>
      </c>
      <c r="V103" s="76">
        <v>0</v>
      </c>
      <c r="W103" s="76">
        <v>0</v>
      </c>
      <c r="X103" s="76">
        <f>-((South_Facade_PV_10S!$B$28*South_Facade_PV_10S!$B$19)/South_Facade_PV_10S!$B$7)*(1+$C$1)^X$176</f>
        <v>-6639.2732926308672</v>
      </c>
      <c r="Y103" s="76">
        <v>0</v>
      </c>
      <c r="Z103" s="76">
        <v>0</v>
      </c>
      <c r="AA103" s="76">
        <v>0</v>
      </c>
      <c r="AB103" s="76">
        <v>0</v>
      </c>
      <c r="AC103" s="76">
        <f>-(South_Facade_PV_10S!$B$29*South_Facade_PV_10S!$B$19/South_Facade_PV_10S!$B$7)*(1+$C$1)^X$176</f>
        <v>-1589.5446357103467</v>
      </c>
      <c r="AD103" s="76">
        <v>0</v>
      </c>
      <c r="AE103" s="76">
        <v>0</v>
      </c>
      <c r="AF103" s="76">
        <v>0</v>
      </c>
      <c r="AG103" s="76">
        <v>0</v>
      </c>
      <c r="AH103" s="76">
        <f>-((South_Facade_PV_10S!$B$28*South_Facade_PV_10S!$B$19)/South_Facade_PV_10S!$B$7)*(1+$C$1)^AH$176</f>
        <v>-10212.346282978397</v>
      </c>
      <c r="AI103" s="76">
        <v>0</v>
      </c>
      <c r="AJ103" s="76">
        <v>0</v>
      </c>
      <c r="AK103" s="76">
        <v>0</v>
      </c>
      <c r="AL103" s="76">
        <v>0</v>
      </c>
      <c r="AM103" s="76">
        <v>0</v>
      </c>
      <c r="AN103" s="76">
        <v>0</v>
      </c>
      <c r="AO103" s="76">
        <v>0</v>
      </c>
      <c r="AP103" s="76">
        <v>0</v>
      </c>
      <c r="AQ103" s="76">
        <v>0</v>
      </c>
      <c r="AR103" s="76">
        <f>-((South_Facade_PV_10S!$B$28*South_Facade_PV_10S!$B$19)/South_Facade_PV_10S!$B$7)*(1+$C$1)^AR$176</f>
        <v>-15708.348189133827</v>
      </c>
      <c r="AS103" s="76">
        <v>0</v>
      </c>
      <c r="AT103" s="76">
        <v>0</v>
      </c>
      <c r="AU103" s="76">
        <v>0</v>
      </c>
      <c r="AV103" s="76">
        <v>0</v>
      </c>
      <c r="AW103" s="76">
        <v>0</v>
      </c>
      <c r="AX103" s="76">
        <v>0</v>
      </c>
      <c r="AY103" s="76">
        <v>0</v>
      </c>
      <c r="AZ103" s="76">
        <v>0</v>
      </c>
      <c r="BA103" s="76">
        <v>0</v>
      </c>
      <c r="BB103" s="76">
        <v>0</v>
      </c>
    </row>
    <row r="104" spans="1:54" x14ac:dyDescent="0.25">
      <c r="A104" s="180"/>
      <c r="B104" s="76" t="s">
        <v>356</v>
      </c>
      <c r="C104" s="77" t="s">
        <v>362</v>
      </c>
      <c r="D104" s="76">
        <v>0</v>
      </c>
      <c r="E104" s="78">
        <f>ABS('Annual Calculations'!$Q$16)*(1+$C$3)^E$176</f>
        <v>122.52924920535594</v>
      </c>
      <c r="F104" s="78">
        <f>ABS('Annual Calculations'!$Q$16)*(1+$C$3)^F$176</f>
        <v>127.92053617039159</v>
      </c>
      <c r="G104" s="78">
        <f>ABS('Annual Calculations'!$Q$16)*(1+$C$3)^G$176</f>
        <v>133.54903976188885</v>
      </c>
      <c r="H104" s="78">
        <f>ABS('Annual Calculations'!$Q$16)*(1+$C$3)^H$176</f>
        <v>139.42519751141194</v>
      </c>
      <c r="I104" s="78">
        <f>ABS('Annual Calculations'!$Q$16)*(1+$C$3)^I$176</f>
        <v>145.55990620191406</v>
      </c>
      <c r="J104" s="78">
        <f>ABS('Annual Calculations'!$Q$16)*(1+$C$3)^J$176</f>
        <v>151.96454207479829</v>
      </c>
      <c r="K104" s="78">
        <f>ABS('Annual Calculations'!$Q$16)*(1+$C$3)^K$176</f>
        <v>158.65098192608943</v>
      </c>
      <c r="L104" s="78">
        <f>ABS('Annual Calculations'!$Q$16)*(1+$C$3)^L$176</f>
        <v>165.63162513083736</v>
      </c>
      <c r="M104" s="78">
        <f>ABS('Annual Calculations'!$Q$16)*(1+$C$3)^M$176</f>
        <v>172.91941663659421</v>
      </c>
      <c r="N104" s="78">
        <f>ABS('Annual Calculations'!$Q$16)*(1+$C$3)^N$176</f>
        <v>180.52787096860436</v>
      </c>
      <c r="O104" s="78">
        <f>ABS('Annual Calculations'!$Q$16)*(1+$C$3)^O$176</f>
        <v>188.47109729122297</v>
      </c>
      <c r="P104" s="78">
        <f>ABS('Annual Calculations'!$Q$16)*(1+$C$3)^P$176</f>
        <v>196.76382557203678</v>
      </c>
      <c r="Q104" s="78">
        <f>ABS('Annual Calculations'!$Q$16)*(1+$C$3)^Q$176</f>
        <v>205.42143389720638</v>
      </c>
      <c r="R104" s="78">
        <f>ABS('Annual Calculations'!$Q$16)*(1+$C$3)^R$176</f>
        <v>214.45997698868348</v>
      </c>
      <c r="S104" s="78">
        <f>ABS('Annual Calculations'!$Q$16)*(1+$C$3)^S$176</f>
        <v>223.89621597618557</v>
      </c>
      <c r="T104" s="78">
        <f>ABS('Annual Calculations'!$Q$16)*(1+$C$3)^T$176</f>
        <v>233.74764947913772</v>
      </c>
      <c r="U104" s="78">
        <f>ABS('Annual Calculations'!$Q$16)*(1+$C$3)^U$176</f>
        <v>244.03254605621976</v>
      </c>
      <c r="V104" s="78">
        <f>ABS('Annual Calculations'!$Q$16)*(1+$C$3)^V$176</f>
        <v>254.76997808269346</v>
      </c>
      <c r="W104" s="78">
        <f>ABS('Annual Calculations'!$Q$16)*(1+$C$3)^W$176</f>
        <v>265.97985711833201</v>
      </c>
      <c r="X104" s="78">
        <f>ABS('Annual Calculations'!$Q$16)*(1+$C$3)^X$176</f>
        <v>277.68297083153857</v>
      </c>
      <c r="Y104" s="78">
        <f>ABS('Annual Calculations'!$Q$16)*(1+$C$3)^Y$176</f>
        <v>289.90102154812627</v>
      </c>
      <c r="Z104" s="78">
        <f>ABS('Annual Calculations'!$Q$16)*(1+$C$3)^Z$176</f>
        <v>302.65666649624387</v>
      </c>
      <c r="AA104" s="78">
        <f>ABS('Annual Calculations'!$Q$16)*(1+$C$3)^AA$176</f>
        <v>315.97355982207864</v>
      </c>
      <c r="AB104" s="78">
        <f>ABS('Annual Calculations'!$Q$16)*(1+$C$3)^AB$176</f>
        <v>329.87639645425008</v>
      </c>
      <c r="AC104" s="78">
        <f>ABS('Annual Calculations'!$Q$16)*(1+$C$3)^AC$176</f>
        <v>344.3909578982371</v>
      </c>
      <c r="AD104" s="78">
        <f>ABS('Annual Calculations'!$Q$16)*(1+$C$3)^AD$176</f>
        <v>359.5441600457595</v>
      </c>
      <c r="AE104" s="78">
        <f>ABS('Annual Calculations'!$Q$16)*(1+$C$3)^AE$176</f>
        <v>375.36410308777295</v>
      </c>
      <c r="AF104" s="78">
        <f>ABS('Annual Calculations'!$Q$16)*(1+$C$3)^AF$176</f>
        <v>391.88012362363492</v>
      </c>
      <c r="AG104" s="78">
        <f>ABS('Annual Calculations'!$Q$16)*(1+$C$3)^AG$176</f>
        <v>409.12284906307485</v>
      </c>
      <c r="AH104" s="78">
        <f>ABS('Annual Calculations'!$Q$16)*(1+$C$3)^AH$176</f>
        <v>427.1242544218502</v>
      </c>
      <c r="AI104" s="78">
        <f>ABS('Annual Calculations'!$Q$16)*(1+$C$3)^AI$176</f>
        <v>445.91772161641165</v>
      </c>
      <c r="AJ104" s="78">
        <f>ABS('Annual Calculations'!$Q$16)*(1+$C$3)^AJ$176</f>
        <v>465.53810136753373</v>
      </c>
      <c r="AK104" s="78">
        <f>ABS('Annual Calculations'!$Q$16)*(1+$C$3)^AK$176</f>
        <v>486.02177782770525</v>
      </c>
      <c r="AL104" s="78">
        <f>ABS('Annual Calculations'!$Q$16)*(1+$C$3)^AL$176</f>
        <v>507.40673605212424</v>
      </c>
      <c r="AM104" s="78">
        <f>ABS('Annual Calculations'!$Q$16)*(1+$C$3)^AM$176</f>
        <v>529.7326324384178</v>
      </c>
      <c r="AN104" s="78">
        <f>ABS('Annual Calculations'!$Q$16)*(1+$C$3)^AN$176</f>
        <v>553.04086826570813</v>
      </c>
      <c r="AO104" s="78">
        <f>ABS('Annual Calculations'!$Q$16)*(1+$C$3)^AO$176</f>
        <v>577.37466646939924</v>
      </c>
      <c r="AP104" s="78">
        <f>ABS('Annual Calculations'!$Q$16)*(1+$C$3)^AP$176</f>
        <v>602.77915179405295</v>
      </c>
      <c r="AQ104" s="78">
        <f>ABS('Annual Calculations'!$Q$16)*(1+$C$3)^AQ$176</f>
        <v>629.30143447299133</v>
      </c>
      <c r="AR104" s="78">
        <f>ABS('Annual Calculations'!$Q$16)*(1+$C$3)^AR$176</f>
        <v>656.99069758980283</v>
      </c>
      <c r="AS104" s="78">
        <f>ABS('Annual Calculations'!$Q$16)*(1+$C$3)^AS$176</f>
        <v>685.89828828375425</v>
      </c>
      <c r="AT104" s="78">
        <f>ABS('Annual Calculations'!$Q$16)*(1+$C$3)^AT$176</f>
        <v>716.07781296823941</v>
      </c>
      <c r="AU104" s="78">
        <f>ABS('Annual Calculations'!$Q$16)*(1+$C$3)^AU$176</f>
        <v>747.58523673884213</v>
      </c>
      <c r="AV104" s="78">
        <f>ABS('Annual Calculations'!$Q$16)*(1+$C$3)^AV$176</f>
        <v>780.47898715535109</v>
      </c>
      <c r="AW104" s="78">
        <f>ABS('Annual Calculations'!$Q$16)*(1+$C$3)^AW$176</f>
        <v>814.82006259018647</v>
      </c>
      <c r="AX104" s="78">
        <f>ABS('Annual Calculations'!$Q$16)*(1+$C$3)^AX$176</f>
        <v>850.67214534415473</v>
      </c>
      <c r="AY104" s="78">
        <f>ABS('Annual Calculations'!$Q$16)*(1+$C$3)^AY$176</f>
        <v>888.10171973929766</v>
      </c>
      <c r="AZ104" s="78">
        <f>ABS('Annual Calculations'!$Q$16)*(1+$C$3)^AZ$176</f>
        <v>927.17819540782659</v>
      </c>
      <c r="BA104" s="78">
        <f>ABS('Annual Calculations'!$Q$16)*(1+$C$3)^BA$176</f>
        <v>967.97403600577104</v>
      </c>
      <c r="BB104" s="78">
        <f>ABS('Annual Calculations'!$Q$16)*(1+$C$3)^BB$176</f>
        <v>1010.5648935900251</v>
      </c>
    </row>
    <row r="105" spans="1:54" x14ac:dyDescent="0.25">
      <c r="A105" s="180"/>
      <c r="B105" s="76" t="s">
        <v>357</v>
      </c>
      <c r="C105" s="77" t="s">
        <v>362</v>
      </c>
      <c r="D105" s="76">
        <v>0</v>
      </c>
      <c r="E105" s="76">
        <v>0</v>
      </c>
      <c r="F105" s="76">
        <v>0</v>
      </c>
      <c r="G105" s="76">
        <v>0</v>
      </c>
      <c r="H105" s="76">
        <v>0</v>
      </c>
      <c r="I105" s="76">
        <v>0</v>
      </c>
      <c r="J105" s="76">
        <v>0</v>
      </c>
      <c r="K105" s="76">
        <v>0</v>
      </c>
      <c r="L105" s="76">
        <v>0</v>
      </c>
      <c r="M105" s="76">
        <v>0</v>
      </c>
      <c r="N105" s="76">
        <v>0</v>
      </c>
      <c r="O105" s="76">
        <v>0</v>
      </c>
      <c r="P105" s="76">
        <v>0</v>
      </c>
      <c r="Q105" s="76">
        <v>0</v>
      </c>
      <c r="R105" s="76">
        <v>0</v>
      </c>
      <c r="S105" s="76">
        <v>0</v>
      </c>
      <c r="T105" s="76">
        <v>0</v>
      </c>
      <c r="U105" s="76">
        <v>0</v>
      </c>
      <c r="V105" s="76">
        <v>0</v>
      </c>
      <c r="W105" s="76">
        <v>0</v>
      </c>
      <c r="X105" s="76">
        <v>0</v>
      </c>
      <c r="Y105" s="76">
        <v>0</v>
      </c>
      <c r="Z105" s="76">
        <v>0</v>
      </c>
      <c r="AA105" s="76">
        <v>0</v>
      </c>
      <c r="AB105" s="76">
        <v>0</v>
      </c>
      <c r="AC105" s="76">
        <v>0</v>
      </c>
      <c r="AD105" s="76">
        <v>0</v>
      </c>
      <c r="AE105" s="76">
        <v>0</v>
      </c>
      <c r="AF105" s="76">
        <v>0</v>
      </c>
      <c r="AG105" s="76">
        <v>0</v>
      </c>
      <c r="AH105" s="76">
        <v>0</v>
      </c>
      <c r="AI105" s="76">
        <v>0</v>
      </c>
      <c r="AJ105" s="76">
        <v>0</v>
      </c>
      <c r="AK105" s="76">
        <v>0</v>
      </c>
      <c r="AL105" s="76">
        <v>0</v>
      </c>
      <c r="AM105" s="76">
        <v>0</v>
      </c>
      <c r="AN105" s="76">
        <v>0</v>
      </c>
      <c r="AO105" s="76">
        <v>0</v>
      </c>
      <c r="AP105" s="76">
        <v>0</v>
      </c>
      <c r="AQ105" s="76">
        <v>0</v>
      </c>
      <c r="AR105" s="76">
        <v>0</v>
      </c>
      <c r="AS105" s="76">
        <v>0</v>
      </c>
      <c r="AT105" s="76">
        <v>0</v>
      </c>
      <c r="AU105" s="76">
        <v>0</v>
      </c>
      <c r="AV105" s="76">
        <v>0</v>
      </c>
      <c r="AW105" s="76">
        <v>0</v>
      </c>
      <c r="AX105" s="76">
        <v>0</v>
      </c>
      <c r="AY105" s="76">
        <v>0</v>
      </c>
      <c r="AZ105" s="76">
        <v>0</v>
      </c>
      <c r="BA105" s="76">
        <v>0</v>
      </c>
      <c r="BB105" s="76">
        <v>0</v>
      </c>
    </row>
    <row r="106" spans="1:54" x14ac:dyDescent="0.25">
      <c r="A106" s="180"/>
      <c r="B106" s="76" t="s">
        <v>358</v>
      </c>
      <c r="C106" s="77" t="s">
        <v>362</v>
      </c>
      <c r="D106" s="76">
        <f>SUM(D103:D105)</f>
        <v>-3043.5999999999995</v>
      </c>
      <c r="E106" s="78">
        <f t="shared" ref="E106:BB106" si="162">SUM(E103:E105)</f>
        <v>122.52924920535594</v>
      </c>
      <c r="F106" s="78">
        <f t="shared" si="162"/>
        <v>127.92053617039159</v>
      </c>
      <c r="G106" s="78">
        <f t="shared" si="162"/>
        <v>133.54903976188885</v>
      </c>
      <c r="H106" s="78">
        <f t="shared" si="162"/>
        <v>139.42519751141194</v>
      </c>
      <c r="I106" s="78">
        <f t="shared" si="162"/>
        <v>145.55990620191406</v>
      </c>
      <c r="J106" s="78">
        <f t="shared" si="162"/>
        <v>151.96454207479829</v>
      </c>
      <c r="K106" s="78">
        <f t="shared" si="162"/>
        <v>158.65098192608943</v>
      </c>
      <c r="L106" s="78">
        <f t="shared" si="162"/>
        <v>165.63162513083736</v>
      </c>
      <c r="M106" s="78">
        <f t="shared" si="162"/>
        <v>172.91941663659421</v>
      </c>
      <c r="N106" s="78">
        <f t="shared" si="162"/>
        <v>-4135.8112574560291</v>
      </c>
      <c r="O106" s="78">
        <f t="shared" si="162"/>
        <v>188.47109729122297</v>
      </c>
      <c r="P106" s="78">
        <f t="shared" si="162"/>
        <v>196.76382557203678</v>
      </c>
      <c r="Q106" s="78">
        <f t="shared" si="162"/>
        <v>205.42143389720638</v>
      </c>
      <c r="R106" s="78">
        <f t="shared" si="162"/>
        <v>214.45997698868348</v>
      </c>
      <c r="S106" s="78">
        <f t="shared" si="162"/>
        <v>223.89621597618557</v>
      </c>
      <c r="T106" s="78">
        <f t="shared" si="162"/>
        <v>233.74764947913772</v>
      </c>
      <c r="U106" s="78">
        <f t="shared" si="162"/>
        <v>244.03254605621976</v>
      </c>
      <c r="V106" s="78">
        <f t="shared" si="162"/>
        <v>254.76997808269346</v>
      </c>
      <c r="W106" s="78">
        <f t="shared" si="162"/>
        <v>265.97985711833201</v>
      </c>
      <c r="X106" s="78">
        <f t="shared" si="162"/>
        <v>-6361.5903217993291</v>
      </c>
      <c r="Y106" s="78">
        <f t="shared" si="162"/>
        <v>289.90102154812627</v>
      </c>
      <c r="Z106" s="78">
        <f t="shared" si="162"/>
        <v>302.65666649624387</v>
      </c>
      <c r="AA106" s="78">
        <f t="shared" si="162"/>
        <v>315.97355982207864</v>
      </c>
      <c r="AB106" s="78">
        <f t="shared" si="162"/>
        <v>329.87639645425008</v>
      </c>
      <c r="AC106" s="78">
        <f t="shared" si="162"/>
        <v>-1245.1536778121097</v>
      </c>
      <c r="AD106" s="78">
        <f t="shared" si="162"/>
        <v>359.5441600457595</v>
      </c>
      <c r="AE106" s="78">
        <f t="shared" si="162"/>
        <v>375.36410308777295</v>
      </c>
      <c r="AF106" s="78">
        <f t="shared" si="162"/>
        <v>391.88012362363492</v>
      </c>
      <c r="AG106" s="78">
        <f t="shared" si="162"/>
        <v>409.12284906307485</v>
      </c>
      <c r="AH106" s="78">
        <f t="shared" si="162"/>
        <v>-9785.2220285565472</v>
      </c>
      <c r="AI106" s="78">
        <f t="shared" si="162"/>
        <v>445.91772161641165</v>
      </c>
      <c r="AJ106" s="78">
        <f t="shared" si="162"/>
        <v>465.53810136753373</v>
      </c>
      <c r="AK106" s="78">
        <f t="shared" si="162"/>
        <v>486.02177782770525</v>
      </c>
      <c r="AL106" s="78">
        <f t="shared" si="162"/>
        <v>507.40673605212424</v>
      </c>
      <c r="AM106" s="78">
        <f t="shared" si="162"/>
        <v>529.7326324384178</v>
      </c>
      <c r="AN106" s="78">
        <f t="shared" si="162"/>
        <v>553.04086826570813</v>
      </c>
      <c r="AO106" s="78">
        <f t="shared" si="162"/>
        <v>577.37466646939924</v>
      </c>
      <c r="AP106" s="78">
        <f t="shared" si="162"/>
        <v>602.77915179405295</v>
      </c>
      <c r="AQ106" s="78">
        <f t="shared" si="162"/>
        <v>629.30143447299133</v>
      </c>
      <c r="AR106" s="78">
        <f t="shared" si="162"/>
        <v>-15051.357491544024</v>
      </c>
      <c r="AS106" s="78">
        <f t="shared" si="162"/>
        <v>685.89828828375425</v>
      </c>
      <c r="AT106" s="78">
        <f t="shared" si="162"/>
        <v>716.07781296823941</v>
      </c>
      <c r="AU106" s="78">
        <f t="shared" si="162"/>
        <v>747.58523673884213</v>
      </c>
      <c r="AV106" s="78">
        <f t="shared" si="162"/>
        <v>780.47898715535109</v>
      </c>
      <c r="AW106" s="78">
        <f t="shared" si="162"/>
        <v>814.82006259018647</v>
      </c>
      <c r="AX106" s="78">
        <f t="shared" si="162"/>
        <v>850.67214534415473</v>
      </c>
      <c r="AY106" s="78">
        <f t="shared" si="162"/>
        <v>888.10171973929766</v>
      </c>
      <c r="AZ106" s="78">
        <f t="shared" si="162"/>
        <v>927.17819540782659</v>
      </c>
      <c r="BA106" s="78">
        <f t="shared" si="162"/>
        <v>967.97403600577104</v>
      </c>
      <c r="BB106" s="78">
        <f t="shared" si="162"/>
        <v>1010.5648935900251</v>
      </c>
    </row>
    <row r="107" spans="1:54" x14ac:dyDescent="0.25">
      <c r="A107" s="180"/>
      <c r="B107" s="76" t="s">
        <v>359</v>
      </c>
      <c r="C107" s="77"/>
      <c r="D107" s="76">
        <f t="shared" ref="D107:AI107" si="163">(1+$C$2)^D$176</f>
        <v>1</v>
      </c>
      <c r="E107" s="79">
        <f t="shared" si="163"/>
        <v>1.1499999999999999</v>
      </c>
      <c r="F107" s="79">
        <f t="shared" si="163"/>
        <v>1.3224999999999998</v>
      </c>
      <c r="G107" s="79">
        <f t="shared" si="163"/>
        <v>1.5208749999999995</v>
      </c>
      <c r="H107" s="79">
        <f t="shared" si="163"/>
        <v>1.7490062499999994</v>
      </c>
      <c r="I107" s="79">
        <f t="shared" si="163"/>
        <v>2.0113571874999994</v>
      </c>
      <c r="J107" s="79">
        <f t="shared" si="163"/>
        <v>2.3130607656249991</v>
      </c>
      <c r="K107" s="79">
        <f t="shared" si="163"/>
        <v>2.6600198804687483</v>
      </c>
      <c r="L107" s="79">
        <f t="shared" si="163"/>
        <v>3.0590228625390603</v>
      </c>
      <c r="M107" s="79">
        <f t="shared" si="163"/>
        <v>3.5178762919199191</v>
      </c>
      <c r="N107" s="79">
        <f t="shared" si="163"/>
        <v>4.0455577357079067</v>
      </c>
      <c r="O107" s="79">
        <f t="shared" si="163"/>
        <v>4.6523913960640924</v>
      </c>
      <c r="P107" s="79">
        <f t="shared" si="163"/>
        <v>5.3502501054737053</v>
      </c>
      <c r="Q107" s="79">
        <f t="shared" si="163"/>
        <v>6.1527876212947614</v>
      </c>
      <c r="R107" s="79">
        <f t="shared" si="163"/>
        <v>7.0757057644889754</v>
      </c>
      <c r="S107" s="79">
        <f t="shared" si="163"/>
        <v>8.1370616291623197</v>
      </c>
      <c r="T107" s="79">
        <f t="shared" si="163"/>
        <v>9.3576208735366659</v>
      </c>
      <c r="U107" s="79">
        <f t="shared" si="163"/>
        <v>10.761264004567165</v>
      </c>
      <c r="V107" s="79">
        <f t="shared" si="163"/>
        <v>12.375453605252238</v>
      </c>
      <c r="W107" s="79">
        <f t="shared" si="163"/>
        <v>14.231771646040073</v>
      </c>
      <c r="X107" s="79">
        <f t="shared" si="163"/>
        <v>16.366537392946082</v>
      </c>
      <c r="Y107" s="79">
        <f t="shared" si="163"/>
        <v>18.821518001887995</v>
      </c>
      <c r="Z107" s="79">
        <f t="shared" si="163"/>
        <v>21.644745702171193</v>
      </c>
      <c r="AA107" s="79">
        <f t="shared" si="163"/>
        <v>24.891457557496867</v>
      </c>
      <c r="AB107" s="79">
        <f t="shared" si="163"/>
        <v>28.625176191121394</v>
      </c>
      <c r="AC107" s="79">
        <f t="shared" si="163"/>
        <v>32.9189526197896</v>
      </c>
      <c r="AD107" s="79">
        <f t="shared" si="163"/>
        <v>37.85679551275804</v>
      </c>
      <c r="AE107" s="79">
        <f t="shared" si="163"/>
        <v>43.535314839671742</v>
      </c>
      <c r="AF107" s="79">
        <f t="shared" si="163"/>
        <v>50.065612065622496</v>
      </c>
      <c r="AG107" s="79">
        <f t="shared" si="163"/>
        <v>57.575453875465868</v>
      </c>
      <c r="AH107" s="79">
        <f t="shared" si="163"/>
        <v>66.211771956785753</v>
      </c>
      <c r="AI107" s="79">
        <f t="shared" si="163"/>
        <v>76.143537750303594</v>
      </c>
      <c r="AJ107" s="79">
        <f t="shared" ref="AJ107:BB107" si="164">(1+$C$2)^AJ$176</f>
        <v>87.565068412849115</v>
      </c>
      <c r="AK107" s="79">
        <f t="shared" si="164"/>
        <v>100.69982867477647</v>
      </c>
      <c r="AL107" s="79">
        <f t="shared" si="164"/>
        <v>115.80480297599294</v>
      </c>
      <c r="AM107" s="79">
        <f t="shared" si="164"/>
        <v>133.17552342239185</v>
      </c>
      <c r="AN107" s="79">
        <f t="shared" si="164"/>
        <v>153.15185193575064</v>
      </c>
      <c r="AO107" s="79">
        <f t="shared" si="164"/>
        <v>176.12462972611323</v>
      </c>
      <c r="AP107" s="79">
        <f t="shared" si="164"/>
        <v>202.5433241850302</v>
      </c>
      <c r="AQ107" s="79">
        <f t="shared" si="164"/>
        <v>232.92482281278467</v>
      </c>
      <c r="AR107" s="79">
        <f t="shared" si="164"/>
        <v>267.86354623470237</v>
      </c>
      <c r="AS107" s="79">
        <f t="shared" si="164"/>
        <v>308.04307816990769</v>
      </c>
      <c r="AT107" s="79">
        <f t="shared" si="164"/>
        <v>354.24953989539381</v>
      </c>
      <c r="AU107" s="79">
        <f t="shared" si="164"/>
        <v>407.38697087970286</v>
      </c>
      <c r="AV107" s="79">
        <f t="shared" si="164"/>
        <v>468.49501651165821</v>
      </c>
      <c r="AW107" s="79">
        <f t="shared" si="164"/>
        <v>538.76926898840691</v>
      </c>
      <c r="AX107" s="79">
        <f t="shared" si="164"/>
        <v>619.58465933666798</v>
      </c>
      <c r="AY107" s="79">
        <f t="shared" si="164"/>
        <v>712.52235823716796</v>
      </c>
      <c r="AZ107" s="79">
        <f t="shared" si="164"/>
        <v>819.40071197274301</v>
      </c>
      <c r="BA107" s="79">
        <f t="shared" si="164"/>
        <v>942.31081876865449</v>
      </c>
      <c r="BB107" s="79">
        <f t="shared" si="164"/>
        <v>1083.6574415839525</v>
      </c>
    </row>
    <row r="108" spans="1:54" x14ac:dyDescent="0.25">
      <c r="A108" s="180"/>
      <c r="B108" s="76" t="s">
        <v>360</v>
      </c>
      <c r="C108" s="77" t="s">
        <v>362</v>
      </c>
      <c r="D108" s="76">
        <f>D106/D107</f>
        <v>-3043.5999999999995</v>
      </c>
      <c r="E108" s="78">
        <f>E106/E107</f>
        <v>106.54717322204866</v>
      </c>
      <c r="F108" s="78">
        <f>F106/F107</f>
        <v>96.726303342451118</v>
      </c>
      <c r="G108" s="78">
        <f t="shared" ref="G108:BB108" si="165">G106/G107</f>
        <v>87.810661469146964</v>
      </c>
      <c r="H108" s="78">
        <f t="shared" si="165"/>
        <v>79.716809194599492</v>
      </c>
      <c r="I108" s="78">
        <f t="shared" si="165"/>
        <v>72.368998955792932</v>
      </c>
      <c r="J108" s="78">
        <f t="shared" si="165"/>
        <v>65.698465138998117</v>
      </c>
      <c r="K108" s="78">
        <f t="shared" si="165"/>
        <v>59.642780526186137</v>
      </c>
      <c r="L108" s="78">
        <f t="shared" si="165"/>
        <v>54.145272060294197</v>
      </c>
      <c r="M108" s="78">
        <f t="shared" si="165"/>
        <v>49.154490461693172</v>
      </c>
      <c r="N108" s="78">
        <f t="shared" si="165"/>
        <v>-1022.3092902497731</v>
      </c>
      <c r="O108" s="78">
        <f t="shared" si="165"/>
        <v>40.510585040344822</v>
      </c>
      <c r="P108" s="78">
        <f t="shared" si="165"/>
        <v>36.776565897495651</v>
      </c>
      <c r="Q108" s="78">
        <f t="shared" si="165"/>
        <v>33.386725910422136</v>
      </c>
      <c r="R108" s="78">
        <f t="shared" si="165"/>
        <v>30.309340739548446</v>
      </c>
      <c r="S108" s="78">
        <f t="shared" si="165"/>
        <v>27.515610201816163</v>
      </c>
      <c r="T108" s="78">
        <f t="shared" si="165"/>
        <v>24.979388739735718</v>
      </c>
      <c r="U108" s="78">
        <f t="shared" si="165"/>
        <v>22.67694073416008</v>
      </c>
      <c r="V108" s="78">
        <f t="shared" si="165"/>
        <v>20.586718370837502</v>
      </c>
      <c r="W108" s="78">
        <f t="shared" si="165"/>
        <v>18.689159981873352</v>
      </c>
      <c r="X108" s="78">
        <f t="shared" si="165"/>
        <v>-388.69494316746261</v>
      </c>
      <c r="Y108" s="78">
        <f t="shared" si="165"/>
        <v>15.402637636297252</v>
      </c>
      <c r="Z108" s="78">
        <f t="shared" si="165"/>
        <v>13.982916254168986</v>
      </c>
      <c r="AA108" s="78">
        <f t="shared" si="165"/>
        <v>12.694056147262978</v>
      </c>
      <c r="AB108" s="78">
        <f t="shared" si="165"/>
        <v>11.523995319776132</v>
      </c>
      <c r="AC108" s="78">
        <f t="shared" si="165"/>
        <v>-37.824826694624889</v>
      </c>
      <c r="AD108" s="78">
        <f t="shared" si="165"/>
        <v>9.4974800475278016</v>
      </c>
      <c r="AE108" s="78">
        <f t="shared" si="165"/>
        <v>8.6220601474948051</v>
      </c>
      <c r="AF108" s="78">
        <f t="shared" si="165"/>
        <v>7.8273311252039806</v>
      </c>
      <c r="AG108" s="78">
        <f t="shared" si="165"/>
        <v>7.1058553867069181</v>
      </c>
      <c r="AH108" s="78">
        <f t="shared" si="165"/>
        <v>-147.78674153205023</v>
      </c>
      <c r="AI108" s="78">
        <f t="shared" si="165"/>
        <v>5.8562779559665747</v>
      </c>
      <c r="AJ108" s="78">
        <f t="shared" si="165"/>
        <v>5.3164819008948738</v>
      </c>
      <c r="AK108" s="78">
        <f t="shared" si="165"/>
        <v>4.8264409604645646</v>
      </c>
      <c r="AL108" s="78">
        <f t="shared" si="165"/>
        <v>4.3815690110652215</v>
      </c>
      <c r="AM108" s="78">
        <f t="shared" si="165"/>
        <v>3.9777026500452988</v>
      </c>
      <c r="AN108" s="78">
        <f t="shared" si="165"/>
        <v>3.6110622318672094</v>
      </c>
      <c r="AO108" s="78">
        <f t="shared" si="165"/>
        <v>3.2782164957124929</v>
      </c>
      <c r="AP108" s="78">
        <f t="shared" si="165"/>
        <v>2.9760504534989942</v>
      </c>
      <c r="AQ108" s="78">
        <f t="shared" si="165"/>
        <v>2.701736237785175</v>
      </c>
      <c r="AR108" s="78">
        <f t="shared" si="165"/>
        <v>-56.190391350811154</v>
      </c>
      <c r="AS108" s="78">
        <f t="shared" si="165"/>
        <v>2.2266310684813782</v>
      </c>
      <c r="AT108" s="78">
        <f t="shared" si="165"/>
        <v>2.0213937699952687</v>
      </c>
      <c r="AU108" s="78">
        <f t="shared" si="165"/>
        <v>1.8350739964130967</v>
      </c>
      <c r="AV108" s="78">
        <f t="shared" si="165"/>
        <v>1.6659280454393677</v>
      </c>
      <c r="AW108" s="78">
        <f t="shared" si="165"/>
        <v>1.5123729386423477</v>
      </c>
      <c r="AX108" s="78">
        <f t="shared" si="165"/>
        <v>1.3729716069066182</v>
      </c>
      <c r="AY108" s="78">
        <f t="shared" si="165"/>
        <v>1.2464194414004437</v>
      </c>
      <c r="AZ108" s="78">
        <f t="shared" si="165"/>
        <v>1.1315320841930985</v>
      </c>
      <c r="BA108" s="78">
        <f t="shared" si="165"/>
        <v>1.0272343442587781</v>
      </c>
      <c r="BB108" s="78">
        <f t="shared" si="165"/>
        <v>0.93255013513579532</v>
      </c>
    </row>
    <row r="109" spans="1:54" x14ac:dyDescent="0.25">
      <c r="A109" s="180"/>
      <c r="B109" s="76" t="s">
        <v>645</v>
      </c>
      <c r="C109" s="77" t="s">
        <v>362</v>
      </c>
      <c r="D109" s="76">
        <f>D108</f>
        <v>-3043.5999999999995</v>
      </c>
      <c r="E109" s="78">
        <f>E108+D109</f>
        <v>-2937.0528267779509</v>
      </c>
      <c r="F109" s="78">
        <f t="shared" ref="F109:BB109" si="166">F108+E109</f>
        <v>-2840.3265234354999</v>
      </c>
      <c r="G109" s="78">
        <f t="shared" si="166"/>
        <v>-2752.515861966353</v>
      </c>
      <c r="H109" s="78">
        <f t="shared" si="166"/>
        <v>-2672.7990527717534</v>
      </c>
      <c r="I109" s="78">
        <f t="shared" si="166"/>
        <v>-2600.4300538159605</v>
      </c>
      <c r="J109" s="78">
        <f t="shared" si="166"/>
        <v>-2534.7315886769625</v>
      </c>
      <c r="K109" s="78">
        <f t="shared" si="166"/>
        <v>-2475.0888081507765</v>
      </c>
      <c r="L109" s="78">
        <f t="shared" si="166"/>
        <v>-2420.9435360904822</v>
      </c>
      <c r="M109" s="78">
        <f t="shared" si="166"/>
        <v>-2371.7890456287892</v>
      </c>
      <c r="N109" s="78">
        <f t="shared" si="166"/>
        <v>-3394.0983358785625</v>
      </c>
      <c r="O109" s="78">
        <f t="shared" si="166"/>
        <v>-3353.5877508382177</v>
      </c>
      <c r="P109" s="78">
        <f t="shared" si="166"/>
        <v>-3316.8111849407219</v>
      </c>
      <c r="Q109" s="78">
        <f t="shared" si="166"/>
        <v>-3283.4244590302997</v>
      </c>
      <c r="R109" s="78">
        <f t="shared" si="166"/>
        <v>-3253.1151182907511</v>
      </c>
      <c r="S109" s="78">
        <f t="shared" si="166"/>
        <v>-3225.5995080889347</v>
      </c>
      <c r="T109" s="78">
        <f t="shared" si="166"/>
        <v>-3200.6201193491988</v>
      </c>
      <c r="U109" s="78">
        <f t="shared" si="166"/>
        <v>-3177.943178615039</v>
      </c>
      <c r="V109" s="78">
        <f t="shared" si="166"/>
        <v>-3157.3564602442016</v>
      </c>
      <c r="W109" s="78">
        <f t="shared" si="166"/>
        <v>-3138.6673002623284</v>
      </c>
      <c r="X109" s="78">
        <f t="shared" si="166"/>
        <v>-3527.3622434297909</v>
      </c>
      <c r="Y109" s="78">
        <f t="shared" si="166"/>
        <v>-3511.9596057934937</v>
      </c>
      <c r="Z109" s="78">
        <f t="shared" si="166"/>
        <v>-3497.9766895393245</v>
      </c>
      <c r="AA109" s="78">
        <f t="shared" si="166"/>
        <v>-3485.2826333920616</v>
      </c>
      <c r="AB109" s="78">
        <f t="shared" si="166"/>
        <v>-3473.7586380722855</v>
      </c>
      <c r="AC109" s="78">
        <f t="shared" si="166"/>
        <v>-3511.5834647669103</v>
      </c>
      <c r="AD109" s="78">
        <f t="shared" si="166"/>
        <v>-3502.0859847193824</v>
      </c>
      <c r="AE109" s="78">
        <f t="shared" si="166"/>
        <v>-3493.4639245718877</v>
      </c>
      <c r="AF109" s="78">
        <f t="shared" si="166"/>
        <v>-3485.6365934466835</v>
      </c>
      <c r="AG109" s="78">
        <f t="shared" si="166"/>
        <v>-3478.5307380599766</v>
      </c>
      <c r="AH109" s="78">
        <f t="shared" si="166"/>
        <v>-3626.3174795920268</v>
      </c>
      <c r="AI109" s="78">
        <f t="shared" si="166"/>
        <v>-3620.4612016360602</v>
      </c>
      <c r="AJ109" s="78">
        <f t="shared" si="166"/>
        <v>-3615.1447197351654</v>
      </c>
      <c r="AK109" s="78">
        <f t="shared" si="166"/>
        <v>-3610.318278774701</v>
      </c>
      <c r="AL109" s="78">
        <f t="shared" si="166"/>
        <v>-3605.9367097636359</v>
      </c>
      <c r="AM109" s="78">
        <f t="shared" si="166"/>
        <v>-3601.9590071135908</v>
      </c>
      <c r="AN109" s="78">
        <f t="shared" si="166"/>
        <v>-3598.3479448817234</v>
      </c>
      <c r="AO109" s="78">
        <f t="shared" si="166"/>
        <v>-3595.0697283860109</v>
      </c>
      <c r="AP109" s="78">
        <f t="shared" si="166"/>
        <v>-3592.093677932512</v>
      </c>
      <c r="AQ109" s="78">
        <f t="shared" si="166"/>
        <v>-3589.3919416947269</v>
      </c>
      <c r="AR109" s="78">
        <f t="shared" si="166"/>
        <v>-3645.5823330455382</v>
      </c>
      <c r="AS109" s="78">
        <f t="shared" si="166"/>
        <v>-3643.3557019770569</v>
      </c>
      <c r="AT109" s="78">
        <f t="shared" si="166"/>
        <v>-3641.3343082070614</v>
      </c>
      <c r="AU109" s="78">
        <f t="shared" si="166"/>
        <v>-3639.4992342106484</v>
      </c>
      <c r="AV109" s="78">
        <f t="shared" si="166"/>
        <v>-3637.8333061652093</v>
      </c>
      <c r="AW109" s="78">
        <f t="shared" si="166"/>
        <v>-3636.3209332265669</v>
      </c>
      <c r="AX109" s="78">
        <f t="shared" si="166"/>
        <v>-3634.9479616196604</v>
      </c>
      <c r="AY109" s="78">
        <f t="shared" si="166"/>
        <v>-3633.7015421782598</v>
      </c>
      <c r="AZ109" s="78">
        <f t="shared" si="166"/>
        <v>-3632.5700100940667</v>
      </c>
      <c r="BA109" s="78">
        <f t="shared" si="166"/>
        <v>-3631.5427757498078</v>
      </c>
      <c r="BB109" s="78">
        <f t="shared" si="166"/>
        <v>-3630.6102256146719</v>
      </c>
    </row>
    <row r="110" spans="1:54" x14ac:dyDescent="0.25">
      <c r="A110" s="180"/>
      <c r="B110" s="80" t="s">
        <v>361</v>
      </c>
      <c r="C110" s="81" t="s">
        <v>362</v>
      </c>
      <c r="D110" s="92">
        <f>SUM(D108:BB108)</f>
        <v>-3630.6102256146719</v>
      </c>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row>
    <row r="111" spans="1:54" x14ac:dyDescent="0.25">
      <c r="A111" s="177" t="s">
        <v>578</v>
      </c>
      <c r="B111" t="s">
        <v>363</v>
      </c>
      <c r="C111" s="72" t="s">
        <v>362</v>
      </c>
      <c r="D111">
        <f>AC_HEATING!B25</f>
        <v>5250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f>(AC_HEATING!$B$21+AC_HEATING!$B$23)*(1+$C$1)^AH6</f>
        <v>4913.0222219287198</v>
      </c>
      <c r="AI111">
        <v>0</v>
      </c>
      <c r="AJ111">
        <v>0</v>
      </c>
      <c r="AK111">
        <v>0</v>
      </c>
      <c r="AL111">
        <v>0</v>
      </c>
      <c r="AM111">
        <v>0</v>
      </c>
      <c r="AN111">
        <v>0</v>
      </c>
      <c r="AO111">
        <v>0</v>
      </c>
      <c r="AP111">
        <v>0</v>
      </c>
      <c r="AQ111">
        <v>0</v>
      </c>
      <c r="AR111">
        <f>-(PV!$C$112*12+PV!$C$109)*(1+$C$1)^AR$176</f>
        <v>-23790.790722306436</v>
      </c>
      <c r="AS111">
        <v>0</v>
      </c>
      <c r="AT111">
        <v>0</v>
      </c>
      <c r="AU111">
        <v>0</v>
      </c>
      <c r="AV111">
        <v>0</v>
      </c>
      <c r="AW111">
        <v>0</v>
      </c>
      <c r="AX111">
        <v>0</v>
      </c>
      <c r="AY111">
        <v>0</v>
      </c>
      <c r="AZ111">
        <v>0</v>
      </c>
      <c r="BA111">
        <v>0</v>
      </c>
      <c r="BB111">
        <v>0</v>
      </c>
    </row>
    <row r="112" spans="1:54" x14ac:dyDescent="0.25">
      <c r="A112" s="177"/>
      <c r="B112" t="s">
        <v>356</v>
      </c>
      <c r="C112" s="72" t="s">
        <v>362</v>
      </c>
      <c r="D112">
        <v>0</v>
      </c>
      <c r="E112" s="18">
        <f>-'Annual Calculations'!$Q$17*(1+$C$3)^E$176</f>
        <v>-150.19784107498305</v>
      </c>
      <c r="F112" s="18">
        <f>-'Annual Calculations'!$Q$17*(1+$C$3)^F$176</f>
        <v>-156.8065460822823</v>
      </c>
      <c r="G112" s="18">
        <f>-'Annual Calculations'!$Q$17*(1+$C$3)^G$176</f>
        <v>-163.70603410990273</v>
      </c>
      <c r="H112" s="18">
        <f>-'Annual Calculations'!$Q$17*(1+$C$3)^H$176</f>
        <v>-170.90909961073842</v>
      </c>
      <c r="I112" s="18">
        <f>-'Annual Calculations'!$Q$17*(1+$C$3)^I$176</f>
        <v>-178.42909999361092</v>
      </c>
      <c r="J112" s="18">
        <f>-'Annual Calculations'!$Q$17*(1+$C$3)^J$176</f>
        <v>-186.27998039332982</v>
      </c>
      <c r="K112" s="18">
        <f>-'Annual Calculations'!$Q$17*(1+$C$3)^K$176</f>
        <v>-194.47629953063634</v>
      </c>
      <c r="L112" s="18">
        <f>-'Annual Calculations'!$Q$17*(1+$C$3)^L$176</f>
        <v>-203.03325670998433</v>
      </c>
      <c r="M112" s="18">
        <f>-'Annual Calculations'!$Q$17*(1+$C$3)^M$176</f>
        <v>-211.96672000522366</v>
      </c>
      <c r="N112" s="18">
        <f>-'Annual Calculations'!$Q$17*(1+$C$3)^N$176</f>
        <v>-221.29325568545349</v>
      </c>
      <c r="O112" s="18">
        <f>-'Annual Calculations'!$Q$17*(1+$C$3)^O$176</f>
        <v>-231.03015893561349</v>
      </c>
      <c r="P112" s="18">
        <f>-'Annual Calculations'!$Q$17*(1+$C$3)^P$176</f>
        <v>-241.19548592878047</v>
      </c>
      <c r="Q112" s="18">
        <f>-'Annual Calculations'!$Q$17*(1+$C$3)^Q$176</f>
        <v>-251.80808730964679</v>
      </c>
      <c r="R112" s="18">
        <f>-'Annual Calculations'!$Q$17*(1+$C$3)^R$176</f>
        <v>-262.88764315127128</v>
      </c>
      <c r="S112" s="18">
        <f>-'Annual Calculations'!$Q$17*(1+$C$3)^S$176</f>
        <v>-274.45469944992726</v>
      </c>
      <c r="T112" s="18">
        <f>-'Annual Calculations'!$Q$17*(1+$C$3)^T$176</f>
        <v>-286.53070622572397</v>
      </c>
      <c r="U112" s="18">
        <f>-'Annual Calculations'!$Q$17*(1+$C$3)^U$176</f>
        <v>-299.13805729965583</v>
      </c>
      <c r="V112" s="18">
        <f>-'Annual Calculations'!$Q$17*(1+$C$3)^V$176</f>
        <v>-312.30013182084076</v>
      </c>
      <c r="W112" s="18">
        <f>-'Annual Calculations'!$Q$17*(1+$C$3)^W$176</f>
        <v>-326.04133762095773</v>
      </c>
      <c r="X112" s="18">
        <f>-'Annual Calculations'!$Q$17*(1+$C$3)^X$176</f>
        <v>-340.38715647627987</v>
      </c>
      <c r="Y112" s="18">
        <f>-'Annual Calculations'!$Q$17*(1+$C$3)^Y$176</f>
        <v>-355.36419136123618</v>
      </c>
      <c r="Z112" s="18">
        <f>-'Annual Calculations'!$Q$17*(1+$C$3)^Z$176</f>
        <v>-371.00021578113063</v>
      </c>
      <c r="AA112" s="18">
        <f>-'Annual Calculations'!$Q$17*(1+$C$3)^AA$176</f>
        <v>-387.3242252755004</v>
      </c>
      <c r="AB112" s="18">
        <f>-'Annual Calculations'!$Q$17*(1+$C$3)^AB$176</f>
        <v>-404.36649118762239</v>
      </c>
      <c r="AC112" s="18">
        <f>-'Annual Calculations'!$Q$17*(1+$C$3)^AC$176</f>
        <v>-422.15861679987779</v>
      </c>
      <c r="AD112" s="18">
        <f>-'Annual Calculations'!$Q$17*(1+$C$3)^AD$176</f>
        <v>-440.73359593907242</v>
      </c>
      <c r="AE112" s="18">
        <f>-'Annual Calculations'!$Q$17*(1+$C$3)^AE$176</f>
        <v>-460.12587416039162</v>
      </c>
      <c r="AF112" s="18">
        <f>-'Annual Calculations'!$Q$17*(1+$C$3)^AF$176</f>
        <v>-480.3714126234488</v>
      </c>
      <c r="AG112" s="18">
        <f>-'Annual Calculations'!$Q$17*(1+$C$3)^AG$176</f>
        <v>-501.50775477888055</v>
      </c>
      <c r="AH112" s="18">
        <f>-'Annual Calculations'!$Q$17*(1+$C$3)^AH$176</f>
        <v>-523.57409598915137</v>
      </c>
      <c r="AI112" s="18">
        <f>-'Annual Calculations'!$Q$17*(1+$C$3)^AI$176</f>
        <v>-546.61135621267408</v>
      </c>
      <c r="AJ112" s="18">
        <f>-'Annual Calculations'!$Q$17*(1+$C$3)^AJ$176</f>
        <v>-570.66225588603163</v>
      </c>
      <c r="AK112" s="18">
        <f>-'Annual Calculations'!$Q$17*(1+$C$3)^AK$176</f>
        <v>-595.7713951450171</v>
      </c>
      <c r="AL112" s="18">
        <f>-'Annual Calculations'!$Q$17*(1+$C$3)^AL$176</f>
        <v>-621.98533653139782</v>
      </c>
      <c r="AM112" s="18">
        <f>-'Annual Calculations'!$Q$17*(1+$C$3)^AM$176</f>
        <v>-649.35269133877932</v>
      </c>
      <c r="AN112" s="18">
        <f>-'Annual Calculations'!$Q$17*(1+$C$3)^AN$176</f>
        <v>-677.92420975768573</v>
      </c>
      <c r="AO112" s="18">
        <f>-'Annual Calculations'!$Q$17*(1+$C$3)^AO$176</f>
        <v>-707.7528749870238</v>
      </c>
      <c r="AP112" s="18">
        <f>-'Annual Calculations'!$Q$17*(1+$C$3)^AP$176</f>
        <v>-738.89400148645291</v>
      </c>
      <c r="AQ112" s="18">
        <f>-'Annual Calculations'!$Q$17*(1+$C$3)^AQ$176</f>
        <v>-771.40533755185697</v>
      </c>
      <c r="AR112" s="18">
        <f>-'Annual Calculations'!$Q$17*(1+$C$3)^AR$176</f>
        <v>-805.34717240413852</v>
      </c>
      <c r="AS112" s="18">
        <f>-'Annual Calculations'!$Q$17*(1+$C$3)^AS$176</f>
        <v>-840.7824479899208</v>
      </c>
      <c r="AT112" s="18">
        <f>-'Annual Calculations'!$Q$17*(1+$C$3)^AT$176</f>
        <v>-877.77687570147737</v>
      </c>
      <c r="AU112" s="18">
        <f>-'Annual Calculations'!$Q$17*(1+$C$3)^AU$176</f>
        <v>-916.39905823234244</v>
      </c>
      <c r="AV112" s="18">
        <f>-'Annual Calculations'!$Q$17*(1+$C$3)^AV$176</f>
        <v>-956.72061679456544</v>
      </c>
      <c r="AW112" s="18">
        <f>-'Annual Calculations'!$Q$17*(1+$C$3)^AW$176</f>
        <v>-998.81632393352629</v>
      </c>
      <c r="AX112" s="18">
        <f>-'Annual Calculations'!$Q$17*(1+$C$3)^AX$176</f>
        <v>-1042.7642421866015</v>
      </c>
      <c r="AY112" s="18">
        <f>-'Annual Calculations'!$Q$17*(1+$C$3)^AY$176</f>
        <v>-1088.645868842812</v>
      </c>
      <c r="AZ112" s="18">
        <f>-'Annual Calculations'!$Q$17*(1+$C$3)^AZ$176</f>
        <v>-1136.5462870718957</v>
      </c>
      <c r="BA112" s="18">
        <f>-'Annual Calculations'!$Q$17*(1+$C$3)^BA$176</f>
        <v>-1186.554323703059</v>
      </c>
      <c r="BB112" s="18">
        <f>-'Annual Calculations'!$Q$17*(1+$C$3)^BB$176</f>
        <v>-1238.7627139459939</v>
      </c>
    </row>
    <row r="113" spans="1:54" x14ac:dyDescent="0.25">
      <c r="A113" s="177"/>
      <c r="B113" t="s">
        <v>357</v>
      </c>
      <c r="C113" s="72" t="s">
        <v>362</v>
      </c>
      <c r="D113">
        <v>0</v>
      </c>
      <c r="E113" s="18">
        <f>-'Annual Calculations'!$L$32*(1+$C$3)^E$176</f>
        <v>453.01344666666682</v>
      </c>
      <c r="F113" s="18">
        <f>-'Annual Calculations'!$L$32*(1+$C$3)^F$176</f>
        <v>472.94603832000013</v>
      </c>
      <c r="G113" s="18">
        <f>-'Annual Calculations'!$L$32*(1+$C$3)^G$176</f>
        <v>493.75566400608022</v>
      </c>
      <c r="H113" s="18">
        <f>-'Annual Calculations'!$L$32*(1+$C$3)^H$176</f>
        <v>515.48091322234768</v>
      </c>
      <c r="I113" s="18">
        <f>-'Annual Calculations'!$L$32*(1+$C$3)^I$176</f>
        <v>538.16207340413098</v>
      </c>
      <c r="J113" s="18">
        <f>-'Annual Calculations'!$L$32*(1+$C$3)^J$176</f>
        <v>561.84120463391275</v>
      </c>
      <c r="K113" s="18">
        <f>-'Annual Calculations'!$L$32*(1+$C$3)^K$176</f>
        <v>586.56221763780502</v>
      </c>
      <c r="L113" s="18">
        <f>-'Annual Calculations'!$L$32*(1+$C$3)^L$176</f>
        <v>612.37095521386846</v>
      </c>
      <c r="M113" s="18">
        <f>-'Annual Calculations'!$L$32*(1+$C$3)^M$176</f>
        <v>639.31527724327862</v>
      </c>
      <c r="N113" s="18">
        <f>-'Annual Calculations'!$L$32*(1+$C$3)^N$176</f>
        <v>667.44514944198295</v>
      </c>
      <c r="O113" s="18">
        <f>-'Annual Calculations'!$L$32*(1+$C$3)^O$176</f>
        <v>696.81273601743021</v>
      </c>
      <c r="P113" s="18">
        <f>-'Annual Calculations'!$L$32*(1+$C$3)^P$176</f>
        <v>727.47249640219707</v>
      </c>
      <c r="Q113" s="18">
        <f>-'Annual Calculations'!$L$32*(1+$C$3)^Q$176</f>
        <v>759.48128624389369</v>
      </c>
      <c r="R113" s="18">
        <f>-'Annual Calculations'!$L$32*(1+$C$3)^R$176</f>
        <v>792.89846283862516</v>
      </c>
      <c r="S113" s="18">
        <f>-'Annual Calculations'!$L$32*(1+$C$3)^S$176</f>
        <v>827.78599520352475</v>
      </c>
      <c r="T113" s="18">
        <f>-'Annual Calculations'!$L$32*(1+$C$3)^T$176</f>
        <v>864.20857899247972</v>
      </c>
      <c r="U113" s="18">
        <f>-'Annual Calculations'!$L$32*(1+$C$3)^U$176</f>
        <v>902.23375646814884</v>
      </c>
      <c r="V113" s="18">
        <f>-'Annual Calculations'!$L$32*(1+$C$3)^V$176</f>
        <v>941.93204175274752</v>
      </c>
      <c r="W113" s="18">
        <f>-'Annual Calculations'!$L$32*(1+$C$3)^W$176</f>
        <v>983.37705158986842</v>
      </c>
      <c r="X113" s="18">
        <f>-'Annual Calculations'!$L$32*(1+$C$3)^X$176</f>
        <v>1026.6456418598227</v>
      </c>
      <c r="Y113" s="18">
        <f>-'Annual Calculations'!$L$32*(1+$C$3)^Y$176</f>
        <v>1071.8180501016548</v>
      </c>
      <c r="Z113" s="18">
        <f>-'Annual Calculations'!$L$32*(1+$C$3)^Z$176</f>
        <v>1118.9780443061277</v>
      </c>
      <c r="AA113" s="18">
        <f>-'Annual Calculations'!$L$32*(1+$C$3)^AA$176</f>
        <v>1168.2130782555973</v>
      </c>
      <c r="AB113" s="18">
        <f>-'Annual Calculations'!$L$32*(1+$C$3)^AB$176</f>
        <v>1219.6144536988436</v>
      </c>
      <c r="AC113" s="18">
        <f>-'Annual Calculations'!$L$32*(1+$C$3)^AC$176</f>
        <v>1273.2774896615929</v>
      </c>
      <c r="AD113" s="18">
        <f>-'Annual Calculations'!$L$32*(1+$C$3)^AD$176</f>
        <v>1329.3016992067028</v>
      </c>
      <c r="AE113" s="18">
        <f>-'Annual Calculations'!$L$32*(1+$C$3)^AE$176</f>
        <v>1387.7909739717979</v>
      </c>
      <c r="AF113" s="18">
        <f>-'Annual Calculations'!$L$32*(1+$C$3)^AF$176</f>
        <v>1448.8537768265569</v>
      </c>
      <c r="AG113" s="18">
        <f>-'Annual Calculations'!$L$32*(1+$C$3)^AG$176</f>
        <v>1512.6033430069253</v>
      </c>
      <c r="AH113" s="18">
        <f>-'Annual Calculations'!$L$32*(1+$C$3)^AH$176</f>
        <v>1579.1578900992301</v>
      </c>
      <c r="AI113" s="18">
        <f>-'Annual Calculations'!$L$32*(1+$C$3)^AI$176</f>
        <v>1648.6408372635965</v>
      </c>
      <c r="AJ113" s="18">
        <f>-'Annual Calculations'!$L$32*(1+$C$3)^AJ$176</f>
        <v>1721.1810341031946</v>
      </c>
      <c r="AK113" s="18">
        <f>-'Annual Calculations'!$L$32*(1+$C$3)^AK$176</f>
        <v>1796.9129996037354</v>
      </c>
      <c r="AL113" s="18">
        <f>-'Annual Calculations'!$L$32*(1+$C$3)^AL$176</f>
        <v>1875.9771715862996</v>
      </c>
      <c r="AM113" s="18">
        <f>-'Annual Calculations'!$L$32*(1+$C$3)^AM$176</f>
        <v>1958.5201671360969</v>
      </c>
      <c r="AN113" s="18">
        <f>-'Annual Calculations'!$L$32*(1+$C$3)^AN$176</f>
        <v>2044.6950544900853</v>
      </c>
      <c r="AO113" s="18">
        <f>-'Annual Calculations'!$L$32*(1+$C$3)^AO$176</f>
        <v>2134.6616368876489</v>
      </c>
      <c r="AP113" s="18">
        <f>-'Annual Calculations'!$L$32*(1+$C$3)^AP$176</f>
        <v>2228.5867489107054</v>
      </c>
      <c r="AQ113" s="18">
        <f>-'Annual Calculations'!$L$32*(1+$C$3)^AQ$176</f>
        <v>2326.6445658627772</v>
      </c>
      <c r="AR113" s="18">
        <f>-'Annual Calculations'!$L$32*(1+$C$3)^AR$176</f>
        <v>2429.0169267607389</v>
      </c>
      <c r="AS113" s="18">
        <f>-'Annual Calculations'!$L$32*(1+$C$3)^AS$176</f>
        <v>2535.8936715382115</v>
      </c>
      <c r="AT113" s="18">
        <f>-'Annual Calculations'!$L$32*(1+$C$3)^AT$176</f>
        <v>2647.472993085893</v>
      </c>
      <c r="AU113" s="18">
        <f>-'Annual Calculations'!$L$32*(1+$C$3)^AU$176</f>
        <v>2763.9618047816725</v>
      </c>
      <c r="AV113" s="18">
        <f>-'Annual Calculations'!$L$32*(1+$C$3)^AV$176</f>
        <v>2885.5761241920659</v>
      </c>
      <c r="AW113" s="18">
        <f>-'Annual Calculations'!$L$32*(1+$C$3)^AW$176</f>
        <v>3012.5414736565167</v>
      </c>
      <c r="AX113" s="18">
        <f>-'Annual Calculations'!$L$32*(1+$C$3)^AX$176</f>
        <v>3145.0932984974033</v>
      </c>
      <c r="AY113" s="18">
        <f>-'Annual Calculations'!$L$32*(1+$C$3)^AY$176</f>
        <v>3283.4774036312897</v>
      </c>
      <c r="AZ113" s="18">
        <f>-'Annual Calculations'!$L$32*(1+$C$3)^AZ$176</f>
        <v>3427.9504093910664</v>
      </c>
      <c r="BA113" s="18">
        <f>-'Annual Calculations'!$L$32*(1+$C$3)^BA$176</f>
        <v>3578.7802274042733</v>
      </c>
      <c r="BB113" s="18">
        <f>-'Annual Calculations'!$L$32*(1+$C$3)^BB$176</f>
        <v>3736.246557410062</v>
      </c>
    </row>
    <row r="114" spans="1:54" x14ac:dyDescent="0.25">
      <c r="A114" s="177"/>
      <c r="B114" t="s">
        <v>358</v>
      </c>
      <c r="C114" s="72" t="s">
        <v>362</v>
      </c>
      <c r="D114">
        <f>SUM(D111:D113)</f>
        <v>5250</v>
      </c>
      <c r="E114" s="18">
        <f t="shared" ref="E114:BB114" si="167">SUM(E111:E113)</f>
        <v>302.81560559168378</v>
      </c>
      <c r="F114" s="18">
        <f t="shared" si="167"/>
        <v>316.13949223771783</v>
      </c>
      <c r="G114" s="18">
        <f t="shared" si="167"/>
        <v>330.04962989617752</v>
      </c>
      <c r="H114" s="18">
        <f t="shared" si="167"/>
        <v>344.57181361160929</v>
      </c>
      <c r="I114" s="18">
        <f t="shared" si="167"/>
        <v>359.73297341052006</v>
      </c>
      <c r="J114" s="18">
        <f t="shared" si="167"/>
        <v>375.56122424058293</v>
      </c>
      <c r="K114" s="18">
        <f t="shared" si="167"/>
        <v>392.08591810716871</v>
      </c>
      <c r="L114" s="18">
        <f t="shared" si="167"/>
        <v>409.3376985038841</v>
      </c>
      <c r="M114" s="18">
        <f t="shared" si="167"/>
        <v>427.34855723805492</v>
      </c>
      <c r="N114" s="18">
        <f t="shared" si="167"/>
        <v>446.15189375652949</v>
      </c>
      <c r="O114" s="18">
        <f t="shared" si="167"/>
        <v>465.78257708181673</v>
      </c>
      <c r="P114" s="18">
        <f t="shared" si="167"/>
        <v>486.27701047341657</v>
      </c>
      <c r="Q114" s="18">
        <f t="shared" si="167"/>
        <v>507.6731989342469</v>
      </c>
      <c r="R114" s="18">
        <f t="shared" si="167"/>
        <v>530.01081968735389</v>
      </c>
      <c r="S114" s="18">
        <f t="shared" si="167"/>
        <v>553.33129575359749</v>
      </c>
      <c r="T114" s="18">
        <f t="shared" si="167"/>
        <v>577.67787276675574</v>
      </c>
      <c r="U114" s="18">
        <f t="shared" si="167"/>
        <v>603.09569916849296</v>
      </c>
      <c r="V114" s="18">
        <f t="shared" si="167"/>
        <v>629.63190993190676</v>
      </c>
      <c r="W114" s="18">
        <f t="shared" si="167"/>
        <v>657.33571396891068</v>
      </c>
      <c r="X114" s="18">
        <f t="shared" si="167"/>
        <v>686.25848538354285</v>
      </c>
      <c r="Y114" s="18">
        <f t="shared" si="167"/>
        <v>716.45385874041858</v>
      </c>
      <c r="Z114" s="18">
        <f t="shared" si="167"/>
        <v>747.97782852499699</v>
      </c>
      <c r="AA114" s="18">
        <f t="shared" si="167"/>
        <v>780.888852980097</v>
      </c>
      <c r="AB114" s="18">
        <f t="shared" si="167"/>
        <v>815.2479625112212</v>
      </c>
      <c r="AC114" s="18">
        <f t="shared" si="167"/>
        <v>851.11887286171509</v>
      </c>
      <c r="AD114" s="18">
        <f t="shared" si="167"/>
        <v>888.56810326763036</v>
      </c>
      <c r="AE114" s="18">
        <f t="shared" si="167"/>
        <v>927.66509981140632</v>
      </c>
      <c r="AF114" s="18">
        <f t="shared" si="167"/>
        <v>968.48236420310809</v>
      </c>
      <c r="AG114" s="18">
        <f t="shared" si="167"/>
        <v>1011.0955882280448</v>
      </c>
      <c r="AH114" s="18">
        <f t="shared" si="167"/>
        <v>5968.6060160387988</v>
      </c>
      <c r="AI114" s="18">
        <f t="shared" si="167"/>
        <v>1102.0294810509224</v>
      </c>
      <c r="AJ114" s="18">
        <f t="shared" si="167"/>
        <v>1150.5187782171629</v>
      </c>
      <c r="AK114" s="18">
        <f t="shared" si="167"/>
        <v>1201.1416044587183</v>
      </c>
      <c r="AL114" s="18">
        <f t="shared" si="167"/>
        <v>1253.9918350549019</v>
      </c>
      <c r="AM114" s="18">
        <f t="shared" si="167"/>
        <v>1309.1674757973176</v>
      </c>
      <c r="AN114" s="18">
        <f t="shared" si="167"/>
        <v>1366.7708447323996</v>
      </c>
      <c r="AO114" s="18">
        <f t="shared" si="167"/>
        <v>1426.908761900625</v>
      </c>
      <c r="AP114" s="18">
        <f t="shared" si="167"/>
        <v>1489.6927474242525</v>
      </c>
      <c r="AQ114" s="18">
        <f t="shared" si="167"/>
        <v>1555.2392283109202</v>
      </c>
      <c r="AR114" s="18">
        <f t="shared" si="167"/>
        <v>-22167.120967949835</v>
      </c>
      <c r="AS114" s="18">
        <f t="shared" si="167"/>
        <v>1695.1112235482906</v>
      </c>
      <c r="AT114" s="18">
        <f t="shared" si="167"/>
        <v>1769.6961173844156</v>
      </c>
      <c r="AU114" s="18">
        <f t="shared" si="167"/>
        <v>1847.5627465493301</v>
      </c>
      <c r="AV114" s="18">
        <f t="shared" si="167"/>
        <v>1928.8555073975003</v>
      </c>
      <c r="AW114" s="18">
        <f t="shared" si="167"/>
        <v>2013.7251497229904</v>
      </c>
      <c r="AX114" s="18">
        <f t="shared" si="167"/>
        <v>2102.3290563108021</v>
      </c>
      <c r="AY114" s="18">
        <f t="shared" si="167"/>
        <v>2194.8315347884777</v>
      </c>
      <c r="AZ114" s="18">
        <f t="shared" si="167"/>
        <v>2291.4041223191707</v>
      </c>
      <c r="BA114" s="18">
        <f t="shared" si="167"/>
        <v>2392.2259037012145</v>
      </c>
      <c r="BB114" s="18">
        <f t="shared" si="167"/>
        <v>2497.4838434640678</v>
      </c>
    </row>
    <row r="115" spans="1:54" x14ac:dyDescent="0.25">
      <c r="A115" s="177"/>
      <c r="B115" t="s">
        <v>359</v>
      </c>
      <c r="C115" s="72"/>
      <c r="D115">
        <f t="shared" ref="D115:AI115" si="168">(1+$C$2)^D$176</f>
        <v>1</v>
      </c>
      <c r="E115" s="40">
        <f t="shared" si="168"/>
        <v>1.1499999999999999</v>
      </c>
      <c r="F115" s="40">
        <f t="shared" si="168"/>
        <v>1.3224999999999998</v>
      </c>
      <c r="G115" s="40">
        <f t="shared" si="168"/>
        <v>1.5208749999999995</v>
      </c>
      <c r="H115" s="40">
        <f t="shared" si="168"/>
        <v>1.7490062499999994</v>
      </c>
      <c r="I115" s="40">
        <f t="shared" si="168"/>
        <v>2.0113571874999994</v>
      </c>
      <c r="J115" s="40">
        <f t="shared" si="168"/>
        <v>2.3130607656249991</v>
      </c>
      <c r="K115" s="40">
        <f t="shared" si="168"/>
        <v>2.6600198804687483</v>
      </c>
      <c r="L115" s="40">
        <f t="shared" si="168"/>
        <v>3.0590228625390603</v>
      </c>
      <c r="M115" s="40">
        <f t="shared" si="168"/>
        <v>3.5178762919199191</v>
      </c>
      <c r="N115" s="40">
        <f t="shared" si="168"/>
        <v>4.0455577357079067</v>
      </c>
      <c r="O115" s="40">
        <f t="shared" si="168"/>
        <v>4.6523913960640924</v>
      </c>
      <c r="P115" s="40">
        <f t="shared" si="168"/>
        <v>5.3502501054737053</v>
      </c>
      <c r="Q115" s="40">
        <f t="shared" si="168"/>
        <v>6.1527876212947614</v>
      </c>
      <c r="R115" s="40">
        <f t="shared" si="168"/>
        <v>7.0757057644889754</v>
      </c>
      <c r="S115" s="40">
        <f t="shared" si="168"/>
        <v>8.1370616291623197</v>
      </c>
      <c r="T115" s="40">
        <f t="shared" si="168"/>
        <v>9.3576208735366659</v>
      </c>
      <c r="U115" s="40">
        <f t="shared" si="168"/>
        <v>10.761264004567165</v>
      </c>
      <c r="V115" s="40">
        <f t="shared" si="168"/>
        <v>12.375453605252238</v>
      </c>
      <c r="W115" s="40">
        <f t="shared" si="168"/>
        <v>14.231771646040073</v>
      </c>
      <c r="X115" s="40">
        <f t="shared" si="168"/>
        <v>16.366537392946082</v>
      </c>
      <c r="Y115" s="40">
        <f t="shared" si="168"/>
        <v>18.821518001887995</v>
      </c>
      <c r="Z115" s="40">
        <f t="shared" si="168"/>
        <v>21.644745702171193</v>
      </c>
      <c r="AA115" s="40">
        <f t="shared" si="168"/>
        <v>24.891457557496867</v>
      </c>
      <c r="AB115" s="40">
        <f t="shared" si="168"/>
        <v>28.625176191121394</v>
      </c>
      <c r="AC115" s="40">
        <f t="shared" si="168"/>
        <v>32.9189526197896</v>
      </c>
      <c r="AD115" s="40">
        <f t="shared" si="168"/>
        <v>37.85679551275804</v>
      </c>
      <c r="AE115" s="40">
        <f t="shared" si="168"/>
        <v>43.535314839671742</v>
      </c>
      <c r="AF115" s="40">
        <f t="shared" si="168"/>
        <v>50.065612065622496</v>
      </c>
      <c r="AG115" s="40">
        <f t="shared" si="168"/>
        <v>57.575453875465868</v>
      </c>
      <c r="AH115" s="40">
        <f t="shared" si="168"/>
        <v>66.211771956785753</v>
      </c>
      <c r="AI115" s="40">
        <f t="shared" si="168"/>
        <v>76.143537750303594</v>
      </c>
      <c r="AJ115" s="40">
        <f t="shared" ref="AJ115:BB115" si="169">(1+$C$2)^AJ$176</f>
        <v>87.565068412849115</v>
      </c>
      <c r="AK115" s="40">
        <f t="shared" si="169"/>
        <v>100.69982867477647</v>
      </c>
      <c r="AL115" s="40">
        <f t="shared" si="169"/>
        <v>115.80480297599294</v>
      </c>
      <c r="AM115" s="40">
        <f t="shared" si="169"/>
        <v>133.17552342239185</v>
      </c>
      <c r="AN115" s="40">
        <f t="shared" si="169"/>
        <v>153.15185193575064</v>
      </c>
      <c r="AO115" s="40">
        <f t="shared" si="169"/>
        <v>176.12462972611323</v>
      </c>
      <c r="AP115" s="40">
        <f t="shared" si="169"/>
        <v>202.5433241850302</v>
      </c>
      <c r="AQ115" s="40">
        <f t="shared" si="169"/>
        <v>232.92482281278467</v>
      </c>
      <c r="AR115" s="40">
        <f t="shared" si="169"/>
        <v>267.86354623470237</v>
      </c>
      <c r="AS115" s="40">
        <f t="shared" si="169"/>
        <v>308.04307816990769</v>
      </c>
      <c r="AT115" s="40">
        <f t="shared" si="169"/>
        <v>354.24953989539381</v>
      </c>
      <c r="AU115" s="40">
        <f t="shared" si="169"/>
        <v>407.38697087970286</v>
      </c>
      <c r="AV115" s="40">
        <f t="shared" si="169"/>
        <v>468.49501651165821</v>
      </c>
      <c r="AW115" s="40">
        <f t="shared" si="169"/>
        <v>538.76926898840691</v>
      </c>
      <c r="AX115" s="40">
        <f t="shared" si="169"/>
        <v>619.58465933666798</v>
      </c>
      <c r="AY115" s="40">
        <f t="shared" si="169"/>
        <v>712.52235823716796</v>
      </c>
      <c r="AZ115" s="40">
        <f t="shared" si="169"/>
        <v>819.40071197274301</v>
      </c>
      <c r="BA115" s="40">
        <f t="shared" si="169"/>
        <v>942.31081876865449</v>
      </c>
      <c r="BB115" s="40">
        <f t="shared" si="169"/>
        <v>1083.6574415839525</v>
      </c>
    </row>
    <row r="116" spans="1:54" x14ac:dyDescent="0.25">
      <c r="A116" s="177"/>
      <c r="B116" t="s">
        <v>360</v>
      </c>
      <c r="C116" s="72" t="s">
        <v>362</v>
      </c>
      <c r="D116">
        <f>D114/D115</f>
        <v>5250</v>
      </c>
      <c r="E116" s="18">
        <f>E114/E115</f>
        <v>263.31791790581201</v>
      </c>
      <c r="F116" s="18">
        <f>F114/F115</f>
        <v>239.04687503797194</v>
      </c>
      <c r="G116" s="18">
        <f t="shared" ref="G116:BB116" si="170">G114/G115</f>
        <v>217.0129891649068</v>
      </c>
      <c r="H116" s="18">
        <f t="shared" si="170"/>
        <v>197.01005277231536</v>
      </c>
      <c r="I116" s="18">
        <f t="shared" si="170"/>
        <v>178.85086529938889</v>
      </c>
      <c r="J116" s="18">
        <f t="shared" si="170"/>
        <v>162.36548119353219</v>
      </c>
      <c r="K116" s="18">
        <f t="shared" si="170"/>
        <v>147.39961944873713</v>
      </c>
      <c r="L116" s="18">
        <f t="shared" si="170"/>
        <v>133.81321974302745</v>
      </c>
      <c r="M116" s="18">
        <f t="shared" si="170"/>
        <v>121.47913166236576</v>
      </c>
      <c r="N116" s="18">
        <f t="shared" si="170"/>
        <v>110.28192474392166</v>
      </c>
      <c r="O116" s="18">
        <f t="shared" si="170"/>
        <v>100.11680820230801</v>
      </c>
      <c r="P116" s="18">
        <f t="shared" si="170"/>
        <v>90.888650228877879</v>
      </c>
      <c r="Q116" s="18">
        <f t="shared" si="170"/>
        <v>82.511087686042174</v>
      </c>
      <c r="R116" s="18">
        <f t="shared" si="170"/>
        <v>74.905717864546133</v>
      </c>
      <c r="S116" s="18">
        <f t="shared" si="170"/>
        <v>68.001364739640167</v>
      </c>
      <c r="T116" s="18">
        <f t="shared" si="170"/>
        <v>61.733412859290731</v>
      </c>
      <c r="U116" s="18">
        <f t="shared" si="170"/>
        <v>56.043202630521321</v>
      </c>
      <c r="V116" s="18">
        <f t="shared" si="170"/>
        <v>50.877481344577632</v>
      </c>
      <c r="W116" s="18">
        <f t="shared" si="170"/>
        <v>46.18790480325135</v>
      </c>
      <c r="X116" s="18">
        <f t="shared" si="170"/>
        <v>41.930584882256021</v>
      </c>
      <c r="Y116" s="18">
        <f t="shared" si="170"/>
        <v>38.065678797456762</v>
      </c>
      <c r="Z116" s="18">
        <f t="shared" si="170"/>
        <v>34.557016230039011</v>
      </c>
      <c r="AA116" s="18">
        <f t="shared" si="170"/>
        <v>31.371760821009339</v>
      </c>
      <c r="AB116" s="18">
        <f t="shared" si="170"/>
        <v>28.480102867072826</v>
      </c>
      <c r="AC116" s="18">
        <f t="shared" si="170"/>
        <v>25.854980341933945</v>
      </c>
      <c r="AD116" s="18">
        <f t="shared" si="170"/>
        <v>23.471825632155682</v>
      </c>
      <c r="AE116" s="18">
        <f t="shared" si="170"/>
        <v>21.308335617365689</v>
      </c>
      <c r="AF116" s="18">
        <f t="shared" si="170"/>
        <v>19.344262943069371</v>
      </c>
      <c r="AG116" s="18">
        <f t="shared" si="170"/>
        <v>17.561226532664715</v>
      </c>
      <c r="AH116" s="18">
        <f t="shared" si="170"/>
        <v>90.144181912761852</v>
      </c>
      <c r="AI116" s="18">
        <f t="shared" si="170"/>
        <v>14.47305330972133</v>
      </c>
      <c r="AJ116" s="18">
        <f t="shared" si="170"/>
        <v>13.139015352477452</v>
      </c>
      <c r="AK116" s="18">
        <f t="shared" si="170"/>
        <v>11.927940893901274</v>
      </c>
      <c r="AL116" s="18">
        <f t="shared" si="170"/>
        <v>10.828495907159068</v>
      </c>
      <c r="AM116" s="18">
        <f t="shared" si="170"/>
        <v>9.8303910670209316</v>
      </c>
      <c r="AN116" s="18">
        <f t="shared" si="170"/>
        <v>8.9242854556259577</v>
      </c>
      <c r="AO116" s="18">
        <f t="shared" si="170"/>
        <v>8.1016991440639128</v>
      </c>
      <c r="AP116" s="18">
        <f t="shared" si="170"/>
        <v>7.3549338316545434</v>
      </c>
      <c r="AQ116" s="18">
        <f t="shared" si="170"/>
        <v>6.6770008002150858</v>
      </c>
      <c r="AR116" s="18">
        <f t="shared" si="170"/>
        <v>-82.755273270842821</v>
      </c>
      <c r="AS116" s="18">
        <f t="shared" si="170"/>
        <v>5.5028382186640661</v>
      </c>
      <c r="AT116" s="18">
        <f t="shared" si="170"/>
        <v>4.995620087204597</v>
      </c>
      <c r="AU116" s="18">
        <f t="shared" si="170"/>
        <v>4.5351542356883483</v>
      </c>
      <c r="AV116" s="18">
        <f t="shared" si="170"/>
        <v>4.1171313235292484</v>
      </c>
      <c r="AW116" s="18">
        <f t="shared" si="170"/>
        <v>3.7376392189256831</v>
      </c>
      <c r="AX116" s="18">
        <f t="shared" si="170"/>
        <v>3.3931263865725332</v>
      </c>
      <c r="AY116" s="18">
        <f t="shared" si="170"/>
        <v>3.0803686500710663</v>
      </c>
      <c r="AZ116" s="18">
        <f t="shared" si="170"/>
        <v>2.7964390179775598</v>
      </c>
      <c r="BA116" s="18">
        <f t="shared" si="170"/>
        <v>2.5386802911031068</v>
      </c>
      <c r="BB116" s="18">
        <f t="shared" si="170"/>
        <v>2.3046801947057771</v>
      </c>
    </row>
    <row r="117" spans="1:54" x14ac:dyDescent="0.25">
      <c r="A117" s="177"/>
      <c r="B117" s="76" t="s">
        <v>645</v>
      </c>
      <c r="C117" s="77" t="s">
        <v>362</v>
      </c>
      <c r="D117" s="76">
        <f>D116</f>
        <v>5250</v>
      </c>
      <c r="E117" s="78">
        <f>E116+D117</f>
        <v>5513.3179179058116</v>
      </c>
      <c r="F117" s="78">
        <f t="shared" ref="F117:BB117" si="171">F116+E117</f>
        <v>5752.3647929437839</v>
      </c>
      <c r="G117" s="78">
        <f t="shared" si="171"/>
        <v>5969.3777821086906</v>
      </c>
      <c r="H117" s="78">
        <f t="shared" si="171"/>
        <v>6166.3878348810058</v>
      </c>
      <c r="I117" s="78">
        <f t="shared" si="171"/>
        <v>6345.2387001803945</v>
      </c>
      <c r="J117" s="78">
        <f t="shared" si="171"/>
        <v>6507.6041813739266</v>
      </c>
      <c r="K117" s="78">
        <f t="shared" si="171"/>
        <v>6655.0038008226638</v>
      </c>
      <c r="L117" s="78">
        <f t="shared" si="171"/>
        <v>6788.8170205656916</v>
      </c>
      <c r="M117" s="78">
        <f t="shared" si="171"/>
        <v>6910.2961522280575</v>
      </c>
      <c r="N117" s="78">
        <f t="shared" si="171"/>
        <v>7020.5780769719795</v>
      </c>
      <c r="O117" s="78">
        <f t="shared" si="171"/>
        <v>7120.6948851742873</v>
      </c>
      <c r="P117" s="78">
        <f t="shared" si="171"/>
        <v>7211.5835354031651</v>
      </c>
      <c r="Q117" s="78">
        <f t="shared" si="171"/>
        <v>7294.0946230892077</v>
      </c>
      <c r="R117" s="78">
        <f t="shared" si="171"/>
        <v>7369.0003409537539</v>
      </c>
      <c r="S117" s="78">
        <f t="shared" si="171"/>
        <v>7437.0017056933939</v>
      </c>
      <c r="T117" s="78">
        <f t="shared" si="171"/>
        <v>7498.735118552685</v>
      </c>
      <c r="U117" s="78">
        <f t="shared" si="171"/>
        <v>7554.7783211832066</v>
      </c>
      <c r="V117" s="78">
        <f t="shared" si="171"/>
        <v>7605.6558025277845</v>
      </c>
      <c r="W117" s="78">
        <f t="shared" si="171"/>
        <v>7651.8437073310361</v>
      </c>
      <c r="X117" s="78">
        <f t="shared" si="171"/>
        <v>7693.774292213292</v>
      </c>
      <c r="Y117" s="78">
        <f t="shared" si="171"/>
        <v>7731.8399710107487</v>
      </c>
      <c r="Z117" s="78">
        <f t="shared" si="171"/>
        <v>7766.3969872407879</v>
      </c>
      <c r="AA117" s="78">
        <f t="shared" si="171"/>
        <v>7797.7687480617969</v>
      </c>
      <c r="AB117" s="78">
        <f t="shared" si="171"/>
        <v>7826.2488509288696</v>
      </c>
      <c r="AC117" s="78">
        <f t="shared" si="171"/>
        <v>7852.1038312708033</v>
      </c>
      <c r="AD117" s="78">
        <f t="shared" si="171"/>
        <v>7875.5756569029591</v>
      </c>
      <c r="AE117" s="78">
        <f t="shared" si="171"/>
        <v>7896.8839925203247</v>
      </c>
      <c r="AF117" s="78">
        <f t="shared" si="171"/>
        <v>7916.2282554633939</v>
      </c>
      <c r="AG117" s="78">
        <f t="shared" si="171"/>
        <v>7933.7894819960584</v>
      </c>
      <c r="AH117" s="78">
        <f t="shared" si="171"/>
        <v>8023.9336639088206</v>
      </c>
      <c r="AI117" s="78">
        <f t="shared" si="171"/>
        <v>8038.4067172185423</v>
      </c>
      <c r="AJ117" s="78">
        <f t="shared" si="171"/>
        <v>8051.5457325710195</v>
      </c>
      <c r="AK117" s="78">
        <f t="shared" si="171"/>
        <v>8063.4736734649205</v>
      </c>
      <c r="AL117" s="78">
        <f t="shared" si="171"/>
        <v>8074.3021693720793</v>
      </c>
      <c r="AM117" s="78">
        <f t="shared" si="171"/>
        <v>8084.1325604391004</v>
      </c>
      <c r="AN117" s="78">
        <f t="shared" si="171"/>
        <v>8093.0568458947264</v>
      </c>
      <c r="AO117" s="78">
        <f t="shared" si="171"/>
        <v>8101.1585450387902</v>
      </c>
      <c r="AP117" s="78">
        <f t="shared" si="171"/>
        <v>8108.5134788704445</v>
      </c>
      <c r="AQ117" s="78">
        <f t="shared" si="171"/>
        <v>8115.1904796706594</v>
      </c>
      <c r="AR117" s="78">
        <f t="shared" si="171"/>
        <v>8032.4352063998167</v>
      </c>
      <c r="AS117" s="78">
        <f t="shared" si="171"/>
        <v>8037.9380446184805</v>
      </c>
      <c r="AT117" s="78">
        <f t="shared" si="171"/>
        <v>8042.9336647056853</v>
      </c>
      <c r="AU117" s="78">
        <f t="shared" si="171"/>
        <v>8047.4688189413737</v>
      </c>
      <c r="AV117" s="78">
        <f t="shared" si="171"/>
        <v>8051.5859502649027</v>
      </c>
      <c r="AW117" s="78">
        <f t="shared" si="171"/>
        <v>8055.3235894838281</v>
      </c>
      <c r="AX117" s="78">
        <f t="shared" si="171"/>
        <v>8058.7167158704005</v>
      </c>
      <c r="AY117" s="78">
        <f t="shared" si="171"/>
        <v>8061.7970845204718</v>
      </c>
      <c r="AZ117" s="78">
        <f t="shared" si="171"/>
        <v>8064.5935235384495</v>
      </c>
      <c r="BA117" s="78">
        <f t="shared" si="171"/>
        <v>8067.132203829553</v>
      </c>
      <c r="BB117" s="78">
        <f t="shared" si="171"/>
        <v>8069.4368840242587</v>
      </c>
    </row>
    <row r="118" spans="1:54" x14ac:dyDescent="0.25">
      <c r="A118" s="177"/>
      <c r="B118" s="22" t="s">
        <v>361</v>
      </c>
      <c r="C118" s="75" t="s">
        <v>362</v>
      </c>
      <c r="D118" s="93">
        <f>SUM(D116:BB116)</f>
        <v>8069.4368840242587</v>
      </c>
    </row>
    <row r="119" spans="1:54" x14ac:dyDescent="0.25">
      <c r="A119" s="180" t="s">
        <v>547</v>
      </c>
      <c r="B119" s="76" t="s">
        <v>363</v>
      </c>
      <c r="C119" s="77" t="s">
        <v>362</v>
      </c>
      <c r="D119" s="78">
        <f>PART_WALL!B30</f>
        <v>1231.8110000000001</v>
      </c>
      <c r="E119" s="76">
        <v>0</v>
      </c>
      <c r="F119" s="76">
        <v>0</v>
      </c>
      <c r="G119" s="76">
        <v>0</v>
      </c>
      <c r="H119" s="76">
        <v>0</v>
      </c>
      <c r="I119" s="76">
        <v>0</v>
      </c>
      <c r="J119" s="76">
        <v>0</v>
      </c>
      <c r="K119" s="76">
        <v>0</v>
      </c>
      <c r="L119" s="76">
        <v>0</v>
      </c>
      <c r="M119" s="76">
        <v>0</v>
      </c>
      <c r="N119" s="79">
        <f>PART_WALL!$B$26*(1+$C$1)^N$176</f>
        <v>164.37678303464338</v>
      </c>
      <c r="O119" s="76">
        <v>0</v>
      </c>
      <c r="P119" s="76">
        <v>0</v>
      </c>
      <c r="Q119" s="76">
        <v>0</v>
      </c>
      <c r="R119" s="76">
        <v>0</v>
      </c>
      <c r="S119" s="76">
        <v>0</v>
      </c>
      <c r="T119" s="76">
        <v>0</v>
      </c>
      <c r="U119" s="76">
        <v>0</v>
      </c>
      <c r="V119" s="76">
        <v>0</v>
      </c>
      <c r="W119" s="76">
        <v>0</v>
      </c>
      <c r="X119" s="79">
        <f>PART_WALL!$B$26*(1+$C$1)^X$176</f>
        <v>252.83981472716249</v>
      </c>
      <c r="Y119" s="76">
        <v>0</v>
      </c>
      <c r="Z119" s="76">
        <v>0</v>
      </c>
      <c r="AA119" s="76">
        <v>0</v>
      </c>
      <c r="AB119" s="76">
        <v>0</v>
      </c>
      <c r="AC119" s="76">
        <f>-South_Facade_PV!B49*South_Facade_PV!B40</f>
        <v>0</v>
      </c>
      <c r="AD119" s="76">
        <v>0</v>
      </c>
      <c r="AE119" s="76">
        <v>0</v>
      </c>
      <c r="AF119" s="76">
        <v>0</v>
      </c>
      <c r="AG119" s="76">
        <v>0</v>
      </c>
      <c r="AH119" s="79">
        <f>PART_WALL!$B$26*(1+$C$1)^AH$176</f>
        <v>388.91119981215752</v>
      </c>
      <c r="AI119" s="76">
        <v>0</v>
      </c>
      <c r="AJ119" s="76">
        <v>0</v>
      </c>
      <c r="AK119" s="76">
        <v>0</v>
      </c>
      <c r="AL119" s="76">
        <v>0</v>
      </c>
      <c r="AM119" s="76">
        <v>0</v>
      </c>
      <c r="AN119" s="76">
        <v>0</v>
      </c>
      <c r="AO119" s="76">
        <v>0</v>
      </c>
      <c r="AP119" s="76">
        <v>0</v>
      </c>
      <c r="AQ119" s="76">
        <v>0</v>
      </c>
      <c r="AR119" s="79">
        <f>PART_WALL!$B$26*(1+$C$1)^AR$176</f>
        <v>598.21243542100638</v>
      </c>
      <c r="AS119" s="76">
        <v>0</v>
      </c>
      <c r="AT119" s="76">
        <v>0</v>
      </c>
      <c r="AU119" s="76">
        <v>0</v>
      </c>
      <c r="AV119" s="76">
        <v>0</v>
      </c>
      <c r="AW119" s="76">
        <v>0</v>
      </c>
      <c r="AX119" s="76">
        <v>0</v>
      </c>
      <c r="AY119" s="76">
        <v>0</v>
      </c>
      <c r="AZ119" s="76">
        <v>0</v>
      </c>
      <c r="BA119" s="76">
        <v>0</v>
      </c>
      <c r="BB119" s="76">
        <v>0</v>
      </c>
    </row>
    <row r="120" spans="1:54" x14ac:dyDescent="0.25">
      <c r="A120" s="180"/>
      <c r="B120" s="76" t="s">
        <v>356</v>
      </c>
      <c r="C120" s="77" t="s">
        <v>362</v>
      </c>
      <c r="D120" s="76">
        <v>0</v>
      </c>
      <c r="E120" s="76">
        <v>0</v>
      </c>
      <c r="F120" s="76">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row>
    <row r="121" spans="1:54" x14ac:dyDescent="0.25">
      <c r="A121" s="180"/>
      <c r="B121" s="76" t="s">
        <v>357</v>
      </c>
      <c r="C121" s="77" t="s">
        <v>362</v>
      </c>
      <c r="D121" s="76">
        <v>0</v>
      </c>
      <c r="E121" s="76">
        <v>0</v>
      </c>
      <c r="F121" s="76">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row>
    <row r="122" spans="1:54" x14ac:dyDescent="0.25">
      <c r="A122" s="180"/>
      <c r="B122" s="76" t="s">
        <v>358</v>
      </c>
      <c r="C122" s="77" t="s">
        <v>362</v>
      </c>
      <c r="D122" s="76">
        <f>SUM(D119:D121)</f>
        <v>1231.8110000000001</v>
      </c>
      <c r="E122" s="78">
        <f t="shared" ref="E122:BB122" si="172">SUM(E119:E121)</f>
        <v>0</v>
      </c>
      <c r="F122" s="78">
        <f t="shared" si="172"/>
        <v>0</v>
      </c>
      <c r="G122" s="78">
        <f t="shared" si="172"/>
        <v>0</v>
      </c>
      <c r="H122" s="78">
        <f t="shared" si="172"/>
        <v>0</v>
      </c>
      <c r="I122" s="78">
        <f t="shared" si="172"/>
        <v>0</v>
      </c>
      <c r="J122" s="78">
        <f t="shared" si="172"/>
        <v>0</v>
      </c>
      <c r="K122" s="78">
        <f t="shared" si="172"/>
        <v>0</v>
      </c>
      <c r="L122" s="78">
        <f t="shared" si="172"/>
        <v>0</v>
      </c>
      <c r="M122" s="78">
        <f t="shared" si="172"/>
        <v>0</v>
      </c>
      <c r="N122" s="78">
        <f t="shared" si="172"/>
        <v>164.37678303464338</v>
      </c>
      <c r="O122" s="78">
        <f t="shared" si="172"/>
        <v>0</v>
      </c>
      <c r="P122" s="78">
        <f t="shared" si="172"/>
        <v>0</v>
      </c>
      <c r="Q122" s="78">
        <f t="shared" si="172"/>
        <v>0</v>
      </c>
      <c r="R122" s="78">
        <f t="shared" si="172"/>
        <v>0</v>
      </c>
      <c r="S122" s="78">
        <f t="shared" si="172"/>
        <v>0</v>
      </c>
      <c r="T122" s="78">
        <f t="shared" si="172"/>
        <v>0</v>
      </c>
      <c r="U122" s="78">
        <f t="shared" si="172"/>
        <v>0</v>
      </c>
      <c r="V122" s="78">
        <f t="shared" si="172"/>
        <v>0</v>
      </c>
      <c r="W122" s="78">
        <f t="shared" si="172"/>
        <v>0</v>
      </c>
      <c r="X122" s="78">
        <f t="shared" si="172"/>
        <v>252.83981472716249</v>
      </c>
      <c r="Y122" s="78">
        <f t="shared" si="172"/>
        <v>0</v>
      </c>
      <c r="Z122" s="78">
        <f t="shared" si="172"/>
        <v>0</v>
      </c>
      <c r="AA122" s="78">
        <f t="shared" si="172"/>
        <v>0</v>
      </c>
      <c r="AB122" s="78">
        <f t="shared" si="172"/>
        <v>0</v>
      </c>
      <c r="AC122" s="78">
        <f t="shared" si="172"/>
        <v>0</v>
      </c>
      <c r="AD122" s="78">
        <f t="shared" si="172"/>
        <v>0</v>
      </c>
      <c r="AE122" s="78">
        <f t="shared" si="172"/>
        <v>0</v>
      </c>
      <c r="AF122" s="78">
        <f t="shared" si="172"/>
        <v>0</v>
      </c>
      <c r="AG122" s="78">
        <f t="shared" si="172"/>
        <v>0</v>
      </c>
      <c r="AH122" s="78">
        <f t="shared" si="172"/>
        <v>388.91119981215752</v>
      </c>
      <c r="AI122" s="78">
        <f t="shared" si="172"/>
        <v>0</v>
      </c>
      <c r="AJ122" s="78">
        <f t="shared" si="172"/>
        <v>0</v>
      </c>
      <c r="AK122" s="78">
        <f t="shared" si="172"/>
        <v>0</v>
      </c>
      <c r="AL122" s="78">
        <f t="shared" si="172"/>
        <v>0</v>
      </c>
      <c r="AM122" s="78">
        <f t="shared" si="172"/>
        <v>0</v>
      </c>
      <c r="AN122" s="78">
        <f t="shared" si="172"/>
        <v>0</v>
      </c>
      <c r="AO122" s="78">
        <f t="shared" si="172"/>
        <v>0</v>
      </c>
      <c r="AP122" s="78">
        <f t="shared" si="172"/>
        <v>0</v>
      </c>
      <c r="AQ122" s="78">
        <f t="shared" si="172"/>
        <v>0</v>
      </c>
      <c r="AR122" s="78">
        <f t="shared" si="172"/>
        <v>598.21243542100638</v>
      </c>
      <c r="AS122" s="78">
        <f t="shared" si="172"/>
        <v>0</v>
      </c>
      <c r="AT122" s="78">
        <f t="shared" si="172"/>
        <v>0</v>
      </c>
      <c r="AU122" s="78">
        <f t="shared" si="172"/>
        <v>0</v>
      </c>
      <c r="AV122" s="78">
        <f t="shared" si="172"/>
        <v>0</v>
      </c>
      <c r="AW122" s="78">
        <f t="shared" si="172"/>
        <v>0</v>
      </c>
      <c r="AX122" s="78">
        <f t="shared" si="172"/>
        <v>0</v>
      </c>
      <c r="AY122" s="78">
        <f t="shared" si="172"/>
        <v>0</v>
      </c>
      <c r="AZ122" s="78">
        <f t="shared" si="172"/>
        <v>0</v>
      </c>
      <c r="BA122" s="78">
        <f t="shared" si="172"/>
        <v>0</v>
      </c>
      <c r="BB122" s="78">
        <f t="shared" si="172"/>
        <v>0</v>
      </c>
    </row>
    <row r="123" spans="1:54" x14ac:dyDescent="0.25">
      <c r="A123" s="180"/>
      <c r="B123" s="76" t="s">
        <v>359</v>
      </c>
      <c r="C123" s="77"/>
      <c r="D123" s="76">
        <f t="shared" ref="D123:AI123" si="173">(1+$C$2)^D$176</f>
        <v>1</v>
      </c>
      <c r="E123" s="79">
        <f t="shared" si="173"/>
        <v>1.1499999999999999</v>
      </c>
      <c r="F123" s="79">
        <f t="shared" si="173"/>
        <v>1.3224999999999998</v>
      </c>
      <c r="G123" s="79">
        <f t="shared" si="173"/>
        <v>1.5208749999999995</v>
      </c>
      <c r="H123" s="79">
        <f t="shared" si="173"/>
        <v>1.7490062499999994</v>
      </c>
      <c r="I123" s="79">
        <f t="shared" si="173"/>
        <v>2.0113571874999994</v>
      </c>
      <c r="J123" s="79">
        <f t="shared" si="173"/>
        <v>2.3130607656249991</v>
      </c>
      <c r="K123" s="79">
        <f t="shared" si="173"/>
        <v>2.6600198804687483</v>
      </c>
      <c r="L123" s="79">
        <f t="shared" si="173"/>
        <v>3.0590228625390603</v>
      </c>
      <c r="M123" s="79">
        <f t="shared" si="173"/>
        <v>3.5178762919199191</v>
      </c>
      <c r="N123" s="79">
        <f t="shared" si="173"/>
        <v>4.0455577357079067</v>
      </c>
      <c r="O123" s="79">
        <f t="shared" si="173"/>
        <v>4.6523913960640924</v>
      </c>
      <c r="P123" s="79">
        <f t="shared" si="173"/>
        <v>5.3502501054737053</v>
      </c>
      <c r="Q123" s="79">
        <f t="shared" si="173"/>
        <v>6.1527876212947614</v>
      </c>
      <c r="R123" s="79">
        <f t="shared" si="173"/>
        <v>7.0757057644889754</v>
      </c>
      <c r="S123" s="79">
        <f t="shared" si="173"/>
        <v>8.1370616291623197</v>
      </c>
      <c r="T123" s="79">
        <f t="shared" si="173"/>
        <v>9.3576208735366659</v>
      </c>
      <c r="U123" s="79">
        <f t="shared" si="173"/>
        <v>10.761264004567165</v>
      </c>
      <c r="V123" s="79">
        <f t="shared" si="173"/>
        <v>12.375453605252238</v>
      </c>
      <c r="W123" s="79">
        <f t="shared" si="173"/>
        <v>14.231771646040073</v>
      </c>
      <c r="X123" s="79">
        <f t="shared" si="173"/>
        <v>16.366537392946082</v>
      </c>
      <c r="Y123" s="79">
        <f t="shared" si="173"/>
        <v>18.821518001887995</v>
      </c>
      <c r="Z123" s="79">
        <f t="shared" si="173"/>
        <v>21.644745702171193</v>
      </c>
      <c r="AA123" s="79">
        <f t="shared" si="173"/>
        <v>24.891457557496867</v>
      </c>
      <c r="AB123" s="79">
        <f t="shared" si="173"/>
        <v>28.625176191121394</v>
      </c>
      <c r="AC123" s="79">
        <f t="shared" si="173"/>
        <v>32.9189526197896</v>
      </c>
      <c r="AD123" s="79">
        <f t="shared" si="173"/>
        <v>37.85679551275804</v>
      </c>
      <c r="AE123" s="79">
        <f t="shared" si="173"/>
        <v>43.535314839671742</v>
      </c>
      <c r="AF123" s="79">
        <f t="shared" si="173"/>
        <v>50.065612065622496</v>
      </c>
      <c r="AG123" s="79">
        <f t="shared" si="173"/>
        <v>57.575453875465868</v>
      </c>
      <c r="AH123" s="79">
        <f t="shared" si="173"/>
        <v>66.211771956785753</v>
      </c>
      <c r="AI123" s="79">
        <f t="shared" si="173"/>
        <v>76.143537750303594</v>
      </c>
      <c r="AJ123" s="79">
        <f t="shared" ref="AJ123:BB123" si="174">(1+$C$2)^AJ$176</f>
        <v>87.565068412849115</v>
      </c>
      <c r="AK123" s="79">
        <f t="shared" si="174"/>
        <v>100.69982867477647</v>
      </c>
      <c r="AL123" s="79">
        <f t="shared" si="174"/>
        <v>115.80480297599294</v>
      </c>
      <c r="AM123" s="79">
        <f t="shared" si="174"/>
        <v>133.17552342239185</v>
      </c>
      <c r="AN123" s="79">
        <f t="shared" si="174"/>
        <v>153.15185193575064</v>
      </c>
      <c r="AO123" s="79">
        <f t="shared" si="174"/>
        <v>176.12462972611323</v>
      </c>
      <c r="AP123" s="79">
        <f t="shared" si="174"/>
        <v>202.5433241850302</v>
      </c>
      <c r="AQ123" s="79">
        <f t="shared" si="174"/>
        <v>232.92482281278467</v>
      </c>
      <c r="AR123" s="79">
        <f t="shared" si="174"/>
        <v>267.86354623470237</v>
      </c>
      <c r="AS123" s="79">
        <f t="shared" si="174"/>
        <v>308.04307816990769</v>
      </c>
      <c r="AT123" s="79">
        <f t="shared" si="174"/>
        <v>354.24953989539381</v>
      </c>
      <c r="AU123" s="79">
        <f t="shared" si="174"/>
        <v>407.38697087970286</v>
      </c>
      <c r="AV123" s="79">
        <f t="shared" si="174"/>
        <v>468.49501651165821</v>
      </c>
      <c r="AW123" s="79">
        <f t="shared" si="174"/>
        <v>538.76926898840691</v>
      </c>
      <c r="AX123" s="79">
        <f t="shared" si="174"/>
        <v>619.58465933666798</v>
      </c>
      <c r="AY123" s="79">
        <f t="shared" si="174"/>
        <v>712.52235823716796</v>
      </c>
      <c r="AZ123" s="79">
        <f t="shared" si="174"/>
        <v>819.40071197274301</v>
      </c>
      <c r="BA123" s="79">
        <f t="shared" si="174"/>
        <v>942.31081876865449</v>
      </c>
      <c r="BB123" s="79">
        <f t="shared" si="174"/>
        <v>1083.6574415839525</v>
      </c>
    </row>
    <row r="124" spans="1:54" x14ac:dyDescent="0.25">
      <c r="A124" s="180"/>
      <c r="B124" s="76" t="s">
        <v>360</v>
      </c>
      <c r="C124" s="77" t="s">
        <v>362</v>
      </c>
      <c r="D124" s="76">
        <f>D122/D123</f>
        <v>1231.8110000000001</v>
      </c>
      <c r="E124" s="78">
        <f>E122/E123</f>
        <v>0</v>
      </c>
      <c r="F124" s="78">
        <f>F122/F123</f>
        <v>0</v>
      </c>
      <c r="G124" s="78">
        <f t="shared" ref="G124:BB124" si="175">G122/G123</f>
        <v>0</v>
      </c>
      <c r="H124" s="78">
        <f t="shared" si="175"/>
        <v>0</v>
      </c>
      <c r="I124" s="78">
        <f t="shared" si="175"/>
        <v>0</v>
      </c>
      <c r="J124" s="78">
        <f t="shared" si="175"/>
        <v>0</v>
      </c>
      <c r="K124" s="78">
        <f t="shared" si="175"/>
        <v>0</v>
      </c>
      <c r="L124" s="78">
        <f t="shared" si="175"/>
        <v>0</v>
      </c>
      <c r="M124" s="78">
        <f t="shared" si="175"/>
        <v>0</v>
      </c>
      <c r="N124" s="78">
        <f t="shared" si="175"/>
        <v>40.631426807676029</v>
      </c>
      <c r="O124" s="78">
        <f t="shared" si="175"/>
        <v>0</v>
      </c>
      <c r="P124" s="78">
        <f t="shared" si="175"/>
        <v>0</v>
      </c>
      <c r="Q124" s="78">
        <f t="shared" si="175"/>
        <v>0</v>
      </c>
      <c r="R124" s="78">
        <f t="shared" si="175"/>
        <v>0</v>
      </c>
      <c r="S124" s="78">
        <f t="shared" si="175"/>
        <v>0</v>
      </c>
      <c r="T124" s="78">
        <f t="shared" si="175"/>
        <v>0</v>
      </c>
      <c r="U124" s="78">
        <f t="shared" si="175"/>
        <v>0</v>
      </c>
      <c r="V124" s="78">
        <f t="shared" si="175"/>
        <v>0</v>
      </c>
      <c r="W124" s="78">
        <f t="shared" si="175"/>
        <v>0</v>
      </c>
      <c r="X124" s="78">
        <f t="shared" si="175"/>
        <v>15.44858320710742</v>
      </c>
      <c r="Y124" s="78">
        <f t="shared" si="175"/>
        <v>0</v>
      </c>
      <c r="Z124" s="78">
        <f t="shared" si="175"/>
        <v>0</v>
      </c>
      <c r="AA124" s="78">
        <f t="shared" si="175"/>
        <v>0</v>
      </c>
      <c r="AB124" s="78">
        <f t="shared" si="175"/>
        <v>0</v>
      </c>
      <c r="AC124" s="78">
        <f t="shared" si="175"/>
        <v>0</v>
      </c>
      <c r="AD124" s="78">
        <f t="shared" si="175"/>
        <v>0</v>
      </c>
      <c r="AE124" s="78">
        <f t="shared" si="175"/>
        <v>0</v>
      </c>
      <c r="AF124" s="78">
        <f t="shared" si="175"/>
        <v>0</v>
      </c>
      <c r="AG124" s="78">
        <f t="shared" si="175"/>
        <v>0</v>
      </c>
      <c r="AH124" s="78">
        <f t="shared" si="175"/>
        <v>5.8737470440450839</v>
      </c>
      <c r="AI124" s="78">
        <f t="shared" si="175"/>
        <v>0</v>
      </c>
      <c r="AJ124" s="78">
        <f t="shared" si="175"/>
        <v>0</v>
      </c>
      <c r="AK124" s="78">
        <f t="shared" si="175"/>
        <v>0</v>
      </c>
      <c r="AL124" s="78">
        <f t="shared" si="175"/>
        <v>0</v>
      </c>
      <c r="AM124" s="78">
        <f t="shared" si="175"/>
        <v>0</v>
      </c>
      <c r="AN124" s="78">
        <f t="shared" si="175"/>
        <v>0</v>
      </c>
      <c r="AO124" s="78">
        <f t="shared" si="175"/>
        <v>0</v>
      </c>
      <c r="AP124" s="78">
        <f t="shared" si="175"/>
        <v>0</v>
      </c>
      <c r="AQ124" s="78">
        <f t="shared" si="175"/>
        <v>0</v>
      </c>
      <c r="AR124" s="78">
        <f t="shared" si="175"/>
        <v>2.2332730370740776</v>
      </c>
      <c r="AS124" s="78">
        <f t="shared" si="175"/>
        <v>0</v>
      </c>
      <c r="AT124" s="78">
        <f t="shared" si="175"/>
        <v>0</v>
      </c>
      <c r="AU124" s="78">
        <f t="shared" si="175"/>
        <v>0</v>
      </c>
      <c r="AV124" s="78">
        <f t="shared" si="175"/>
        <v>0</v>
      </c>
      <c r="AW124" s="78">
        <f t="shared" si="175"/>
        <v>0</v>
      </c>
      <c r="AX124" s="78">
        <f t="shared" si="175"/>
        <v>0</v>
      </c>
      <c r="AY124" s="78">
        <f t="shared" si="175"/>
        <v>0</v>
      </c>
      <c r="AZ124" s="78">
        <f t="shared" si="175"/>
        <v>0</v>
      </c>
      <c r="BA124" s="78">
        <f t="shared" si="175"/>
        <v>0</v>
      </c>
      <c r="BB124" s="78">
        <f t="shared" si="175"/>
        <v>0</v>
      </c>
    </row>
    <row r="125" spans="1:54" x14ac:dyDescent="0.25">
      <c r="A125" s="180"/>
      <c r="B125" s="76" t="s">
        <v>645</v>
      </c>
      <c r="C125" s="77" t="s">
        <v>362</v>
      </c>
      <c r="D125" s="76">
        <f>D124</f>
        <v>1231.8110000000001</v>
      </c>
      <c r="E125" s="78">
        <f>E124+D125</f>
        <v>1231.8110000000001</v>
      </c>
      <c r="F125" s="78">
        <f t="shared" ref="F125:BB125" si="176">F124+E125</f>
        <v>1231.8110000000001</v>
      </c>
      <c r="G125" s="78">
        <f t="shared" si="176"/>
        <v>1231.8110000000001</v>
      </c>
      <c r="H125" s="78">
        <f t="shared" si="176"/>
        <v>1231.8110000000001</v>
      </c>
      <c r="I125" s="78">
        <f t="shared" si="176"/>
        <v>1231.8110000000001</v>
      </c>
      <c r="J125" s="78">
        <f t="shared" si="176"/>
        <v>1231.8110000000001</v>
      </c>
      <c r="K125" s="78">
        <f t="shared" si="176"/>
        <v>1231.8110000000001</v>
      </c>
      <c r="L125" s="78">
        <f t="shared" si="176"/>
        <v>1231.8110000000001</v>
      </c>
      <c r="M125" s="78">
        <f t="shared" si="176"/>
        <v>1231.8110000000001</v>
      </c>
      <c r="N125" s="78">
        <f t="shared" si="176"/>
        <v>1272.4424268076762</v>
      </c>
      <c r="O125" s="78">
        <f t="shared" si="176"/>
        <v>1272.4424268076762</v>
      </c>
      <c r="P125" s="78">
        <f t="shared" si="176"/>
        <v>1272.4424268076762</v>
      </c>
      <c r="Q125" s="78">
        <f t="shared" si="176"/>
        <v>1272.4424268076762</v>
      </c>
      <c r="R125" s="78">
        <f t="shared" si="176"/>
        <v>1272.4424268076762</v>
      </c>
      <c r="S125" s="78">
        <f t="shared" si="176"/>
        <v>1272.4424268076762</v>
      </c>
      <c r="T125" s="78">
        <f t="shared" si="176"/>
        <v>1272.4424268076762</v>
      </c>
      <c r="U125" s="78">
        <f t="shared" si="176"/>
        <v>1272.4424268076762</v>
      </c>
      <c r="V125" s="78">
        <f t="shared" si="176"/>
        <v>1272.4424268076762</v>
      </c>
      <c r="W125" s="78">
        <f t="shared" si="176"/>
        <v>1272.4424268076762</v>
      </c>
      <c r="X125" s="78">
        <f t="shared" si="176"/>
        <v>1287.8910100147837</v>
      </c>
      <c r="Y125" s="78">
        <f t="shared" si="176"/>
        <v>1287.8910100147837</v>
      </c>
      <c r="Z125" s="78">
        <f t="shared" si="176"/>
        <v>1287.8910100147837</v>
      </c>
      <c r="AA125" s="78">
        <f t="shared" si="176"/>
        <v>1287.8910100147837</v>
      </c>
      <c r="AB125" s="78">
        <f t="shared" si="176"/>
        <v>1287.8910100147837</v>
      </c>
      <c r="AC125" s="78">
        <f t="shared" si="176"/>
        <v>1287.8910100147837</v>
      </c>
      <c r="AD125" s="78">
        <f t="shared" si="176"/>
        <v>1287.8910100147837</v>
      </c>
      <c r="AE125" s="78">
        <f t="shared" si="176"/>
        <v>1287.8910100147837</v>
      </c>
      <c r="AF125" s="78">
        <f t="shared" si="176"/>
        <v>1287.8910100147837</v>
      </c>
      <c r="AG125" s="78">
        <f t="shared" si="176"/>
        <v>1287.8910100147837</v>
      </c>
      <c r="AH125" s="78">
        <f t="shared" si="176"/>
        <v>1293.7647570588288</v>
      </c>
      <c r="AI125" s="78">
        <f t="shared" si="176"/>
        <v>1293.7647570588288</v>
      </c>
      <c r="AJ125" s="78">
        <f t="shared" si="176"/>
        <v>1293.7647570588288</v>
      </c>
      <c r="AK125" s="78">
        <f t="shared" si="176"/>
        <v>1293.7647570588288</v>
      </c>
      <c r="AL125" s="78">
        <f t="shared" si="176"/>
        <v>1293.7647570588288</v>
      </c>
      <c r="AM125" s="78">
        <f t="shared" si="176"/>
        <v>1293.7647570588288</v>
      </c>
      <c r="AN125" s="78">
        <f t="shared" si="176"/>
        <v>1293.7647570588288</v>
      </c>
      <c r="AO125" s="78">
        <f t="shared" si="176"/>
        <v>1293.7647570588288</v>
      </c>
      <c r="AP125" s="78">
        <f t="shared" si="176"/>
        <v>1293.7647570588288</v>
      </c>
      <c r="AQ125" s="78">
        <f t="shared" si="176"/>
        <v>1293.7647570588288</v>
      </c>
      <c r="AR125" s="78">
        <f t="shared" si="176"/>
        <v>1295.9980300959028</v>
      </c>
      <c r="AS125" s="78">
        <f t="shared" si="176"/>
        <v>1295.9980300959028</v>
      </c>
      <c r="AT125" s="78">
        <f t="shared" si="176"/>
        <v>1295.9980300959028</v>
      </c>
      <c r="AU125" s="78">
        <f t="shared" si="176"/>
        <v>1295.9980300959028</v>
      </c>
      <c r="AV125" s="78">
        <f t="shared" si="176"/>
        <v>1295.9980300959028</v>
      </c>
      <c r="AW125" s="78">
        <f t="shared" si="176"/>
        <v>1295.9980300959028</v>
      </c>
      <c r="AX125" s="78">
        <f t="shared" si="176"/>
        <v>1295.9980300959028</v>
      </c>
      <c r="AY125" s="78">
        <f t="shared" si="176"/>
        <v>1295.9980300959028</v>
      </c>
      <c r="AZ125" s="78">
        <f t="shared" si="176"/>
        <v>1295.9980300959028</v>
      </c>
      <c r="BA125" s="78">
        <f t="shared" si="176"/>
        <v>1295.9980300959028</v>
      </c>
      <c r="BB125" s="78">
        <f t="shared" si="176"/>
        <v>1295.9980300959028</v>
      </c>
    </row>
    <row r="126" spans="1:54" x14ac:dyDescent="0.25">
      <c r="A126" s="180"/>
      <c r="B126" s="80" t="s">
        <v>361</v>
      </c>
      <c r="C126" s="81" t="s">
        <v>362</v>
      </c>
      <c r="D126" s="92">
        <f>SUM(D124:BB124)</f>
        <v>1295.9980300959028</v>
      </c>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row>
    <row r="127" spans="1:54" x14ac:dyDescent="0.25">
      <c r="A127" s="177" t="s">
        <v>549</v>
      </c>
      <c r="B127" t="s">
        <v>363</v>
      </c>
      <c r="C127" s="72" t="s">
        <v>362</v>
      </c>
      <c r="D127" s="18">
        <f>ATR_WALL!B30</f>
        <v>-702.23759999999993</v>
      </c>
      <c r="E127">
        <v>0</v>
      </c>
      <c r="F127">
        <v>0</v>
      </c>
      <c r="G127">
        <v>0</v>
      </c>
      <c r="H127">
        <v>0</v>
      </c>
      <c r="I127">
        <v>0</v>
      </c>
      <c r="J127">
        <v>0</v>
      </c>
      <c r="K127">
        <v>0</v>
      </c>
      <c r="L127">
        <v>0</v>
      </c>
      <c r="M127">
        <v>0</v>
      </c>
      <c r="N127">
        <f>-ATR_WALL!$B$27*(1+$C$1)^N$176</f>
        <v>-206.61960895969281</v>
      </c>
      <c r="O127">
        <v>0</v>
      </c>
      <c r="P127">
        <v>0</v>
      </c>
      <c r="Q127">
        <v>0</v>
      </c>
      <c r="R127">
        <v>0</v>
      </c>
      <c r="S127">
        <v>0</v>
      </c>
      <c r="T127">
        <v>0</v>
      </c>
      <c r="U127">
        <v>0</v>
      </c>
      <c r="V127">
        <v>0</v>
      </c>
      <c r="W127">
        <v>0</v>
      </c>
      <c r="X127">
        <f>-ATR_WALL!$B$27*(1+$C$1)^X$176</f>
        <v>-317.81655951593393</v>
      </c>
      <c r="Y127">
        <v>0</v>
      </c>
      <c r="Z127">
        <v>0</v>
      </c>
      <c r="AA127">
        <v>0</v>
      </c>
      <c r="AB127">
        <v>0</v>
      </c>
      <c r="AC127">
        <v>0</v>
      </c>
      <c r="AD127">
        <v>0</v>
      </c>
      <c r="AE127">
        <v>0</v>
      </c>
      <c r="AF127">
        <v>0</v>
      </c>
      <c r="AG127">
        <v>0</v>
      </c>
      <c r="AH127">
        <f>-ATR_WALL!$B$27*(1+$C$1)^AH$176</f>
        <v>-488.85662890906741</v>
      </c>
      <c r="AI127">
        <v>0</v>
      </c>
      <c r="AJ127">
        <v>0</v>
      </c>
      <c r="AK127">
        <v>0</v>
      </c>
      <c r="AL127">
        <v>0</v>
      </c>
      <c r="AM127">
        <v>0</v>
      </c>
      <c r="AN127">
        <v>0</v>
      </c>
      <c r="AO127">
        <v>0</v>
      </c>
      <c r="AP127">
        <v>0</v>
      </c>
      <c r="AQ127">
        <v>0</v>
      </c>
      <c r="AR127">
        <f>-ATR_WALL!$B$27*(1+$C$1)^AR$176</f>
        <v>-751.9457261519949</v>
      </c>
      <c r="AS127">
        <v>0</v>
      </c>
      <c r="AT127">
        <v>0</v>
      </c>
      <c r="AU127">
        <v>0</v>
      </c>
      <c r="AV127">
        <v>0</v>
      </c>
      <c r="AW127">
        <v>0</v>
      </c>
      <c r="AX127">
        <v>0</v>
      </c>
      <c r="AY127">
        <v>0</v>
      </c>
      <c r="AZ127">
        <v>0</v>
      </c>
      <c r="BA127">
        <v>0</v>
      </c>
      <c r="BB127">
        <v>0</v>
      </c>
    </row>
    <row r="128" spans="1:54" x14ac:dyDescent="0.25">
      <c r="A128" s="177"/>
      <c r="B128" t="s">
        <v>356</v>
      </c>
      <c r="C128" s="72" t="s">
        <v>362</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row>
    <row r="129" spans="1:54" x14ac:dyDescent="0.25">
      <c r="A129" s="177"/>
      <c r="B129" t="s">
        <v>357</v>
      </c>
      <c r="C129" s="72" t="s">
        <v>362</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row>
    <row r="130" spans="1:54" x14ac:dyDescent="0.25">
      <c r="A130" s="177"/>
      <c r="B130" t="s">
        <v>358</v>
      </c>
      <c r="C130" s="72" t="s">
        <v>362</v>
      </c>
      <c r="D130">
        <f>SUM(D127:D129)</f>
        <v>-702.23759999999993</v>
      </c>
      <c r="E130" s="18">
        <f t="shared" ref="E130:BB130" si="177">SUM(E127:E129)</f>
        <v>0</v>
      </c>
      <c r="F130" s="18">
        <f t="shared" si="177"/>
        <v>0</v>
      </c>
      <c r="G130" s="18">
        <f t="shared" si="177"/>
        <v>0</v>
      </c>
      <c r="H130" s="18">
        <f t="shared" si="177"/>
        <v>0</v>
      </c>
      <c r="I130" s="18">
        <f t="shared" si="177"/>
        <v>0</v>
      </c>
      <c r="J130" s="18">
        <f t="shared" si="177"/>
        <v>0</v>
      </c>
      <c r="K130" s="18">
        <f t="shared" si="177"/>
        <v>0</v>
      </c>
      <c r="L130" s="18">
        <f t="shared" si="177"/>
        <v>0</v>
      </c>
      <c r="M130" s="18">
        <f t="shared" si="177"/>
        <v>0</v>
      </c>
      <c r="N130" s="18">
        <f t="shared" si="177"/>
        <v>-206.61960895969281</v>
      </c>
      <c r="O130" s="18">
        <f t="shared" si="177"/>
        <v>0</v>
      </c>
      <c r="P130" s="18">
        <f t="shared" si="177"/>
        <v>0</v>
      </c>
      <c r="Q130" s="18">
        <f t="shared" si="177"/>
        <v>0</v>
      </c>
      <c r="R130" s="18">
        <f t="shared" si="177"/>
        <v>0</v>
      </c>
      <c r="S130" s="18">
        <f t="shared" si="177"/>
        <v>0</v>
      </c>
      <c r="T130" s="18">
        <f t="shared" si="177"/>
        <v>0</v>
      </c>
      <c r="U130" s="18">
        <f t="shared" si="177"/>
        <v>0</v>
      </c>
      <c r="V130" s="18">
        <f t="shared" si="177"/>
        <v>0</v>
      </c>
      <c r="W130" s="18">
        <f t="shared" si="177"/>
        <v>0</v>
      </c>
      <c r="X130" s="18">
        <f t="shared" si="177"/>
        <v>-317.81655951593393</v>
      </c>
      <c r="Y130" s="18">
        <f t="shared" si="177"/>
        <v>0</v>
      </c>
      <c r="Z130" s="18">
        <f t="shared" si="177"/>
        <v>0</v>
      </c>
      <c r="AA130" s="18">
        <f t="shared" si="177"/>
        <v>0</v>
      </c>
      <c r="AB130" s="18">
        <f t="shared" si="177"/>
        <v>0</v>
      </c>
      <c r="AC130" s="18">
        <f t="shared" si="177"/>
        <v>0</v>
      </c>
      <c r="AD130" s="18">
        <f t="shared" si="177"/>
        <v>0</v>
      </c>
      <c r="AE130" s="18">
        <f t="shared" si="177"/>
        <v>0</v>
      </c>
      <c r="AF130" s="18">
        <f t="shared" si="177"/>
        <v>0</v>
      </c>
      <c r="AG130" s="18">
        <f t="shared" si="177"/>
        <v>0</v>
      </c>
      <c r="AH130" s="18">
        <f t="shared" si="177"/>
        <v>-488.85662890906741</v>
      </c>
      <c r="AI130" s="18">
        <f t="shared" si="177"/>
        <v>0</v>
      </c>
      <c r="AJ130" s="18">
        <f t="shared" si="177"/>
        <v>0</v>
      </c>
      <c r="AK130" s="18">
        <f t="shared" si="177"/>
        <v>0</v>
      </c>
      <c r="AL130" s="18">
        <f t="shared" si="177"/>
        <v>0</v>
      </c>
      <c r="AM130" s="18">
        <f t="shared" si="177"/>
        <v>0</v>
      </c>
      <c r="AN130" s="18">
        <f t="shared" si="177"/>
        <v>0</v>
      </c>
      <c r="AO130" s="18">
        <f t="shared" si="177"/>
        <v>0</v>
      </c>
      <c r="AP130" s="18">
        <f t="shared" si="177"/>
        <v>0</v>
      </c>
      <c r="AQ130" s="18">
        <f t="shared" si="177"/>
        <v>0</v>
      </c>
      <c r="AR130" s="18">
        <f t="shared" si="177"/>
        <v>-751.9457261519949</v>
      </c>
      <c r="AS130" s="18">
        <f t="shared" si="177"/>
        <v>0</v>
      </c>
      <c r="AT130" s="18">
        <f t="shared" si="177"/>
        <v>0</v>
      </c>
      <c r="AU130" s="18">
        <f t="shared" si="177"/>
        <v>0</v>
      </c>
      <c r="AV130" s="18">
        <f t="shared" si="177"/>
        <v>0</v>
      </c>
      <c r="AW130" s="18">
        <f t="shared" si="177"/>
        <v>0</v>
      </c>
      <c r="AX130" s="18">
        <f t="shared" si="177"/>
        <v>0</v>
      </c>
      <c r="AY130" s="18">
        <f t="shared" si="177"/>
        <v>0</v>
      </c>
      <c r="AZ130" s="18">
        <f t="shared" si="177"/>
        <v>0</v>
      </c>
      <c r="BA130" s="18">
        <f t="shared" si="177"/>
        <v>0</v>
      </c>
      <c r="BB130" s="18">
        <f t="shared" si="177"/>
        <v>0</v>
      </c>
    </row>
    <row r="131" spans="1:54" x14ac:dyDescent="0.25">
      <c r="A131" s="177"/>
      <c r="B131" t="s">
        <v>359</v>
      </c>
      <c r="C131" s="72"/>
      <c r="D131">
        <f t="shared" ref="D131:AI131" si="178">(1+$C$2)^D$176</f>
        <v>1</v>
      </c>
      <c r="E131" s="40">
        <f t="shared" si="178"/>
        <v>1.1499999999999999</v>
      </c>
      <c r="F131" s="40">
        <f t="shared" si="178"/>
        <v>1.3224999999999998</v>
      </c>
      <c r="G131" s="40">
        <f t="shared" si="178"/>
        <v>1.5208749999999995</v>
      </c>
      <c r="H131" s="40">
        <f t="shared" si="178"/>
        <v>1.7490062499999994</v>
      </c>
      <c r="I131" s="40">
        <f t="shared" si="178"/>
        <v>2.0113571874999994</v>
      </c>
      <c r="J131" s="40">
        <f t="shared" si="178"/>
        <v>2.3130607656249991</v>
      </c>
      <c r="K131" s="40">
        <f t="shared" si="178"/>
        <v>2.6600198804687483</v>
      </c>
      <c r="L131" s="40">
        <f t="shared" si="178"/>
        <v>3.0590228625390603</v>
      </c>
      <c r="M131" s="40">
        <f t="shared" si="178"/>
        <v>3.5178762919199191</v>
      </c>
      <c r="N131" s="40">
        <f t="shared" si="178"/>
        <v>4.0455577357079067</v>
      </c>
      <c r="O131" s="40">
        <f t="shared" si="178"/>
        <v>4.6523913960640924</v>
      </c>
      <c r="P131" s="40">
        <f t="shared" si="178"/>
        <v>5.3502501054737053</v>
      </c>
      <c r="Q131" s="40">
        <f t="shared" si="178"/>
        <v>6.1527876212947614</v>
      </c>
      <c r="R131" s="40">
        <f t="shared" si="178"/>
        <v>7.0757057644889754</v>
      </c>
      <c r="S131" s="40">
        <f t="shared" si="178"/>
        <v>8.1370616291623197</v>
      </c>
      <c r="T131" s="40">
        <f t="shared" si="178"/>
        <v>9.3576208735366659</v>
      </c>
      <c r="U131" s="40">
        <f t="shared" si="178"/>
        <v>10.761264004567165</v>
      </c>
      <c r="V131" s="40">
        <f t="shared" si="178"/>
        <v>12.375453605252238</v>
      </c>
      <c r="W131" s="40">
        <f t="shared" si="178"/>
        <v>14.231771646040073</v>
      </c>
      <c r="X131" s="40">
        <f t="shared" si="178"/>
        <v>16.366537392946082</v>
      </c>
      <c r="Y131" s="40">
        <f t="shared" si="178"/>
        <v>18.821518001887995</v>
      </c>
      <c r="Z131" s="40">
        <f t="shared" si="178"/>
        <v>21.644745702171193</v>
      </c>
      <c r="AA131" s="40">
        <f t="shared" si="178"/>
        <v>24.891457557496867</v>
      </c>
      <c r="AB131" s="40">
        <f t="shared" si="178"/>
        <v>28.625176191121394</v>
      </c>
      <c r="AC131" s="40">
        <f t="shared" si="178"/>
        <v>32.9189526197896</v>
      </c>
      <c r="AD131" s="40">
        <f t="shared" si="178"/>
        <v>37.85679551275804</v>
      </c>
      <c r="AE131" s="40">
        <f t="shared" si="178"/>
        <v>43.535314839671742</v>
      </c>
      <c r="AF131" s="40">
        <f t="shared" si="178"/>
        <v>50.065612065622496</v>
      </c>
      <c r="AG131" s="40">
        <f t="shared" si="178"/>
        <v>57.575453875465868</v>
      </c>
      <c r="AH131" s="40">
        <f t="shared" si="178"/>
        <v>66.211771956785753</v>
      </c>
      <c r="AI131" s="40">
        <f t="shared" si="178"/>
        <v>76.143537750303594</v>
      </c>
      <c r="AJ131" s="40">
        <f t="shared" ref="AJ131:BB131" si="179">(1+$C$2)^AJ$176</f>
        <v>87.565068412849115</v>
      </c>
      <c r="AK131" s="40">
        <f t="shared" si="179"/>
        <v>100.69982867477647</v>
      </c>
      <c r="AL131" s="40">
        <f t="shared" si="179"/>
        <v>115.80480297599294</v>
      </c>
      <c r="AM131" s="40">
        <f t="shared" si="179"/>
        <v>133.17552342239185</v>
      </c>
      <c r="AN131" s="40">
        <f t="shared" si="179"/>
        <v>153.15185193575064</v>
      </c>
      <c r="AO131" s="40">
        <f t="shared" si="179"/>
        <v>176.12462972611323</v>
      </c>
      <c r="AP131" s="40">
        <f t="shared" si="179"/>
        <v>202.5433241850302</v>
      </c>
      <c r="AQ131" s="40">
        <f t="shared" si="179"/>
        <v>232.92482281278467</v>
      </c>
      <c r="AR131" s="40">
        <f t="shared" si="179"/>
        <v>267.86354623470237</v>
      </c>
      <c r="AS131" s="40">
        <f t="shared" si="179"/>
        <v>308.04307816990769</v>
      </c>
      <c r="AT131" s="40">
        <f t="shared" si="179"/>
        <v>354.24953989539381</v>
      </c>
      <c r="AU131" s="40">
        <f t="shared" si="179"/>
        <v>407.38697087970286</v>
      </c>
      <c r="AV131" s="40">
        <f t="shared" si="179"/>
        <v>468.49501651165821</v>
      </c>
      <c r="AW131" s="40">
        <f t="shared" si="179"/>
        <v>538.76926898840691</v>
      </c>
      <c r="AX131" s="40">
        <f t="shared" si="179"/>
        <v>619.58465933666798</v>
      </c>
      <c r="AY131" s="40">
        <f t="shared" si="179"/>
        <v>712.52235823716796</v>
      </c>
      <c r="AZ131" s="40">
        <f t="shared" si="179"/>
        <v>819.40071197274301</v>
      </c>
      <c r="BA131" s="40">
        <f t="shared" si="179"/>
        <v>942.31081876865449</v>
      </c>
      <c r="BB131" s="40">
        <f t="shared" si="179"/>
        <v>1083.6574415839525</v>
      </c>
    </row>
    <row r="132" spans="1:54" x14ac:dyDescent="0.25">
      <c r="A132" s="177"/>
      <c r="B132" t="s">
        <v>360</v>
      </c>
      <c r="C132" s="72" t="s">
        <v>362</v>
      </c>
      <c r="D132">
        <f>D130/D131</f>
        <v>-702.23759999999993</v>
      </c>
      <c r="E132" s="18">
        <f>E130/E131</f>
        <v>0</v>
      </c>
      <c r="F132" s="18">
        <f>F130/F131</f>
        <v>0</v>
      </c>
      <c r="G132" s="18">
        <f t="shared" ref="G132:BB132" si="180">G130/G131</f>
        <v>0</v>
      </c>
      <c r="H132" s="18">
        <f t="shared" si="180"/>
        <v>0</v>
      </c>
      <c r="I132" s="18">
        <f t="shared" si="180"/>
        <v>0</v>
      </c>
      <c r="J132" s="18">
        <f t="shared" si="180"/>
        <v>0</v>
      </c>
      <c r="K132" s="18">
        <f t="shared" si="180"/>
        <v>0</v>
      </c>
      <c r="L132" s="18">
        <f t="shared" si="180"/>
        <v>0</v>
      </c>
      <c r="M132" s="18">
        <f t="shared" si="180"/>
        <v>0</v>
      </c>
      <c r="N132" s="18">
        <f t="shared" si="180"/>
        <v>-51.073207319716509</v>
      </c>
      <c r="O132" s="18">
        <f t="shared" si="180"/>
        <v>0</v>
      </c>
      <c r="P132" s="18">
        <f t="shared" si="180"/>
        <v>0</v>
      </c>
      <c r="Q132" s="18">
        <f t="shared" si="180"/>
        <v>0</v>
      </c>
      <c r="R132" s="18">
        <f t="shared" si="180"/>
        <v>0</v>
      </c>
      <c r="S132" s="18">
        <f t="shared" si="180"/>
        <v>0</v>
      </c>
      <c r="T132" s="18">
        <f t="shared" si="180"/>
        <v>0</v>
      </c>
      <c r="U132" s="18">
        <f t="shared" si="180"/>
        <v>0</v>
      </c>
      <c r="V132" s="18">
        <f t="shared" si="180"/>
        <v>0</v>
      </c>
      <c r="W132" s="18">
        <f t="shared" si="180"/>
        <v>0</v>
      </c>
      <c r="X132" s="18">
        <f t="shared" si="180"/>
        <v>-19.418680438350492</v>
      </c>
      <c r="Y132" s="18">
        <f t="shared" si="180"/>
        <v>0</v>
      </c>
      <c r="Z132" s="18">
        <f t="shared" si="180"/>
        <v>0</v>
      </c>
      <c r="AA132" s="18">
        <f t="shared" si="180"/>
        <v>0</v>
      </c>
      <c r="AB132" s="18">
        <f t="shared" si="180"/>
        <v>0</v>
      </c>
      <c r="AC132" s="18">
        <f t="shared" si="180"/>
        <v>0</v>
      </c>
      <c r="AD132" s="18">
        <f t="shared" si="180"/>
        <v>0</v>
      </c>
      <c r="AE132" s="18">
        <f t="shared" si="180"/>
        <v>0</v>
      </c>
      <c r="AF132" s="18">
        <f t="shared" si="180"/>
        <v>0</v>
      </c>
      <c r="AG132" s="18">
        <f t="shared" si="180"/>
        <v>0</v>
      </c>
      <c r="AH132" s="18">
        <f t="shared" si="180"/>
        <v>-7.3832283061104009</v>
      </c>
      <c r="AI132" s="18">
        <f t="shared" si="180"/>
        <v>0</v>
      </c>
      <c r="AJ132" s="18">
        <f t="shared" si="180"/>
        <v>0</v>
      </c>
      <c r="AK132" s="18">
        <f t="shared" si="180"/>
        <v>0</v>
      </c>
      <c r="AL132" s="18">
        <f t="shared" si="180"/>
        <v>0</v>
      </c>
      <c r="AM132" s="18">
        <f t="shared" si="180"/>
        <v>0</v>
      </c>
      <c r="AN132" s="18">
        <f t="shared" si="180"/>
        <v>0</v>
      </c>
      <c r="AO132" s="18">
        <f t="shared" si="180"/>
        <v>0</v>
      </c>
      <c r="AP132" s="18">
        <f t="shared" si="180"/>
        <v>0</v>
      </c>
      <c r="AQ132" s="18">
        <f t="shared" si="180"/>
        <v>0</v>
      </c>
      <c r="AR132" s="18">
        <f t="shared" si="180"/>
        <v>-2.8071969356111603</v>
      </c>
      <c r="AS132" s="18">
        <f t="shared" si="180"/>
        <v>0</v>
      </c>
      <c r="AT132" s="18">
        <f t="shared" si="180"/>
        <v>0</v>
      </c>
      <c r="AU132" s="18">
        <f t="shared" si="180"/>
        <v>0</v>
      </c>
      <c r="AV132" s="18">
        <f t="shared" si="180"/>
        <v>0</v>
      </c>
      <c r="AW132" s="18">
        <f t="shared" si="180"/>
        <v>0</v>
      </c>
      <c r="AX132" s="18">
        <f t="shared" si="180"/>
        <v>0</v>
      </c>
      <c r="AY132" s="18">
        <f t="shared" si="180"/>
        <v>0</v>
      </c>
      <c r="AZ132" s="18">
        <f t="shared" si="180"/>
        <v>0</v>
      </c>
      <c r="BA132" s="18">
        <f t="shared" si="180"/>
        <v>0</v>
      </c>
      <c r="BB132" s="18">
        <f t="shared" si="180"/>
        <v>0</v>
      </c>
    </row>
    <row r="133" spans="1:54" x14ac:dyDescent="0.25">
      <c r="A133" s="177"/>
      <c r="B133" s="76" t="s">
        <v>645</v>
      </c>
      <c r="C133" s="77" t="s">
        <v>362</v>
      </c>
      <c r="D133" s="76">
        <f>D132</f>
        <v>-702.23759999999993</v>
      </c>
      <c r="E133" s="78">
        <f>E132+D133</f>
        <v>-702.23759999999993</v>
      </c>
      <c r="F133" s="78">
        <f t="shared" ref="F133:BB133" si="181">F132+E133</f>
        <v>-702.23759999999993</v>
      </c>
      <c r="G133" s="78">
        <f t="shared" si="181"/>
        <v>-702.23759999999993</v>
      </c>
      <c r="H133" s="78">
        <f t="shared" si="181"/>
        <v>-702.23759999999993</v>
      </c>
      <c r="I133" s="78">
        <f t="shared" si="181"/>
        <v>-702.23759999999993</v>
      </c>
      <c r="J133" s="78">
        <f t="shared" si="181"/>
        <v>-702.23759999999993</v>
      </c>
      <c r="K133" s="78">
        <f t="shared" si="181"/>
        <v>-702.23759999999993</v>
      </c>
      <c r="L133" s="78">
        <f t="shared" si="181"/>
        <v>-702.23759999999993</v>
      </c>
      <c r="M133" s="78">
        <f t="shared" si="181"/>
        <v>-702.23759999999993</v>
      </c>
      <c r="N133" s="78">
        <f t="shared" si="181"/>
        <v>-753.31080731971645</v>
      </c>
      <c r="O133" s="78">
        <f t="shared" si="181"/>
        <v>-753.31080731971645</v>
      </c>
      <c r="P133" s="78">
        <f t="shared" si="181"/>
        <v>-753.31080731971645</v>
      </c>
      <c r="Q133" s="78">
        <f t="shared" si="181"/>
        <v>-753.31080731971645</v>
      </c>
      <c r="R133" s="78">
        <f t="shared" si="181"/>
        <v>-753.31080731971645</v>
      </c>
      <c r="S133" s="78">
        <f t="shared" si="181"/>
        <v>-753.31080731971645</v>
      </c>
      <c r="T133" s="78">
        <f t="shared" si="181"/>
        <v>-753.31080731971645</v>
      </c>
      <c r="U133" s="78">
        <f t="shared" si="181"/>
        <v>-753.31080731971645</v>
      </c>
      <c r="V133" s="78">
        <f t="shared" si="181"/>
        <v>-753.31080731971645</v>
      </c>
      <c r="W133" s="78">
        <f t="shared" si="181"/>
        <v>-753.31080731971645</v>
      </c>
      <c r="X133" s="78">
        <f t="shared" si="181"/>
        <v>-772.72948775806697</v>
      </c>
      <c r="Y133" s="78">
        <f t="shared" si="181"/>
        <v>-772.72948775806697</v>
      </c>
      <c r="Z133" s="78">
        <f t="shared" si="181"/>
        <v>-772.72948775806697</v>
      </c>
      <c r="AA133" s="78">
        <f t="shared" si="181"/>
        <v>-772.72948775806697</v>
      </c>
      <c r="AB133" s="78">
        <f t="shared" si="181"/>
        <v>-772.72948775806697</v>
      </c>
      <c r="AC133" s="78">
        <f t="shared" si="181"/>
        <v>-772.72948775806697</v>
      </c>
      <c r="AD133" s="78">
        <f t="shared" si="181"/>
        <v>-772.72948775806697</v>
      </c>
      <c r="AE133" s="78">
        <f t="shared" si="181"/>
        <v>-772.72948775806697</v>
      </c>
      <c r="AF133" s="78">
        <f t="shared" si="181"/>
        <v>-772.72948775806697</v>
      </c>
      <c r="AG133" s="78">
        <f t="shared" si="181"/>
        <v>-772.72948775806697</v>
      </c>
      <c r="AH133" s="78">
        <f t="shared" si="181"/>
        <v>-780.11271606417733</v>
      </c>
      <c r="AI133" s="78">
        <f t="shared" si="181"/>
        <v>-780.11271606417733</v>
      </c>
      <c r="AJ133" s="78">
        <f t="shared" si="181"/>
        <v>-780.11271606417733</v>
      </c>
      <c r="AK133" s="78">
        <f t="shared" si="181"/>
        <v>-780.11271606417733</v>
      </c>
      <c r="AL133" s="78">
        <f t="shared" si="181"/>
        <v>-780.11271606417733</v>
      </c>
      <c r="AM133" s="78">
        <f t="shared" si="181"/>
        <v>-780.11271606417733</v>
      </c>
      <c r="AN133" s="78">
        <f t="shared" si="181"/>
        <v>-780.11271606417733</v>
      </c>
      <c r="AO133" s="78">
        <f t="shared" si="181"/>
        <v>-780.11271606417733</v>
      </c>
      <c r="AP133" s="78">
        <f t="shared" si="181"/>
        <v>-780.11271606417733</v>
      </c>
      <c r="AQ133" s="78">
        <f t="shared" si="181"/>
        <v>-780.11271606417733</v>
      </c>
      <c r="AR133" s="78">
        <f t="shared" si="181"/>
        <v>-782.91991299978849</v>
      </c>
      <c r="AS133" s="78">
        <f t="shared" si="181"/>
        <v>-782.91991299978849</v>
      </c>
      <c r="AT133" s="78">
        <f t="shared" si="181"/>
        <v>-782.91991299978849</v>
      </c>
      <c r="AU133" s="78">
        <f t="shared" si="181"/>
        <v>-782.91991299978849</v>
      </c>
      <c r="AV133" s="78">
        <f t="shared" si="181"/>
        <v>-782.91991299978849</v>
      </c>
      <c r="AW133" s="78">
        <f t="shared" si="181"/>
        <v>-782.91991299978849</v>
      </c>
      <c r="AX133" s="78">
        <f t="shared" si="181"/>
        <v>-782.91991299978849</v>
      </c>
      <c r="AY133" s="78">
        <f t="shared" si="181"/>
        <v>-782.91991299978849</v>
      </c>
      <c r="AZ133" s="78">
        <f t="shared" si="181"/>
        <v>-782.91991299978849</v>
      </c>
      <c r="BA133" s="78">
        <f t="shared" si="181"/>
        <v>-782.91991299978849</v>
      </c>
      <c r="BB133" s="78">
        <f t="shared" si="181"/>
        <v>-782.91991299978849</v>
      </c>
    </row>
    <row r="134" spans="1:54" x14ac:dyDescent="0.25">
      <c r="A134" s="177"/>
      <c r="B134" s="22" t="s">
        <v>361</v>
      </c>
      <c r="C134" s="75" t="s">
        <v>362</v>
      </c>
      <c r="D134" s="93">
        <f>SUM(D132:BB132)</f>
        <v>-782.91991299978849</v>
      </c>
    </row>
    <row r="135" spans="1:54" x14ac:dyDescent="0.25">
      <c r="A135" s="180" t="s">
        <v>579</v>
      </c>
      <c r="B135" s="76" t="s">
        <v>363</v>
      </c>
      <c r="C135" s="77" t="s">
        <v>362</v>
      </c>
      <c r="D135" s="78">
        <f t="shared" ref="D135:BB135" si="182">D7+D15+D23+D31+D39+D47+D79+D111+D119+D127</f>
        <v>-11399.832850000001</v>
      </c>
      <c r="E135" s="78">
        <f t="shared" si="182"/>
        <v>0</v>
      </c>
      <c r="F135" s="78">
        <f t="shared" si="182"/>
        <v>0</v>
      </c>
      <c r="G135" s="78">
        <f t="shared" si="182"/>
        <v>0</v>
      </c>
      <c r="H135" s="78">
        <f t="shared" si="182"/>
        <v>0</v>
      </c>
      <c r="I135" s="78">
        <f t="shared" si="182"/>
        <v>-15.5028843174528</v>
      </c>
      <c r="J135" s="78">
        <f t="shared" si="182"/>
        <v>0</v>
      </c>
      <c r="K135" s="78">
        <f t="shared" si="182"/>
        <v>0</v>
      </c>
      <c r="L135" s="78">
        <f t="shared" si="182"/>
        <v>0</v>
      </c>
      <c r="M135" s="78">
        <f t="shared" si="182"/>
        <v>0</v>
      </c>
      <c r="N135" s="78">
        <f t="shared" si="182"/>
        <v>-15123.705958650142</v>
      </c>
      <c r="O135" s="78">
        <f t="shared" si="182"/>
        <v>0</v>
      </c>
      <c r="P135" s="78">
        <f t="shared" si="182"/>
        <v>0</v>
      </c>
      <c r="Q135" s="78">
        <f t="shared" si="182"/>
        <v>0</v>
      </c>
      <c r="R135" s="78">
        <f t="shared" si="182"/>
        <v>0</v>
      </c>
      <c r="S135" s="78">
        <f t="shared" si="182"/>
        <v>-23.846107255519719</v>
      </c>
      <c r="T135" s="78">
        <f t="shared" si="182"/>
        <v>-727.34213583866369</v>
      </c>
      <c r="U135" s="78">
        <f t="shared" si="182"/>
        <v>0</v>
      </c>
      <c r="V135" s="78">
        <f t="shared" si="182"/>
        <v>0</v>
      </c>
      <c r="W135" s="78">
        <f t="shared" si="182"/>
        <v>0</v>
      </c>
      <c r="X135" s="78">
        <f t="shared" si="182"/>
        <v>-23262.865606557592</v>
      </c>
      <c r="Y135" s="78">
        <f t="shared" si="182"/>
        <v>0</v>
      </c>
      <c r="Z135" s="78">
        <f t="shared" si="182"/>
        <v>0</v>
      </c>
      <c r="AA135" s="78">
        <f t="shared" si="182"/>
        <v>0</v>
      </c>
      <c r="AB135" s="78">
        <f t="shared" si="182"/>
        <v>0</v>
      </c>
      <c r="AC135" s="78">
        <f t="shared" si="182"/>
        <v>-12907.378535696387</v>
      </c>
      <c r="AD135" s="78">
        <f t="shared" si="182"/>
        <v>0</v>
      </c>
      <c r="AE135" s="78">
        <f t="shared" si="182"/>
        <v>0</v>
      </c>
      <c r="AF135" s="78">
        <f t="shared" si="182"/>
        <v>0</v>
      </c>
      <c r="AG135" s="78">
        <f t="shared" si="182"/>
        <v>0</v>
      </c>
      <c r="AH135" s="78">
        <f t="shared" si="182"/>
        <v>-30869.27331518057</v>
      </c>
      <c r="AI135" s="78">
        <f t="shared" si="182"/>
        <v>0</v>
      </c>
      <c r="AJ135" s="78">
        <f t="shared" si="182"/>
        <v>-1448.5941472243949</v>
      </c>
      <c r="AK135" s="78">
        <f t="shared" si="182"/>
        <v>0</v>
      </c>
      <c r="AL135" s="78">
        <f t="shared" si="182"/>
        <v>0</v>
      </c>
      <c r="AM135" s="78">
        <f t="shared" si="182"/>
        <v>-56.419270485656206</v>
      </c>
      <c r="AN135" s="78">
        <f t="shared" si="182"/>
        <v>0</v>
      </c>
      <c r="AO135" s="78">
        <f t="shared" si="182"/>
        <v>0</v>
      </c>
      <c r="AP135" s="78">
        <f t="shared" si="182"/>
        <v>0</v>
      </c>
      <c r="AQ135" s="78">
        <f t="shared" si="182"/>
        <v>0</v>
      </c>
      <c r="AR135" s="78">
        <f t="shared" si="182"/>
        <v>-78830.126613242683</v>
      </c>
      <c r="AS135" s="78">
        <f t="shared" si="182"/>
        <v>0</v>
      </c>
      <c r="AT135" s="78">
        <f t="shared" si="182"/>
        <v>0</v>
      </c>
      <c r="AU135" s="78">
        <f t="shared" si="182"/>
        <v>0</v>
      </c>
      <c r="AV135" s="78">
        <f t="shared" si="182"/>
        <v>0</v>
      </c>
      <c r="AW135" s="78">
        <f t="shared" si="182"/>
        <v>-86.782559150269662</v>
      </c>
      <c r="AX135" s="78">
        <f t="shared" si="182"/>
        <v>0</v>
      </c>
      <c r="AY135" s="78">
        <f t="shared" si="182"/>
        <v>0</v>
      </c>
      <c r="AZ135" s="78">
        <f t="shared" si="182"/>
        <v>0</v>
      </c>
      <c r="BA135" s="78">
        <f t="shared" si="182"/>
        <v>0</v>
      </c>
      <c r="BB135" s="78">
        <f t="shared" si="182"/>
        <v>-107.63039802233088</v>
      </c>
    </row>
    <row r="136" spans="1:54" x14ac:dyDescent="0.25">
      <c r="A136" s="180"/>
      <c r="B136" s="76" t="s">
        <v>356</v>
      </c>
      <c r="C136" s="77" t="s">
        <v>362</v>
      </c>
      <c r="D136" s="76">
        <v>0</v>
      </c>
      <c r="E136" s="78">
        <f>ABS('Annual Calculations'!$Q$18)*(1+$C$3)^E$176</f>
        <v>520.88507970673879</v>
      </c>
      <c r="F136" s="78">
        <f>ABS('Annual Calculations'!$Q$18)*(1+$C$3)^F$176</f>
        <v>543.80402321383531</v>
      </c>
      <c r="G136" s="78">
        <f>ABS('Annual Calculations'!$Q$18)*(1+$C$3)^G$176</f>
        <v>567.73140023524422</v>
      </c>
      <c r="H136" s="78">
        <f>ABS('Annual Calculations'!$Q$18)*(1+$C$3)^H$176</f>
        <v>592.71158184559488</v>
      </c>
      <c r="I136" s="78">
        <f>ABS('Annual Calculations'!$Q$18)*(1+$C$3)^I$176</f>
        <v>618.79089144680097</v>
      </c>
      <c r="J136" s="78">
        <f>ABS('Annual Calculations'!$Q$18)*(1+$C$3)^J$176</f>
        <v>646.0176906704603</v>
      </c>
      <c r="K136" s="78">
        <f>ABS('Annual Calculations'!$Q$18)*(1+$C$3)^K$176</f>
        <v>674.44246905996067</v>
      </c>
      <c r="L136" s="78">
        <f>ABS('Annual Calculations'!$Q$18)*(1+$C$3)^L$176</f>
        <v>704.11793769859889</v>
      </c>
      <c r="M136" s="78">
        <f>ABS('Annual Calculations'!$Q$18)*(1+$C$3)^M$176</f>
        <v>735.09912695733726</v>
      </c>
      <c r="N136" s="78">
        <f>ABS('Annual Calculations'!$Q$18)*(1+$C$3)^N$176</f>
        <v>767.44348854346015</v>
      </c>
      <c r="O136" s="78">
        <f>ABS('Annual Calculations'!$Q$18)*(1+$C$3)^O$176</f>
        <v>801.21100203937249</v>
      </c>
      <c r="P136" s="78">
        <f>ABS('Annual Calculations'!$Q$18)*(1+$C$3)^P$176</f>
        <v>836.46428612910483</v>
      </c>
      <c r="Q136" s="78">
        <f>ABS('Annual Calculations'!$Q$18)*(1+$C$3)^Q$176</f>
        <v>873.2687147187853</v>
      </c>
      <c r="R136" s="78">
        <f>ABS('Annual Calculations'!$Q$18)*(1+$C$3)^R$176</f>
        <v>911.69253816641196</v>
      </c>
      <c r="S136" s="78">
        <f>ABS('Annual Calculations'!$Q$18)*(1+$C$3)^S$176</f>
        <v>951.80700984573423</v>
      </c>
      <c r="T136" s="78">
        <f>ABS('Annual Calculations'!$Q$18)*(1+$C$3)^T$176</f>
        <v>993.68651827894644</v>
      </c>
      <c r="U136" s="78">
        <f>ABS('Annual Calculations'!$Q$18)*(1+$C$3)^U$176</f>
        <v>1037.4087250832199</v>
      </c>
      <c r="V136" s="78">
        <f>ABS('Annual Calculations'!$Q$18)*(1+$C$3)^V$176</f>
        <v>1083.0547089868819</v>
      </c>
      <c r="W136" s="78">
        <f>ABS('Annual Calculations'!$Q$18)*(1+$C$3)^W$176</f>
        <v>1130.7091161823048</v>
      </c>
      <c r="X136" s="78">
        <f>ABS('Annual Calculations'!$Q$18)*(1+$C$3)^X$176</f>
        <v>1180.4603172943262</v>
      </c>
      <c r="Y136" s="78">
        <f>ABS('Annual Calculations'!$Q$18)*(1+$C$3)^Y$176</f>
        <v>1232.4005712552764</v>
      </c>
      <c r="Z136" s="78">
        <f>ABS('Annual Calculations'!$Q$18)*(1+$C$3)^Z$176</f>
        <v>1286.6261963905088</v>
      </c>
      <c r="AA136" s="78">
        <f>ABS('Annual Calculations'!$Q$18)*(1+$C$3)^AA$176</f>
        <v>1343.2377490316912</v>
      </c>
      <c r="AB136" s="78">
        <f>ABS('Annual Calculations'!$Q$18)*(1+$C$3)^AB$176</f>
        <v>1402.3402099890855</v>
      </c>
      <c r="AC136" s="78">
        <f>ABS('Annual Calculations'!$Q$18)*(1+$C$3)^AC$176</f>
        <v>1464.0431792286054</v>
      </c>
      <c r="AD136" s="78">
        <f>ABS('Annual Calculations'!$Q$18)*(1+$C$3)^AD$176</f>
        <v>1528.461079114664</v>
      </c>
      <c r="AE136" s="78">
        <f>ABS('Annual Calculations'!$Q$18)*(1+$C$3)^AE$176</f>
        <v>1595.7133665957092</v>
      </c>
      <c r="AF136" s="78">
        <f>ABS('Annual Calculations'!$Q$18)*(1+$C$3)^AF$176</f>
        <v>1665.9247547259204</v>
      </c>
      <c r="AG136" s="78">
        <f>ABS('Annual Calculations'!$Q$18)*(1+$C$3)^AG$176</f>
        <v>1739.2254439338608</v>
      </c>
      <c r="AH136" s="78">
        <f>ABS('Annual Calculations'!$Q$18)*(1+$C$3)^AH$176</f>
        <v>1815.7513634669508</v>
      </c>
      <c r="AI136" s="78">
        <f>ABS('Annual Calculations'!$Q$18)*(1+$C$3)^AI$176</f>
        <v>1895.6444234594969</v>
      </c>
      <c r="AJ136" s="78">
        <f>ABS('Annual Calculations'!$Q$18)*(1+$C$3)^AJ$176</f>
        <v>1979.0527780917146</v>
      </c>
      <c r="AK136" s="78">
        <f>ABS('Annual Calculations'!$Q$18)*(1+$C$3)^AK$176</f>
        <v>2066.1311003277501</v>
      </c>
      <c r="AL136" s="78">
        <f>ABS('Annual Calculations'!$Q$18)*(1+$C$3)^AL$176</f>
        <v>2157.0408687421709</v>
      </c>
      <c r="AM136" s="78">
        <f>ABS('Annual Calculations'!$Q$18)*(1+$C$3)^AM$176</f>
        <v>2251.9506669668267</v>
      </c>
      <c r="AN136" s="78">
        <f>ABS('Annual Calculations'!$Q$18)*(1+$C$3)^AN$176</f>
        <v>2351.0364963133675</v>
      </c>
      <c r="AO136" s="78">
        <f>ABS('Annual Calculations'!$Q$18)*(1+$C$3)^AO$176</f>
        <v>2454.4821021511552</v>
      </c>
      <c r="AP136" s="78">
        <f>ABS('Annual Calculations'!$Q$18)*(1+$C$3)^AP$176</f>
        <v>2562.4793146458064</v>
      </c>
      <c r="AQ136" s="78">
        <f>ABS('Annual Calculations'!$Q$18)*(1+$C$3)^AQ$176</f>
        <v>2675.2284044902221</v>
      </c>
      <c r="AR136" s="78">
        <f>ABS('Annual Calculations'!$Q$18)*(1+$C$3)^AR$176</f>
        <v>2792.9384542877915</v>
      </c>
      <c r="AS136" s="78">
        <f>ABS('Annual Calculations'!$Q$18)*(1+$C$3)^AS$176</f>
        <v>2915.8277462764545</v>
      </c>
      <c r="AT136" s="78">
        <f>ABS('Annual Calculations'!$Q$18)*(1+$C$3)^AT$176</f>
        <v>3044.1241671126186</v>
      </c>
      <c r="AU136" s="78">
        <f>ABS('Annual Calculations'!$Q$18)*(1+$C$3)^AU$176</f>
        <v>3178.0656304655745</v>
      </c>
      <c r="AV136" s="78">
        <f>ABS('Annual Calculations'!$Q$18)*(1+$C$3)^AV$176</f>
        <v>3317.9005182060596</v>
      </c>
      <c r="AW136" s="78">
        <f>ABS('Annual Calculations'!$Q$18)*(1+$C$3)^AW$176</f>
        <v>3463.8881410071258</v>
      </c>
      <c r="AX136" s="78">
        <f>ABS('Annual Calculations'!$Q$18)*(1+$C$3)^AX$176</f>
        <v>3616.2992192114393</v>
      </c>
      <c r="AY136" s="78">
        <f>ABS('Annual Calculations'!$Q$18)*(1+$C$3)^AY$176</f>
        <v>3775.4163848567432</v>
      </c>
      <c r="AZ136" s="78">
        <f>ABS('Annual Calculations'!$Q$18)*(1+$C$3)^AZ$176</f>
        <v>3941.5347057904396</v>
      </c>
      <c r="BA136" s="78">
        <f>ABS('Annual Calculations'!$Q$18)*(1+$C$3)^BA$176</f>
        <v>4114.9622328452188</v>
      </c>
      <c r="BB136" s="78">
        <f>ABS('Annual Calculations'!$Q$18)*(1+$C$3)^BB$176</f>
        <v>4296.0205710904092</v>
      </c>
    </row>
    <row r="137" spans="1:54" x14ac:dyDescent="0.25">
      <c r="A137" s="180"/>
      <c r="B137" s="76" t="s">
        <v>357</v>
      </c>
      <c r="C137" s="77" t="s">
        <v>362</v>
      </c>
      <c r="D137" s="76">
        <v>0</v>
      </c>
      <c r="E137" s="78">
        <f>-'Annual Calculations'!$L$33*(1+$C$3)^E$176</f>
        <v>604.7106100000002</v>
      </c>
      <c r="F137" s="78">
        <f>-'Annual Calculations'!$L$33*(1+$C$3)^F$176</f>
        <v>631.31787684000017</v>
      </c>
      <c r="G137" s="78">
        <f>-'Annual Calculations'!$L$33*(1+$C$3)^G$176</f>
        <v>659.0958634209602</v>
      </c>
      <c r="H137" s="78">
        <f>-'Annual Calculations'!$L$33*(1+$C$3)^H$176</f>
        <v>688.09608141148237</v>
      </c>
      <c r="I137" s="78">
        <f>-'Annual Calculations'!$L$33*(1+$C$3)^I$176</f>
        <v>718.37230899358758</v>
      </c>
      <c r="J137" s="78">
        <f>-'Annual Calculations'!$L$33*(1+$C$3)^J$176</f>
        <v>749.9806905893056</v>
      </c>
      <c r="K137" s="78">
        <f>-'Annual Calculations'!$L$33*(1+$C$3)^K$176</f>
        <v>782.97984097523511</v>
      </c>
      <c r="L137" s="78">
        <f>-'Annual Calculations'!$L$33*(1+$C$3)^L$176</f>
        <v>817.43095397814534</v>
      </c>
      <c r="M137" s="78">
        <f>-'Annual Calculations'!$L$33*(1+$C$3)^M$176</f>
        <v>853.39791595318388</v>
      </c>
      <c r="N137" s="78">
        <f>-'Annual Calculations'!$L$33*(1+$C$3)^N$176</f>
        <v>890.94742425512391</v>
      </c>
      <c r="O137" s="78">
        <f>-'Annual Calculations'!$L$33*(1+$C$3)^O$176</f>
        <v>930.14911092234945</v>
      </c>
      <c r="P137" s="78">
        <f>-'Annual Calculations'!$L$33*(1+$C$3)^P$176</f>
        <v>971.07567180293279</v>
      </c>
      <c r="Q137" s="78">
        <f>-'Annual Calculations'!$L$33*(1+$C$3)^Q$176</f>
        <v>1013.8030013622617</v>
      </c>
      <c r="R137" s="78">
        <f>-'Annual Calculations'!$L$33*(1+$C$3)^R$176</f>
        <v>1058.4103334222013</v>
      </c>
      <c r="S137" s="78">
        <f>-'Annual Calculations'!$L$33*(1+$C$3)^S$176</f>
        <v>1104.9803880927784</v>
      </c>
      <c r="T137" s="78">
        <f>-'Annual Calculations'!$L$33*(1+$C$3)^T$176</f>
        <v>1153.5995251688605</v>
      </c>
      <c r="U137" s="78">
        <f>-'Annual Calculations'!$L$33*(1+$C$3)^U$176</f>
        <v>1204.3579042762904</v>
      </c>
      <c r="V137" s="78">
        <f>-'Annual Calculations'!$L$33*(1+$C$3)^V$176</f>
        <v>1257.3496520644474</v>
      </c>
      <c r="W137" s="78">
        <f>-'Annual Calculations'!$L$33*(1+$C$3)^W$176</f>
        <v>1312.673036755283</v>
      </c>
      <c r="X137" s="78">
        <f>-'Annual Calculations'!$L$33*(1+$C$3)^X$176</f>
        <v>1370.4306503725154</v>
      </c>
      <c r="Y137" s="78">
        <f>-'Annual Calculations'!$L$33*(1+$C$3)^Y$176</f>
        <v>1430.729598988906</v>
      </c>
      <c r="Z137" s="78">
        <f>-'Annual Calculations'!$L$33*(1+$C$3)^Z$176</f>
        <v>1493.6817013444181</v>
      </c>
      <c r="AA137" s="78">
        <f>-'Annual Calculations'!$L$33*(1+$C$3)^AA$176</f>
        <v>1559.4036962035725</v>
      </c>
      <c r="AB137" s="78">
        <f>-'Annual Calculations'!$L$33*(1+$C$3)^AB$176</f>
        <v>1628.0174588365298</v>
      </c>
      <c r="AC137" s="78">
        <f>-'Annual Calculations'!$L$33*(1+$C$3)^AC$176</f>
        <v>1699.650227025337</v>
      </c>
      <c r="AD137" s="78">
        <f>-'Annual Calculations'!$L$33*(1+$C$3)^AD$176</f>
        <v>1774.4348370144519</v>
      </c>
      <c r="AE137" s="78">
        <f>-'Annual Calculations'!$L$33*(1+$C$3)^AE$176</f>
        <v>1852.5099698430879</v>
      </c>
      <c r="AF137" s="78">
        <f>-'Annual Calculations'!$L$33*(1+$C$3)^AF$176</f>
        <v>1934.0204085161836</v>
      </c>
      <c r="AG137" s="78">
        <f>-'Annual Calculations'!$L$33*(1+$C$3)^AG$176</f>
        <v>2019.1173064908955</v>
      </c>
      <c r="AH137" s="78">
        <f>-'Annual Calculations'!$L$33*(1+$C$3)^AH$176</f>
        <v>2107.9584679764953</v>
      </c>
      <c r="AI137" s="78">
        <f>-'Annual Calculations'!$L$33*(1+$C$3)^AI$176</f>
        <v>2200.7086405674613</v>
      </c>
      <c r="AJ137" s="78">
        <f>-'Annual Calculations'!$L$33*(1+$C$3)^AJ$176</f>
        <v>2297.5398207524295</v>
      </c>
      <c r="AK137" s="78">
        <f>-'Annual Calculations'!$L$33*(1+$C$3)^AK$176</f>
        <v>2398.6315728655368</v>
      </c>
      <c r="AL137" s="78">
        <f>-'Annual Calculations'!$L$33*(1+$C$3)^AL$176</f>
        <v>2504.17136207162</v>
      </c>
      <c r="AM137" s="78">
        <f>-'Annual Calculations'!$L$33*(1+$C$3)^AM$176</f>
        <v>2614.3549020027713</v>
      </c>
      <c r="AN137" s="78">
        <f>-'Annual Calculations'!$L$33*(1+$C$3)^AN$176</f>
        <v>2729.3865176908935</v>
      </c>
      <c r="AO137" s="78">
        <f>-'Annual Calculations'!$L$33*(1+$C$3)^AO$176</f>
        <v>2849.4795244692928</v>
      </c>
      <c r="AP137" s="78">
        <f>-'Annual Calculations'!$L$33*(1+$C$3)^AP$176</f>
        <v>2974.8566235459416</v>
      </c>
      <c r="AQ137" s="78">
        <f>-'Annual Calculations'!$L$33*(1+$C$3)^AQ$176</f>
        <v>3105.7503149819636</v>
      </c>
      <c r="AR137" s="78">
        <f>-'Annual Calculations'!$L$33*(1+$C$3)^AR$176</f>
        <v>3242.4033288411692</v>
      </c>
      <c r="AS137" s="78">
        <f>-'Annual Calculations'!$L$33*(1+$C$3)^AS$176</f>
        <v>3385.0690753101812</v>
      </c>
      <c r="AT137" s="78">
        <f>-'Annual Calculations'!$L$33*(1+$C$3)^AT$176</f>
        <v>3534.0121146238293</v>
      </c>
      <c r="AU137" s="78">
        <f>-'Annual Calculations'!$L$33*(1+$C$3)^AU$176</f>
        <v>3689.5086476672782</v>
      </c>
      <c r="AV137" s="78">
        <f>-'Annual Calculations'!$L$33*(1+$C$3)^AV$176</f>
        <v>3851.8470281646382</v>
      </c>
      <c r="AW137" s="78">
        <f>-'Annual Calculations'!$L$33*(1+$C$3)^AW$176</f>
        <v>4021.3282974038821</v>
      </c>
      <c r="AX137" s="78">
        <f>-'Annual Calculations'!$L$33*(1+$C$3)^AX$176</f>
        <v>4198.2667424896526</v>
      </c>
      <c r="AY137" s="78">
        <f>-'Annual Calculations'!$L$33*(1+$C$3)^AY$176</f>
        <v>4382.990479159198</v>
      </c>
      <c r="AZ137" s="78">
        <f>-'Annual Calculations'!$L$33*(1+$C$3)^AZ$176</f>
        <v>4575.8420602422029</v>
      </c>
      <c r="BA137" s="78">
        <f>-'Annual Calculations'!$L$33*(1+$C$3)^BA$176</f>
        <v>4777.1791108928601</v>
      </c>
      <c r="BB137" s="78">
        <f>-'Annual Calculations'!$L$33*(1+$C$3)^BB$176</f>
        <v>4987.3749917721461</v>
      </c>
    </row>
    <row r="138" spans="1:54" x14ac:dyDescent="0.25">
      <c r="A138" s="180"/>
      <c r="B138" s="76" t="s">
        <v>358</v>
      </c>
      <c r="C138" s="77" t="s">
        <v>362</v>
      </c>
      <c r="D138" s="78">
        <f>SUM(D135:D137)</f>
        <v>-11399.832850000001</v>
      </c>
      <c r="E138" s="78">
        <f>SUM(E135:E137)</f>
        <v>1125.595689706739</v>
      </c>
      <c r="F138" s="78">
        <f t="shared" ref="F138:BB138" si="183">SUM(F135:F137)</f>
        <v>1175.1219000538354</v>
      </c>
      <c r="G138" s="78">
        <f t="shared" si="183"/>
        <v>1226.8272636562044</v>
      </c>
      <c r="H138" s="78">
        <f t="shared" si="183"/>
        <v>1280.8076632570774</v>
      </c>
      <c r="I138" s="78">
        <f t="shared" si="183"/>
        <v>1321.6603161229359</v>
      </c>
      <c r="J138" s="78">
        <f t="shared" si="183"/>
        <v>1395.9983812597659</v>
      </c>
      <c r="K138" s="78">
        <f t="shared" si="183"/>
        <v>1457.4223100351958</v>
      </c>
      <c r="L138" s="78">
        <f t="shared" si="183"/>
        <v>1521.5488916767442</v>
      </c>
      <c r="M138" s="78">
        <f t="shared" si="183"/>
        <v>1588.497042910521</v>
      </c>
      <c r="N138" s="78">
        <f t="shared" si="183"/>
        <v>-13465.315045851557</v>
      </c>
      <c r="O138" s="78">
        <f t="shared" si="183"/>
        <v>1731.3601129617218</v>
      </c>
      <c r="P138" s="78">
        <f t="shared" si="183"/>
        <v>1807.5399579320376</v>
      </c>
      <c r="Q138" s="78">
        <f t="shared" si="183"/>
        <v>1887.071716081047</v>
      </c>
      <c r="R138" s="78">
        <f t="shared" si="183"/>
        <v>1970.1028715886132</v>
      </c>
      <c r="S138" s="78">
        <f t="shared" si="183"/>
        <v>2032.941290682993</v>
      </c>
      <c r="T138" s="78">
        <f t="shared" si="183"/>
        <v>1419.9439076091433</v>
      </c>
      <c r="U138" s="78">
        <f t="shared" si="183"/>
        <v>2241.7666293595103</v>
      </c>
      <c r="V138" s="78">
        <f t="shared" si="183"/>
        <v>2340.404361051329</v>
      </c>
      <c r="W138" s="78">
        <f t="shared" si="183"/>
        <v>2443.3821529375878</v>
      </c>
      <c r="X138" s="78">
        <f t="shared" si="183"/>
        <v>-20711.974638890752</v>
      </c>
      <c r="Y138" s="78">
        <f t="shared" si="183"/>
        <v>2663.1301702441824</v>
      </c>
      <c r="Z138" s="78">
        <f t="shared" si="183"/>
        <v>2780.3078977349269</v>
      </c>
      <c r="AA138" s="78">
        <f t="shared" si="183"/>
        <v>2902.6414452352637</v>
      </c>
      <c r="AB138" s="78">
        <f t="shared" si="183"/>
        <v>3030.3576688256153</v>
      </c>
      <c r="AC138" s="78">
        <f t="shared" si="183"/>
        <v>-9743.685129442445</v>
      </c>
      <c r="AD138" s="78">
        <f t="shared" si="183"/>
        <v>3302.8959161291159</v>
      </c>
      <c r="AE138" s="78">
        <f t="shared" si="183"/>
        <v>3448.2233364387971</v>
      </c>
      <c r="AF138" s="78">
        <f t="shared" si="183"/>
        <v>3599.9451632421042</v>
      </c>
      <c r="AG138" s="78">
        <f t="shared" si="183"/>
        <v>3758.3427504247566</v>
      </c>
      <c r="AH138" s="78">
        <f t="shared" si="183"/>
        <v>-26945.563483737122</v>
      </c>
      <c r="AI138" s="78">
        <f t="shared" si="183"/>
        <v>4096.3530640269582</v>
      </c>
      <c r="AJ138" s="78">
        <f t="shared" si="183"/>
        <v>2827.9984516197492</v>
      </c>
      <c r="AK138" s="78">
        <f t="shared" si="183"/>
        <v>4464.7626731932869</v>
      </c>
      <c r="AL138" s="78">
        <f t="shared" si="183"/>
        <v>4661.2122308137914</v>
      </c>
      <c r="AM138" s="78">
        <f t="shared" si="183"/>
        <v>4809.8862984839416</v>
      </c>
      <c r="AN138" s="78">
        <f t="shared" si="183"/>
        <v>5080.4230140042609</v>
      </c>
      <c r="AO138" s="78">
        <f t="shared" si="183"/>
        <v>5303.9616266204484</v>
      </c>
      <c r="AP138" s="78">
        <f t="shared" si="183"/>
        <v>5537.335938191748</v>
      </c>
      <c r="AQ138" s="78">
        <f t="shared" si="183"/>
        <v>5780.9787194721857</v>
      </c>
      <c r="AR138" s="78">
        <f t="shared" si="183"/>
        <v>-72794.784830113713</v>
      </c>
      <c r="AS138" s="78">
        <f t="shared" si="183"/>
        <v>6300.8968215866353</v>
      </c>
      <c r="AT138" s="78">
        <f t="shared" si="183"/>
        <v>6578.1362817364479</v>
      </c>
      <c r="AU138" s="78">
        <f t="shared" si="183"/>
        <v>6867.5742781328527</v>
      </c>
      <c r="AV138" s="78">
        <f t="shared" si="183"/>
        <v>7169.7475463706978</v>
      </c>
      <c r="AW138" s="78">
        <f t="shared" si="183"/>
        <v>7398.4338792607377</v>
      </c>
      <c r="AX138" s="78">
        <f t="shared" si="183"/>
        <v>7814.5659617010915</v>
      </c>
      <c r="AY138" s="78">
        <f t="shared" si="183"/>
        <v>8158.4068640159412</v>
      </c>
      <c r="AZ138" s="78">
        <f t="shared" si="183"/>
        <v>8517.376766032643</v>
      </c>
      <c r="BA138" s="78">
        <f t="shared" si="183"/>
        <v>8892.1413437380797</v>
      </c>
      <c r="BB138" s="78">
        <f t="shared" si="183"/>
        <v>9175.7651648402243</v>
      </c>
    </row>
    <row r="139" spans="1:54" x14ac:dyDescent="0.25">
      <c r="A139" s="180"/>
      <c r="B139" s="76" t="s">
        <v>359</v>
      </c>
      <c r="C139" s="77"/>
      <c r="D139" s="76">
        <f t="shared" ref="D139:AI139" si="184">(1+$C$2)^D$176</f>
        <v>1</v>
      </c>
      <c r="E139" s="79">
        <f t="shared" si="184"/>
        <v>1.1499999999999999</v>
      </c>
      <c r="F139" s="79">
        <f t="shared" si="184"/>
        <v>1.3224999999999998</v>
      </c>
      <c r="G139" s="79">
        <f t="shared" si="184"/>
        <v>1.5208749999999995</v>
      </c>
      <c r="H139" s="79">
        <f t="shared" si="184"/>
        <v>1.7490062499999994</v>
      </c>
      <c r="I139" s="79">
        <f t="shared" si="184"/>
        <v>2.0113571874999994</v>
      </c>
      <c r="J139" s="79">
        <f t="shared" si="184"/>
        <v>2.3130607656249991</v>
      </c>
      <c r="K139" s="79">
        <f t="shared" si="184"/>
        <v>2.6600198804687483</v>
      </c>
      <c r="L139" s="79">
        <f t="shared" si="184"/>
        <v>3.0590228625390603</v>
      </c>
      <c r="M139" s="79">
        <f t="shared" si="184"/>
        <v>3.5178762919199191</v>
      </c>
      <c r="N139" s="79">
        <f t="shared" si="184"/>
        <v>4.0455577357079067</v>
      </c>
      <c r="O139" s="79">
        <f t="shared" si="184"/>
        <v>4.6523913960640924</v>
      </c>
      <c r="P139" s="79">
        <f t="shared" si="184"/>
        <v>5.3502501054737053</v>
      </c>
      <c r="Q139" s="79">
        <f t="shared" si="184"/>
        <v>6.1527876212947614</v>
      </c>
      <c r="R139" s="79">
        <f t="shared" si="184"/>
        <v>7.0757057644889754</v>
      </c>
      <c r="S139" s="79">
        <f t="shared" si="184"/>
        <v>8.1370616291623197</v>
      </c>
      <c r="T139" s="79">
        <f t="shared" si="184"/>
        <v>9.3576208735366659</v>
      </c>
      <c r="U139" s="79">
        <f t="shared" si="184"/>
        <v>10.761264004567165</v>
      </c>
      <c r="V139" s="79">
        <f t="shared" si="184"/>
        <v>12.375453605252238</v>
      </c>
      <c r="W139" s="79">
        <f t="shared" si="184"/>
        <v>14.231771646040073</v>
      </c>
      <c r="X139" s="79">
        <f t="shared" si="184"/>
        <v>16.366537392946082</v>
      </c>
      <c r="Y139" s="79">
        <f t="shared" si="184"/>
        <v>18.821518001887995</v>
      </c>
      <c r="Z139" s="79">
        <f t="shared" si="184"/>
        <v>21.644745702171193</v>
      </c>
      <c r="AA139" s="79">
        <f t="shared" si="184"/>
        <v>24.891457557496867</v>
      </c>
      <c r="AB139" s="79">
        <f t="shared" si="184"/>
        <v>28.625176191121394</v>
      </c>
      <c r="AC139" s="79">
        <f t="shared" si="184"/>
        <v>32.9189526197896</v>
      </c>
      <c r="AD139" s="79">
        <f t="shared" si="184"/>
        <v>37.85679551275804</v>
      </c>
      <c r="AE139" s="79">
        <f t="shared" si="184"/>
        <v>43.535314839671742</v>
      </c>
      <c r="AF139" s="79">
        <f t="shared" si="184"/>
        <v>50.065612065622496</v>
      </c>
      <c r="AG139" s="79">
        <f t="shared" si="184"/>
        <v>57.575453875465868</v>
      </c>
      <c r="AH139" s="79">
        <f t="shared" si="184"/>
        <v>66.211771956785753</v>
      </c>
      <c r="AI139" s="79">
        <f t="shared" si="184"/>
        <v>76.143537750303594</v>
      </c>
      <c r="AJ139" s="79">
        <f t="shared" ref="AJ139:BB139" si="185">(1+$C$2)^AJ$176</f>
        <v>87.565068412849115</v>
      </c>
      <c r="AK139" s="79">
        <f t="shared" si="185"/>
        <v>100.69982867477647</v>
      </c>
      <c r="AL139" s="79">
        <f t="shared" si="185"/>
        <v>115.80480297599294</v>
      </c>
      <c r="AM139" s="79">
        <f t="shared" si="185"/>
        <v>133.17552342239185</v>
      </c>
      <c r="AN139" s="79">
        <f t="shared" si="185"/>
        <v>153.15185193575064</v>
      </c>
      <c r="AO139" s="79">
        <f t="shared" si="185"/>
        <v>176.12462972611323</v>
      </c>
      <c r="AP139" s="79">
        <f t="shared" si="185"/>
        <v>202.5433241850302</v>
      </c>
      <c r="AQ139" s="79">
        <f t="shared" si="185"/>
        <v>232.92482281278467</v>
      </c>
      <c r="AR139" s="79">
        <f t="shared" si="185"/>
        <v>267.86354623470237</v>
      </c>
      <c r="AS139" s="79">
        <f t="shared" si="185"/>
        <v>308.04307816990769</v>
      </c>
      <c r="AT139" s="79">
        <f t="shared" si="185"/>
        <v>354.24953989539381</v>
      </c>
      <c r="AU139" s="79">
        <f t="shared" si="185"/>
        <v>407.38697087970286</v>
      </c>
      <c r="AV139" s="79">
        <f t="shared" si="185"/>
        <v>468.49501651165821</v>
      </c>
      <c r="AW139" s="79">
        <f t="shared" si="185"/>
        <v>538.76926898840691</v>
      </c>
      <c r="AX139" s="79">
        <f t="shared" si="185"/>
        <v>619.58465933666798</v>
      </c>
      <c r="AY139" s="79">
        <f t="shared" si="185"/>
        <v>712.52235823716796</v>
      </c>
      <c r="AZ139" s="79">
        <f t="shared" si="185"/>
        <v>819.40071197274301</v>
      </c>
      <c r="BA139" s="79">
        <f t="shared" si="185"/>
        <v>942.31081876865449</v>
      </c>
      <c r="BB139" s="79">
        <f t="shared" si="185"/>
        <v>1083.6574415839525</v>
      </c>
    </row>
    <row r="140" spans="1:54" s="76" customFormat="1" x14ac:dyDescent="0.25">
      <c r="A140" s="180"/>
      <c r="B140" s="76" t="s">
        <v>360</v>
      </c>
      <c r="C140" s="77" t="s">
        <v>362</v>
      </c>
      <c r="D140" s="76">
        <f>D138/D139</f>
        <v>-11399.832850000001</v>
      </c>
      <c r="E140" s="78">
        <f>E138/E139</f>
        <v>978.7788606145557</v>
      </c>
      <c r="F140" s="78">
        <f>F138/F139</f>
        <v>888.56098302747489</v>
      </c>
      <c r="G140" s="78">
        <f t="shared" ref="G140:BB140" si="186">G138/G139</f>
        <v>806.65884024407319</v>
      </c>
      <c r="H140" s="78">
        <f t="shared" si="186"/>
        <v>732.30593844766292</v>
      </c>
      <c r="I140" s="78">
        <f t="shared" si="186"/>
        <v>657.098761143307</v>
      </c>
      <c r="J140" s="78">
        <f t="shared" si="186"/>
        <v>603.52862406645897</v>
      </c>
      <c r="K140" s="78">
        <f t="shared" si="186"/>
        <v>547.8990291525073</v>
      </c>
      <c r="L140" s="78">
        <f t="shared" si="186"/>
        <v>497.39703168279794</v>
      </c>
      <c r="M140" s="78">
        <f t="shared" si="186"/>
        <v>451.55000093638358</v>
      </c>
      <c r="N140" s="78">
        <f t="shared" si="186"/>
        <v>-3328.4199424471558</v>
      </c>
      <c r="O140" s="78">
        <f t="shared" si="186"/>
        <v>372.14412235962061</v>
      </c>
      <c r="P140" s="78">
        <f t="shared" si="186"/>
        <v>337.84214238560349</v>
      </c>
      <c r="Q140" s="78">
        <f t="shared" si="186"/>
        <v>306.7019101309304</v>
      </c>
      <c r="R140" s="78">
        <f t="shared" si="186"/>
        <v>278.43199493625337</v>
      </c>
      <c r="S140" s="78">
        <f t="shared" si="186"/>
        <v>249.83727337115877</v>
      </c>
      <c r="T140" s="78">
        <f t="shared" si="186"/>
        <v>151.74197873572137</v>
      </c>
      <c r="U140" s="78">
        <f t="shared" si="186"/>
        <v>208.31815188328127</v>
      </c>
      <c r="V140" s="78">
        <f t="shared" si="186"/>
        <v>189.11665266621367</v>
      </c>
      <c r="W140" s="78">
        <f t="shared" si="186"/>
        <v>171.68503076828441</v>
      </c>
      <c r="X140" s="78">
        <f t="shared" si="186"/>
        <v>-1265.5074278458885</v>
      </c>
      <c r="Y140" s="78">
        <f t="shared" si="186"/>
        <v>141.49390978862823</v>
      </c>
      <c r="Z140" s="78">
        <f t="shared" si="186"/>
        <v>128.45186245158951</v>
      </c>
      <c r="AA140" s="78">
        <f t="shared" si="186"/>
        <v>116.61195165170388</v>
      </c>
      <c r="AB140" s="78">
        <f t="shared" si="186"/>
        <v>105.86337176032944</v>
      </c>
      <c r="AC140" s="78">
        <f t="shared" si="186"/>
        <v>-295.99013194559899</v>
      </c>
      <c r="AD140" s="78">
        <f t="shared" si="186"/>
        <v>87.247107722469906</v>
      </c>
      <c r="AE140" s="78">
        <f t="shared" si="186"/>
        <v>79.205200401963992</v>
      </c>
      <c r="AF140" s="78">
        <f t="shared" si="186"/>
        <v>71.904547147522109</v>
      </c>
      <c r="AG140" s="78">
        <f t="shared" si="186"/>
        <v>65.276823671315711</v>
      </c>
      <c r="AH140" s="78">
        <f t="shared" si="186"/>
        <v>-406.96031366331056</v>
      </c>
      <c r="AI140" s="78">
        <f t="shared" si="186"/>
        <v>53.797777001904876</v>
      </c>
      <c r="AJ140" s="78">
        <f t="shared" si="186"/>
        <v>32.295965764411768</v>
      </c>
      <c r="AK140" s="78">
        <f t="shared" si="186"/>
        <v>44.337341303854977</v>
      </c>
      <c r="AL140" s="78">
        <f t="shared" si="186"/>
        <v>40.250595061934433</v>
      </c>
      <c r="AM140" s="78">
        <f t="shared" si="186"/>
        <v>36.116894267638507</v>
      </c>
      <c r="AN140" s="78">
        <f t="shared" si="186"/>
        <v>33.172455636615936</v>
      </c>
      <c r="AO140" s="78">
        <f t="shared" si="186"/>
        <v>30.114820595327863</v>
      </c>
      <c r="AP140" s="78">
        <f t="shared" si="186"/>
        <v>27.339019740454166</v>
      </c>
      <c r="AQ140" s="78">
        <f t="shared" si="186"/>
        <v>24.819075312203616</v>
      </c>
      <c r="AR140" s="78">
        <f t="shared" si="186"/>
        <v>-271.76070000331748</v>
      </c>
      <c r="AS140" s="78">
        <f t="shared" si="186"/>
        <v>20.454596347434375</v>
      </c>
      <c r="AT140" s="78">
        <f t="shared" si="186"/>
        <v>18.569216162366516</v>
      </c>
      <c r="AU140" s="78">
        <f t="shared" si="186"/>
        <v>16.857618846530997</v>
      </c>
      <c r="AV140" s="78">
        <f t="shared" si="186"/>
        <v>15.30378615285075</v>
      </c>
      <c r="AW140" s="78">
        <f t="shared" si="186"/>
        <v>13.732100743518716</v>
      </c>
      <c r="AX140" s="78">
        <f t="shared" si="186"/>
        <v>12.612587874702102</v>
      </c>
      <c r="AY140" s="78">
        <f t="shared" si="186"/>
        <v>11.450036296686088</v>
      </c>
      <c r="AZ140" s="78">
        <f t="shared" si="186"/>
        <v>10.394641646730678</v>
      </c>
      <c r="BA140" s="78">
        <f t="shared" si="186"/>
        <v>9.436526851466807</v>
      </c>
      <c r="BB140" s="78">
        <f t="shared" si="186"/>
        <v>8.4674038240610976</v>
      </c>
    </row>
    <row r="141" spans="1:54" s="76" customFormat="1" x14ac:dyDescent="0.25">
      <c r="A141" s="180"/>
      <c r="B141" s="76" t="s">
        <v>645</v>
      </c>
      <c r="C141" s="77" t="s">
        <v>362</v>
      </c>
      <c r="D141" s="76">
        <f>D140</f>
        <v>-11399.832850000001</v>
      </c>
      <c r="E141" s="78">
        <f>E140+D141</f>
        <v>-10421.053989385446</v>
      </c>
      <c r="F141" s="78">
        <f t="shared" ref="F141:BB141" si="187">F140+E141</f>
        <v>-9532.4930063579704</v>
      </c>
      <c r="G141" s="78">
        <f t="shared" si="187"/>
        <v>-8725.8341661138966</v>
      </c>
      <c r="H141" s="78">
        <f t="shared" si="187"/>
        <v>-7993.5282276662338</v>
      </c>
      <c r="I141" s="78">
        <f t="shared" si="187"/>
        <v>-7336.4294665229263</v>
      </c>
      <c r="J141" s="78">
        <f t="shared" si="187"/>
        <v>-6732.9008424564672</v>
      </c>
      <c r="K141" s="78">
        <f t="shared" si="187"/>
        <v>-6185.0018133039603</v>
      </c>
      <c r="L141" s="78">
        <f t="shared" si="187"/>
        <v>-5687.6047816211621</v>
      </c>
      <c r="M141" s="78">
        <f t="shared" si="187"/>
        <v>-5236.054780684779</v>
      </c>
      <c r="N141" s="78">
        <f t="shared" si="187"/>
        <v>-8564.4747231319343</v>
      </c>
      <c r="O141" s="78">
        <f t="shared" si="187"/>
        <v>-8192.3306007723131</v>
      </c>
      <c r="P141" s="78">
        <f t="shared" si="187"/>
        <v>-7854.4884583867097</v>
      </c>
      <c r="Q141" s="78">
        <f t="shared" si="187"/>
        <v>-7547.7865482557791</v>
      </c>
      <c r="R141" s="78">
        <f t="shared" si="187"/>
        <v>-7269.3545533195256</v>
      </c>
      <c r="S141" s="78">
        <f t="shared" si="187"/>
        <v>-7019.5172799483671</v>
      </c>
      <c r="T141" s="78">
        <f t="shared" si="187"/>
        <v>-6867.7753012126459</v>
      </c>
      <c r="U141" s="78">
        <f t="shared" si="187"/>
        <v>-6659.4571493293643</v>
      </c>
      <c r="V141" s="78">
        <f t="shared" si="187"/>
        <v>-6470.3404966631506</v>
      </c>
      <c r="W141" s="78">
        <f t="shared" si="187"/>
        <v>-6298.6554658948662</v>
      </c>
      <c r="X141" s="78">
        <f t="shared" si="187"/>
        <v>-7564.162893740755</v>
      </c>
      <c r="Y141" s="78">
        <f t="shared" si="187"/>
        <v>-7422.6689839521268</v>
      </c>
      <c r="Z141" s="78">
        <f t="shared" si="187"/>
        <v>-7294.2171215005374</v>
      </c>
      <c r="AA141" s="78">
        <f t="shared" si="187"/>
        <v>-7177.6051698488336</v>
      </c>
      <c r="AB141" s="78">
        <f t="shared" si="187"/>
        <v>-7071.7417980885039</v>
      </c>
      <c r="AC141" s="78">
        <f t="shared" si="187"/>
        <v>-7367.7319300341032</v>
      </c>
      <c r="AD141" s="78">
        <f t="shared" si="187"/>
        <v>-7280.4848223116333</v>
      </c>
      <c r="AE141" s="78">
        <f t="shared" si="187"/>
        <v>-7201.279621909669</v>
      </c>
      <c r="AF141" s="78">
        <f t="shared" si="187"/>
        <v>-7129.3750747621471</v>
      </c>
      <c r="AG141" s="78">
        <f t="shared" si="187"/>
        <v>-7064.0982510908316</v>
      </c>
      <c r="AH141" s="78">
        <f t="shared" si="187"/>
        <v>-7471.058564754142</v>
      </c>
      <c r="AI141" s="78">
        <f t="shared" si="187"/>
        <v>-7417.2607877522369</v>
      </c>
      <c r="AJ141" s="78">
        <f t="shared" si="187"/>
        <v>-7384.9648219878254</v>
      </c>
      <c r="AK141" s="78">
        <f t="shared" si="187"/>
        <v>-7340.6274806839701</v>
      </c>
      <c r="AL141" s="78">
        <f t="shared" si="187"/>
        <v>-7300.3768856220358</v>
      </c>
      <c r="AM141" s="78">
        <f t="shared" si="187"/>
        <v>-7264.2599913543972</v>
      </c>
      <c r="AN141" s="78">
        <f t="shared" si="187"/>
        <v>-7231.0875357177811</v>
      </c>
      <c r="AO141" s="78">
        <f t="shared" si="187"/>
        <v>-7200.9727151224533</v>
      </c>
      <c r="AP141" s="78">
        <f t="shared" si="187"/>
        <v>-7173.6336953819991</v>
      </c>
      <c r="AQ141" s="78">
        <f t="shared" si="187"/>
        <v>-7148.8146200697956</v>
      </c>
      <c r="AR141" s="78">
        <f t="shared" si="187"/>
        <v>-7420.5753200731133</v>
      </c>
      <c r="AS141" s="78">
        <f t="shared" si="187"/>
        <v>-7400.1207237256785</v>
      </c>
      <c r="AT141" s="78">
        <f t="shared" si="187"/>
        <v>-7381.551507563312</v>
      </c>
      <c r="AU141" s="78">
        <f t="shared" si="187"/>
        <v>-7364.6938887167807</v>
      </c>
      <c r="AV141" s="78">
        <f t="shared" si="187"/>
        <v>-7349.3901025639298</v>
      </c>
      <c r="AW141" s="78">
        <f t="shared" si="187"/>
        <v>-7335.6580018204113</v>
      </c>
      <c r="AX141" s="78">
        <f t="shared" si="187"/>
        <v>-7323.0454139457088</v>
      </c>
      <c r="AY141" s="78">
        <f t="shared" si="187"/>
        <v>-7311.5953776490223</v>
      </c>
      <c r="AZ141" s="78">
        <f t="shared" si="187"/>
        <v>-7301.2007360022917</v>
      </c>
      <c r="BA141" s="78">
        <f t="shared" si="187"/>
        <v>-7291.7642091508251</v>
      </c>
      <c r="BB141" s="78">
        <f t="shared" si="187"/>
        <v>-7283.2968053267641</v>
      </c>
    </row>
    <row r="142" spans="1:54" s="76" customFormat="1" x14ac:dyDescent="0.25">
      <c r="B142" s="80" t="s">
        <v>361</v>
      </c>
      <c r="C142" s="81" t="s">
        <v>362</v>
      </c>
      <c r="D142" s="92">
        <f>SUM(D140:BB140)</f>
        <v>-7283.2968053267641</v>
      </c>
    </row>
    <row r="143" spans="1:54" s="76" customFormat="1" x14ac:dyDescent="0.25">
      <c r="B143"/>
      <c r="C143" s="70"/>
      <c r="D143"/>
      <c r="E143" s="71"/>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row>
    <row r="144" spans="1:54" s="76" customFormat="1" x14ac:dyDescent="0.25">
      <c r="B144" s="76" t="s">
        <v>646</v>
      </c>
      <c r="C144" s="134" t="s">
        <v>362</v>
      </c>
      <c r="D144" s="76">
        <f>D141*'General variables'!$B$11</f>
        <v>-91198.662800000006</v>
      </c>
      <c r="E144" s="76">
        <f>E141*'General variables'!$B$11</f>
        <v>-83368.431915083565</v>
      </c>
      <c r="F144" s="76">
        <f>F141*'General variables'!$B$11</f>
        <v>-76259.944050863764</v>
      </c>
      <c r="G144" s="76">
        <f>G141*'General variables'!$B$11</f>
        <v>-69806.673328911173</v>
      </c>
      <c r="H144" s="76">
        <f>H141*'General variables'!$B$11</f>
        <v>-63948.22582132987</v>
      </c>
      <c r="I144" s="76">
        <f>I141*'General variables'!$B$11</f>
        <v>-58691.43573218341</v>
      </c>
      <c r="J144" s="76">
        <f>J141*'General variables'!$B$11</f>
        <v>-53863.206739651738</v>
      </c>
      <c r="K144" s="76">
        <f>K141*'General variables'!$B$11</f>
        <v>-49480.014506431682</v>
      </c>
      <c r="L144" s="76">
        <f>L141*'General variables'!$B$11</f>
        <v>-45500.838252969297</v>
      </c>
      <c r="M144" s="76">
        <f>M141*'General variables'!$B$11</f>
        <v>-41888.438245478232</v>
      </c>
      <c r="N144" s="76">
        <f>N141*'General variables'!$B$11</f>
        <v>-68515.797785055474</v>
      </c>
      <c r="O144" s="76">
        <f>O141*'General variables'!$B$11</f>
        <v>-65538.644806178505</v>
      </c>
      <c r="P144" s="76">
        <f>P141*'General variables'!$B$11</f>
        <v>-62835.907667093677</v>
      </c>
      <c r="Q144" s="76">
        <f>Q141*'General variables'!$B$11</f>
        <v>-60382.292386046232</v>
      </c>
      <c r="R144" s="76">
        <f>R141*'General variables'!$B$11</f>
        <v>-58154.836426556205</v>
      </c>
      <c r="S144" s="76">
        <f>S141*'General variables'!$B$11</f>
        <v>-56156.138239586937</v>
      </c>
      <c r="T144" s="76">
        <f>T141*'General variables'!$B$11</f>
        <v>-54942.202409701167</v>
      </c>
      <c r="U144" s="76">
        <f>U141*'General variables'!$B$11</f>
        <v>-53275.657194634914</v>
      </c>
      <c r="V144" s="76">
        <f>V141*'General variables'!$B$11</f>
        <v>-51762.723973305205</v>
      </c>
      <c r="W144" s="76">
        <f>W141*'General variables'!$B$11</f>
        <v>-50389.24372715893</v>
      </c>
      <c r="X144" s="76">
        <f>X141*'General variables'!$B$11</f>
        <v>-60513.30314992604</v>
      </c>
      <c r="Y144" s="76">
        <f>Y141*'General variables'!$B$11</f>
        <v>-59381.351871617015</v>
      </c>
      <c r="Z144" s="76">
        <f>Z141*'General variables'!$B$11</f>
        <v>-58353.736972004299</v>
      </c>
      <c r="AA144" s="76">
        <f>AA141*'General variables'!$B$11</f>
        <v>-57420.841358790669</v>
      </c>
      <c r="AB144" s="76">
        <f>AB141*'General variables'!$B$11</f>
        <v>-56573.934384708031</v>
      </c>
      <c r="AC144" s="76">
        <f>AC141*'General variables'!$B$11</f>
        <v>-58941.855440272826</v>
      </c>
      <c r="AD144" s="76">
        <f>AD141*'General variables'!$B$11</f>
        <v>-58243.878578493066</v>
      </c>
      <c r="AE144" s="76">
        <f>AE141*'General variables'!$B$11</f>
        <v>-57610.236975277352</v>
      </c>
      <c r="AF144" s="76">
        <f>AF141*'General variables'!$B$11</f>
        <v>-57035.000598097176</v>
      </c>
      <c r="AG144" s="76">
        <f>AG141*'General variables'!$B$11</f>
        <v>-56512.786008726653</v>
      </c>
      <c r="AH144" s="76">
        <f>AH141*'General variables'!$B$11</f>
        <v>-59768.468518033136</v>
      </c>
      <c r="AI144" s="76">
        <f>AI141*'General variables'!$B$11</f>
        <v>-59338.086302017895</v>
      </c>
      <c r="AJ144" s="76">
        <f>AJ141*'General variables'!$B$11</f>
        <v>-59079.718575902603</v>
      </c>
      <c r="AK144" s="76">
        <f>AK141*'General variables'!$B$11</f>
        <v>-58725.019845471761</v>
      </c>
      <c r="AL144" s="76">
        <f>AL141*'General variables'!$B$11</f>
        <v>-58403.015084976287</v>
      </c>
      <c r="AM144" s="76">
        <f>AM141*'General variables'!$B$11</f>
        <v>-58114.079930835178</v>
      </c>
      <c r="AN144" s="76">
        <f>AN141*'General variables'!$B$11</f>
        <v>-57848.700285742249</v>
      </c>
      <c r="AO144" s="76">
        <f>AO141*'General variables'!$B$11</f>
        <v>-57607.781720979627</v>
      </c>
      <c r="AP144" s="76">
        <f>AP141*'General variables'!$B$11</f>
        <v>-57389.069563055993</v>
      </c>
      <c r="AQ144" s="76">
        <f>AQ141*'General variables'!$B$11</f>
        <v>-57190.516960558365</v>
      </c>
      <c r="AR144" s="76">
        <f>AR141*'General variables'!$B$11</f>
        <v>-59364.602560584906</v>
      </c>
      <c r="AS144" s="76">
        <f>AS141*'General variables'!$B$11</f>
        <v>-59200.965789805428</v>
      </c>
      <c r="AT144" s="76">
        <f>AT141*'General variables'!$B$11</f>
        <v>-59052.412060506496</v>
      </c>
      <c r="AU144" s="76">
        <f>AU141*'General variables'!$B$11</f>
        <v>-58917.551109734246</v>
      </c>
      <c r="AV144" s="76">
        <f>AV141*'General variables'!$B$11</f>
        <v>-58795.120820511438</v>
      </c>
      <c r="AW144" s="76">
        <f>AW141*'General variables'!$B$11</f>
        <v>-58685.26401456329</v>
      </c>
      <c r="AX144" s="76">
        <f>AX141*'General variables'!$B$11</f>
        <v>-58584.36331156567</v>
      </c>
      <c r="AY144" s="76">
        <f>AY141*'General variables'!$B$11</f>
        <v>-58492.763021192179</v>
      </c>
      <c r="AZ144" s="76">
        <f>AZ141*'General variables'!$B$11</f>
        <v>-58409.605888018334</v>
      </c>
      <c r="BA144" s="76">
        <f>BA141*'General variables'!$B$11</f>
        <v>-58334.113673206601</v>
      </c>
      <c r="BB144" s="76">
        <f>BB141*'General variables'!$B$11</f>
        <v>-58266.374442614113</v>
      </c>
    </row>
    <row r="145" spans="1:54" s="83" customFormat="1" x14ac:dyDescent="0.25">
      <c r="A145" s="179" t="s">
        <v>717</v>
      </c>
      <c r="B145" s="83" t="s">
        <v>363</v>
      </c>
      <c r="C145" s="84" t="s">
        <v>362</v>
      </c>
      <c r="D145" s="85">
        <f>D7+D15+D23+D31+D39+D63+D95+D111+D119+D127</f>
        <v>-9151.0515999999989</v>
      </c>
      <c r="E145" s="85">
        <f t="shared" ref="E145:BB145" si="188">E7+E15+E23+E31+E39+E63+E95+E111+E119+E127</f>
        <v>0</v>
      </c>
      <c r="F145" s="85">
        <f t="shared" si="188"/>
        <v>0</v>
      </c>
      <c r="G145" s="85">
        <f t="shared" si="188"/>
        <v>0</v>
      </c>
      <c r="H145" s="85">
        <f t="shared" si="188"/>
        <v>0</v>
      </c>
      <c r="I145" s="85">
        <f t="shared" si="188"/>
        <v>-15.5028843174528</v>
      </c>
      <c r="J145" s="85">
        <f t="shared" si="188"/>
        <v>0</v>
      </c>
      <c r="K145" s="85">
        <f t="shared" si="188"/>
        <v>0</v>
      </c>
      <c r="L145" s="85">
        <f t="shared" si="188"/>
        <v>0</v>
      </c>
      <c r="M145" s="85">
        <f t="shared" si="188"/>
        <v>0</v>
      </c>
      <c r="N145" s="85">
        <f t="shared" si="188"/>
        <v>-12283.995512354755</v>
      </c>
      <c r="O145" s="85">
        <f t="shared" si="188"/>
        <v>0</v>
      </c>
      <c r="P145" s="85">
        <f t="shared" si="188"/>
        <v>0</v>
      </c>
      <c r="Q145" s="85">
        <f t="shared" si="188"/>
        <v>0</v>
      </c>
      <c r="R145" s="85">
        <f t="shared" si="188"/>
        <v>0</v>
      </c>
      <c r="S145" s="85">
        <f t="shared" si="188"/>
        <v>-23.846107255519719</v>
      </c>
      <c r="T145" s="85">
        <f t="shared" si="188"/>
        <v>-727.34213583866369</v>
      </c>
      <c r="U145" s="85">
        <f t="shared" si="188"/>
        <v>0</v>
      </c>
      <c r="V145" s="85">
        <f t="shared" si="188"/>
        <v>0</v>
      </c>
      <c r="W145" s="85">
        <f t="shared" si="188"/>
        <v>0</v>
      </c>
      <c r="X145" s="85">
        <f t="shared" si="188"/>
        <v>-18894.901652859873</v>
      </c>
      <c r="Y145" s="85">
        <f t="shared" si="188"/>
        <v>0</v>
      </c>
      <c r="Z145" s="85">
        <f t="shared" si="188"/>
        <v>0</v>
      </c>
      <c r="AA145" s="85">
        <f t="shared" si="188"/>
        <v>0</v>
      </c>
      <c r="AB145" s="85">
        <f t="shared" si="188"/>
        <v>0</v>
      </c>
      <c r="AC145" s="85">
        <f t="shared" si="188"/>
        <v>-11736.858521966242</v>
      </c>
      <c r="AD145" s="85">
        <f t="shared" si="188"/>
        <v>0</v>
      </c>
      <c r="AE145" s="85">
        <f t="shared" si="188"/>
        <v>0</v>
      </c>
      <c r="AF145" s="85">
        <f t="shared" si="188"/>
        <v>0</v>
      </c>
      <c r="AG145" s="85">
        <f t="shared" si="188"/>
        <v>0</v>
      </c>
      <c r="AH145" s="85">
        <f t="shared" si="188"/>
        <v>-24150.592146228035</v>
      </c>
      <c r="AI145" s="85">
        <f t="shared" si="188"/>
        <v>0</v>
      </c>
      <c r="AJ145" s="85">
        <f t="shared" si="188"/>
        <v>-1448.5941472243949</v>
      </c>
      <c r="AK145" s="85">
        <f t="shared" si="188"/>
        <v>0</v>
      </c>
      <c r="AL145" s="85">
        <f t="shared" si="188"/>
        <v>0</v>
      </c>
      <c r="AM145" s="85">
        <f t="shared" si="188"/>
        <v>-56.419270485656206</v>
      </c>
      <c r="AN145" s="85">
        <f t="shared" si="188"/>
        <v>0</v>
      </c>
      <c r="AO145" s="85">
        <f t="shared" si="188"/>
        <v>0</v>
      </c>
      <c r="AP145" s="85">
        <f t="shared" si="188"/>
        <v>0</v>
      </c>
      <c r="AQ145" s="85">
        <f t="shared" si="188"/>
        <v>0</v>
      </c>
      <c r="AR145" s="85">
        <f t="shared" si="188"/>
        <v>-68495.637334359461</v>
      </c>
      <c r="AS145" s="85">
        <f t="shared" si="188"/>
        <v>0</v>
      </c>
      <c r="AT145" s="85">
        <f t="shared" si="188"/>
        <v>0</v>
      </c>
      <c r="AU145" s="85">
        <f t="shared" si="188"/>
        <v>0</v>
      </c>
      <c r="AV145" s="85">
        <f t="shared" si="188"/>
        <v>0</v>
      </c>
      <c r="AW145" s="85">
        <f t="shared" si="188"/>
        <v>-86.782559150269662</v>
      </c>
      <c r="AX145" s="85">
        <f t="shared" si="188"/>
        <v>0</v>
      </c>
      <c r="AY145" s="85">
        <f t="shared" si="188"/>
        <v>0</v>
      </c>
      <c r="AZ145" s="85">
        <f t="shared" si="188"/>
        <v>0</v>
      </c>
      <c r="BA145" s="85">
        <f t="shared" si="188"/>
        <v>0</v>
      </c>
      <c r="BB145" s="85">
        <f t="shared" si="188"/>
        <v>-107.63039802233088</v>
      </c>
    </row>
    <row r="146" spans="1:54" s="83" customFormat="1" x14ac:dyDescent="0.25">
      <c r="A146" s="179"/>
      <c r="B146" s="83" t="s">
        <v>356</v>
      </c>
      <c r="C146" s="84" t="s">
        <v>362</v>
      </c>
      <c r="D146" s="83">
        <v>0</v>
      </c>
      <c r="E146" s="85">
        <f>ABS('Annual Calculations'!$Q$19)*(1+$C$3)^E$176</f>
        <v>509.41657750513798</v>
      </c>
      <c r="F146" s="85">
        <f>ABS('Annual Calculations'!$Q$19)*(1+$C$3)^F$176</f>
        <v>531.83090691536404</v>
      </c>
      <c r="G146" s="85">
        <f>ABS('Annual Calculations'!$Q$19)*(1+$C$3)^G$176</f>
        <v>555.2314668196401</v>
      </c>
      <c r="H146" s="85">
        <f>ABS('Annual Calculations'!$Q$19)*(1+$C$3)^H$176</f>
        <v>579.66165135970425</v>
      </c>
      <c r="I146" s="85">
        <f>ABS('Annual Calculations'!$Q$19)*(1+$C$3)^I$176</f>
        <v>605.16676401953123</v>
      </c>
      <c r="J146" s="85">
        <f>ABS('Annual Calculations'!$Q$19)*(1+$C$3)^J$176</f>
        <v>631.79410163639068</v>
      </c>
      <c r="K146" s="85">
        <f>ABS('Annual Calculations'!$Q$19)*(1+$C$3)^K$176</f>
        <v>659.59304210839196</v>
      </c>
      <c r="L146" s="85">
        <f>ABS('Annual Calculations'!$Q$19)*(1+$C$3)^L$176</f>
        <v>688.61513596116117</v>
      </c>
      <c r="M146" s="85">
        <f>ABS('Annual Calculations'!$Q$19)*(1+$C$3)^M$176</f>
        <v>718.91420194345233</v>
      </c>
      <c r="N146" s="85">
        <f>ABS('Annual Calculations'!$Q$19)*(1+$C$3)^N$176</f>
        <v>750.54642682896417</v>
      </c>
      <c r="O146" s="85">
        <f>ABS('Annual Calculations'!$Q$19)*(1+$C$3)^O$176</f>
        <v>783.57046960943876</v>
      </c>
      <c r="P146" s="85">
        <f>ABS('Annual Calculations'!$Q$19)*(1+$C$3)^P$176</f>
        <v>818.04757027225401</v>
      </c>
      <c r="Q146" s="85">
        <f>ABS('Annual Calculations'!$Q$19)*(1+$C$3)^Q$176</f>
        <v>854.04166336423305</v>
      </c>
      <c r="R146" s="85">
        <f>ABS('Annual Calculations'!$Q$19)*(1+$C$3)^R$176</f>
        <v>891.61949655225942</v>
      </c>
      <c r="S146" s="85">
        <f>ABS('Annual Calculations'!$Q$19)*(1+$C$3)^S$176</f>
        <v>930.85075440055891</v>
      </c>
      <c r="T146" s="85">
        <f>ABS('Annual Calculations'!$Q$19)*(1+$C$3)^T$176</f>
        <v>971.80818759418344</v>
      </c>
      <c r="U146" s="85">
        <f>ABS('Annual Calculations'!$Q$19)*(1+$C$3)^U$176</f>
        <v>1014.5677478483275</v>
      </c>
      <c r="V146" s="85">
        <f>ABS('Annual Calculations'!$Q$19)*(1+$C$3)^V$176</f>
        <v>1059.208728753654</v>
      </c>
      <c r="W146" s="85">
        <f>ABS('Annual Calculations'!$Q$19)*(1+$C$3)^W$176</f>
        <v>1105.8139128188147</v>
      </c>
      <c r="X146" s="85">
        <f>ABS('Annual Calculations'!$Q$19)*(1+$C$3)^X$176</f>
        <v>1154.4697249828428</v>
      </c>
      <c r="Y146" s="85">
        <f>ABS('Annual Calculations'!$Q$19)*(1+$C$3)^Y$176</f>
        <v>1205.2663928820875</v>
      </c>
      <c r="Z146" s="85">
        <f>ABS('Annual Calculations'!$Q$19)*(1+$C$3)^Z$176</f>
        <v>1258.2981141688997</v>
      </c>
      <c r="AA146" s="85">
        <f>ABS('Annual Calculations'!$Q$19)*(1+$C$3)^AA$176</f>
        <v>1313.6632311923313</v>
      </c>
      <c r="AB146" s="85">
        <f>ABS('Annual Calculations'!$Q$19)*(1+$C$3)^AB$176</f>
        <v>1371.4644133647939</v>
      </c>
      <c r="AC146" s="85">
        <f>ABS('Annual Calculations'!$Q$19)*(1+$C$3)^AC$176</f>
        <v>1431.8088475528448</v>
      </c>
      <c r="AD146" s="85">
        <f>ABS('Annual Calculations'!$Q$19)*(1+$C$3)^AD$176</f>
        <v>1494.80843684517</v>
      </c>
      <c r="AE146" s="85">
        <f>ABS('Annual Calculations'!$Q$19)*(1+$C$3)^AE$176</f>
        <v>1560.5800080663575</v>
      </c>
      <c r="AF146" s="85">
        <f>ABS('Annual Calculations'!$Q$19)*(1+$C$3)^AF$176</f>
        <v>1629.2455284212772</v>
      </c>
      <c r="AG146" s="85">
        <f>ABS('Annual Calculations'!$Q$19)*(1+$C$3)^AG$176</f>
        <v>1700.9323316718132</v>
      </c>
      <c r="AH146" s="85">
        <f>ABS('Annual Calculations'!$Q$19)*(1+$C$3)^AH$176</f>
        <v>1775.7733542653732</v>
      </c>
      <c r="AI146" s="85">
        <f>ABS('Annual Calculations'!$Q$19)*(1+$C$3)^AI$176</f>
        <v>1853.9073818530501</v>
      </c>
      <c r="AJ146" s="85">
        <f>ABS('Annual Calculations'!$Q$19)*(1+$C$3)^AJ$176</f>
        <v>1935.479306654584</v>
      </c>
      <c r="AK146" s="85">
        <f>ABS('Annual Calculations'!$Q$19)*(1+$C$3)^AK$176</f>
        <v>2020.6403961473859</v>
      </c>
      <c r="AL146" s="85">
        <f>ABS('Annual Calculations'!$Q$19)*(1+$C$3)^AL$176</f>
        <v>2109.5485735778707</v>
      </c>
      <c r="AM146" s="85">
        <f>ABS('Annual Calculations'!$Q$19)*(1+$C$3)^AM$176</f>
        <v>2202.3687108152972</v>
      </c>
      <c r="AN146" s="85">
        <f>ABS('Annual Calculations'!$Q$19)*(1+$C$3)^AN$176</f>
        <v>2299.2729340911706</v>
      </c>
      <c r="AO146" s="85">
        <f>ABS('Annual Calculations'!$Q$19)*(1+$C$3)^AO$176</f>
        <v>2400.4409431911818</v>
      </c>
      <c r="AP146" s="85">
        <f>ABS('Annual Calculations'!$Q$19)*(1+$C$3)^AP$176</f>
        <v>2506.0603446915939</v>
      </c>
      <c r="AQ146" s="85">
        <f>ABS('Annual Calculations'!$Q$19)*(1+$C$3)^AQ$176</f>
        <v>2616.3269998580245</v>
      </c>
      <c r="AR146" s="85">
        <f>ABS('Annual Calculations'!$Q$19)*(1+$C$3)^AR$176</f>
        <v>2731.445387851777</v>
      </c>
      <c r="AS146" s="85">
        <f>ABS('Annual Calculations'!$Q$19)*(1+$C$3)^AS$176</f>
        <v>2851.6289849172558</v>
      </c>
      <c r="AT146" s="85">
        <f>ABS('Annual Calculations'!$Q$19)*(1+$C$3)^AT$176</f>
        <v>2977.1006602536149</v>
      </c>
      <c r="AU146" s="85">
        <f>ABS('Annual Calculations'!$Q$19)*(1+$C$3)^AU$176</f>
        <v>3108.0930893047744</v>
      </c>
      <c r="AV146" s="85">
        <f>ABS('Annual Calculations'!$Q$19)*(1+$C$3)^AV$176</f>
        <v>3244.849185234184</v>
      </c>
      <c r="AW146" s="85">
        <f>ABS('Annual Calculations'!$Q$19)*(1+$C$3)^AW$176</f>
        <v>3387.6225493844881</v>
      </c>
      <c r="AX146" s="85">
        <f>ABS('Annual Calculations'!$Q$19)*(1+$C$3)^AX$176</f>
        <v>3536.6779415574056</v>
      </c>
      <c r="AY146" s="85">
        <f>ABS('Annual Calculations'!$Q$19)*(1+$C$3)^AY$176</f>
        <v>3692.2917709859321</v>
      </c>
      <c r="AZ146" s="85">
        <f>ABS('Annual Calculations'!$Q$19)*(1+$C$3)^AZ$176</f>
        <v>3854.7526089093126</v>
      </c>
      <c r="BA146" s="85">
        <f>ABS('Annual Calculations'!$Q$19)*(1+$C$3)^BA$176</f>
        <v>4024.3617237013227</v>
      </c>
      <c r="BB146" s="85">
        <f>ABS('Annual Calculations'!$Q$19)*(1+$C$3)^BB$176</f>
        <v>4201.4336395441815</v>
      </c>
    </row>
    <row r="147" spans="1:54" s="83" customFormat="1" x14ac:dyDescent="0.25">
      <c r="A147" s="179"/>
      <c r="B147" s="83" t="s">
        <v>357</v>
      </c>
      <c r="C147" s="84" t="s">
        <v>362</v>
      </c>
      <c r="D147" s="83">
        <v>0</v>
      </c>
      <c r="E147" s="85">
        <f>-'Annual Calculations'!$L$33*(1+$C$3)^E$176</f>
        <v>604.7106100000002</v>
      </c>
      <c r="F147" s="85">
        <f>-'Annual Calculations'!$L$33*(1+$C$3)^F$176</f>
        <v>631.31787684000017</v>
      </c>
      <c r="G147" s="85">
        <f>-'Annual Calculations'!$L$33*(1+$C$3)^G$176</f>
        <v>659.0958634209602</v>
      </c>
      <c r="H147" s="85">
        <f>-'Annual Calculations'!$L$33*(1+$C$3)^H$176</f>
        <v>688.09608141148237</v>
      </c>
      <c r="I147" s="85">
        <f>-'Annual Calculations'!$L$33*(1+$C$3)^I$176</f>
        <v>718.37230899358758</v>
      </c>
      <c r="J147" s="85">
        <f>-'Annual Calculations'!$L$33*(1+$C$3)^J$176</f>
        <v>749.9806905893056</v>
      </c>
      <c r="K147" s="85">
        <f>-'Annual Calculations'!$L$33*(1+$C$3)^K$176</f>
        <v>782.97984097523511</v>
      </c>
      <c r="L147" s="85">
        <f>-'Annual Calculations'!$L$33*(1+$C$3)^L$176</f>
        <v>817.43095397814534</v>
      </c>
      <c r="M147" s="85">
        <f>-'Annual Calculations'!$L$33*(1+$C$3)^M$176</f>
        <v>853.39791595318388</v>
      </c>
      <c r="N147" s="85">
        <f>-'Annual Calculations'!$L$33*(1+$C$3)^N$176</f>
        <v>890.94742425512391</v>
      </c>
      <c r="O147" s="85">
        <f>-'Annual Calculations'!$L$33*(1+$C$3)^O$176</f>
        <v>930.14911092234945</v>
      </c>
      <c r="P147" s="85">
        <f>-'Annual Calculations'!$L$33*(1+$C$3)^P$176</f>
        <v>971.07567180293279</v>
      </c>
      <c r="Q147" s="85">
        <f>-'Annual Calculations'!$L$33*(1+$C$3)^Q$176</f>
        <v>1013.8030013622617</v>
      </c>
      <c r="R147" s="85">
        <f>-'Annual Calculations'!$L$33*(1+$C$3)^R$176</f>
        <v>1058.4103334222013</v>
      </c>
      <c r="S147" s="85">
        <f>-'Annual Calculations'!$L$33*(1+$C$3)^S$176</f>
        <v>1104.9803880927784</v>
      </c>
      <c r="T147" s="85">
        <f>-'Annual Calculations'!$L$33*(1+$C$3)^T$176</f>
        <v>1153.5995251688605</v>
      </c>
      <c r="U147" s="85">
        <f>-'Annual Calculations'!$L$33*(1+$C$3)^U$176</f>
        <v>1204.3579042762904</v>
      </c>
      <c r="V147" s="85">
        <f>-'Annual Calculations'!$L$33*(1+$C$3)^V$176</f>
        <v>1257.3496520644474</v>
      </c>
      <c r="W147" s="85">
        <f>-'Annual Calculations'!$L$33*(1+$C$3)^W$176</f>
        <v>1312.673036755283</v>
      </c>
      <c r="X147" s="85">
        <f>-'Annual Calculations'!$L$33*(1+$C$3)^X$176</f>
        <v>1370.4306503725154</v>
      </c>
      <c r="Y147" s="85">
        <f>-'Annual Calculations'!$L$33*(1+$C$3)^Y$176</f>
        <v>1430.729598988906</v>
      </c>
      <c r="Z147" s="85">
        <f>-'Annual Calculations'!$L$33*(1+$C$3)^Z$176</f>
        <v>1493.6817013444181</v>
      </c>
      <c r="AA147" s="85">
        <f>-'Annual Calculations'!$L$33*(1+$C$3)^AA$176</f>
        <v>1559.4036962035725</v>
      </c>
      <c r="AB147" s="85">
        <f>-'Annual Calculations'!$L$33*(1+$C$3)^AB$176</f>
        <v>1628.0174588365298</v>
      </c>
      <c r="AC147" s="85">
        <f>-'Annual Calculations'!$L$33*(1+$C$3)^AC$176</f>
        <v>1699.650227025337</v>
      </c>
      <c r="AD147" s="85">
        <f>-'Annual Calculations'!$L$33*(1+$C$3)^AD$176</f>
        <v>1774.4348370144519</v>
      </c>
      <c r="AE147" s="85">
        <f>-'Annual Calculations'!$L$33*(1+$C$3)^AE$176</f>
        <v>1852.5099698430879</v>
      </c>
      <c r="AF147" s="85">
        <f>-'Annual Calculations'!$L$33*(1+$C$3)^AF$176</f>
        <v>1934.0204085161836</v>
      </c>
      <c r="AG147" s="85">
        <f>-'Annual Calculations'!$L$33*(1+$C$3)^AG$176</f>
        <v>2019.1173064908955</v>
      </c>
      <c r="AH147" s="85">
        <f>-'Annual Calculations'!$L$33*(1+$C$3)^AH$176</f>
        <v>2107.9584679764953</v>
      </c>
      <c r="AI147" s="85">
        <f>-'Annual Calculations'!$L$33*(1+$C$3)^AI$176</f>
        <v>2200.7086405674613</v>
      </c>
      <c r="AJ147" s="85">
        <f>-'Annual Calculations'!$L$33*(1+$C$3)^AJ$176</f>
        <v>2297.5398207524295</v>
      </c>
      <c r="AK147" s="85">
        <f>-'Annual Calculations'!$L$33*(1+$C$3)^AK$176</f>
        <v>2398.6315728655368</v>
      </c>
      <c r="AL147" s="85">
        <f>-'Annual Calculations'!$L$33*(1+$C$3)^AL$176</f>
        <v>2504.17136207162</v>
      </c>
      <c r="AM147" s="85">
        <f>-'Annual Calculations'!$L$33*(1+$C$3)^AM$176</f>
        <v>2614.3549020027713</v>
      </c>
      <c r="AN147" s="85">
        <f>-'Annual Calculations'!$L$33*(1+$C$3)^AN$176</f>
        <v>2729.3865176908935</v>
      </c>
      <c r="AO147" s="85">
        <f>-'Annual Calculations'!$L$33*(1+$C$3)^AO$176</f>
        <v>2849.4795244692928</v>
      </c>
      <c r="AP147" s="85">
        <f>-'Annual Calculations'!$L$33*(1+$C$3)^AP$176</f>
        <v>2974.8566235459416</v>
      </c>
      <c r="AQ147" s="85">
        <f>-'Annual Calculations'!$L$33*(1+$C$3)^AQ$176</f>
        <v>3105.7503149819636</v>
      </c>
      <c r="AR147" s="85">
        <f>-'Annual Calculations'!$L$33*(1+$C$3)^AR$176</f>
        <v>3242.4033288411692</v>
      </c>
      <c r="AS147" s="85">
        <f>-'Annual Calculations'!$L$33*(1+$C$3)^AS$176</f>
        <v>3385.0690753101812</v>
      </c>
      <c r="AT147" s="85">
        <f>-'Annual Calculations'!$L$33*(1+$C$3)^AT$176</f>
        <v>3534.0121146238293</v>
      </c>
      <c r="AU147" s="85">
        <f>-'Annual Calculations'!$L$33*(1+$C$3)^AU$176</f>
        <v>3689.5086476672782</v>
      </c>
      <c r="AV147" s="85">
        <f>-'Annual Calculations'!$L$33*(1+$C$3)^AV$176</f>
        <v>3851.8470281646382</v>
      </c>
      <c r="AW147" s="85">
        <f>-'Annual Calculations'!$L$33*(1+$C$3)^AW$176</f>
        <v>4021.3282974038821</v>
      </c>
      <c r="AX147" s="85">
        <f>-'Annual Calculations'!$L$33*(1+$C$3)^AX$176</f>
        <v>4198.2667424896526</v>
      </c>
      <c r="AY147" s="85">
        <f>-'Annual Calculations'!$L$33*(1+$C$3)^AY$176</f>
        <v>4382.990479159198</v>
      </c>
      <c r="AZ147" s="85">
        <f>-'Annual Calculations'!$L$33*(1+$C$3)^AZ$176</f>
        <v>4575.8420602422029</v>
      </c>
      <c r="BA147" s="85">
        <f>-'Annual Calculations'!$L$33*(1+$C$3)^BA$176</f>
        <v>4777.1791108928601</v>
      </c>
      <c r="BB147" s="85">
        <f>-'Annual Calculations'!$L$33*(1+$C$3)^BB$176</f>
        <v>4987.3749917721461</v>
      </c>
    </row>
    <row r="148" spans="1:54" s="83" customFormat="1" x14ac:dyDescent="0.25">
      <c r="A148" s="179"/>
      <c r="B148" s="83" t="s">
        <v>358</v>
      </c>
      <c r="C148" s="84" t="s">
        <v>362</v>
      </c>
      <c r="D148" s="85">
        <f>SUM(D145:D147)</f>
        <v>-9151.0515999999989</v>
      </c>
      <c r="E148" s="85">
        <f>SUM(E145:E147)</f>
        <v>1114.1271875051382</v>
      </c>
      <c r="F148" s="85">
        <f t="shared" ref="F148:BB148" si="189">SUM(F145:F147)</f>
        <v>1163.1487837553641</v>
      </c>
      <c r="G148" s="85">
        <f t="shared" si="189"/>
        <v>1214.3273302406003</v>
      </c>
      <c r="H148" s="85">
        <f t="shared" si="189"/>
        <v>1267.7577327711865</v>
      </c>
      <c r="I148" s="85">
        <f t="shared" si="189"/>
        <v>1308.0361886956662</v>
      </c>
      <c r="J148" s="85">
        <f t="shared" si="189"/>
        <v>1381.7747922256963</v>
      </c>
      <c r="K148" s="85">
        <f t="shared" si="189"/>
        <v>1442.5728830836269</v>
      </c>
      <c r="L148" s="85">
        <f t="shared" si="189"/>
        <v>1506.0460899393065</v>
      </c>
      <c r="M148" s="85">
        <f t="shared" si="189"/>
        <v>1572.3121178966362</v>
      </c>
      <c r="N148" s="85">
        <f t="shared" si="189"/>
        <v>-10642.501661270668</v>
      </c>
      <c r="O148" s="85">
        <f t="shared" si="189"/>
        <v>1713.7195805317883</v>
      </c>
      <c r="P148" s="85">
        <f t="shared" si="189"/>
        <v>1789.1232420751867</v>
      </c>
      <c r="Q148" s="85">
        <f t="shared" si="189"/>
        <v>1867.8446647264948</v>
      </c>
      <c r="R148" s="85">
        <f t="shared" si="189"/>
        <v>1950.0298299744609</v>
      </c>
      <c r="S148" s="85">
        <f t="shared" si="189"/>
        <v>2011.9850352378176</v>
      </c>
      <c r="T148" s="85">
        <f t="shared" si="189"/>
        <v>1398.0655769243804</v>
      </c>
      <c r="U148" s="85">
        <f t="shared" si="189"/>
        <v>2218.925652124618</v>
      </c>
      <c r="V148" s="85">
        <f t="shared" si="189"/>
        <v>2316.5583808181013</v>
      </c>
      <c r="W148" s="85">
        <f t="shared" si="189"/>
        <v>2418.4869495740977</v>
      </c>
      <c r="X148" s="85">
        <f t="shared" si="189"/>
        <v>-16370.001277504516</v>
      </c>
      <c r="Y148" s="85">
        <f t="shared" si="189"/>
        <v>2635.9959918709937</v>
      </c>
      <c r="Z148" s="85">
        <f t="shared" si="189"/>
        <v>2751.9798155133176</v>
      </c>
      <c r="AA148" s="85">
        <f t="shared" si="189"/>
        <v>2873.0669273959038</v>
      </c>
      <c r="AB148" s="85">
        <f t="shared" si="189"/>
        <v>2999.4818722013238</v>
      </c>
      <c r="AC148" s="85">
        <f t="shared" si="189"/>
        <v>-8605.3994473880593</v>
      </c>
      <c r="AD148" s="85">
        <f t="shared" si="189"/>
        <v>3269.2432738596217</v>
      </c>
      <c r="AE148" s="85">
        <f t="shared" si="189"/>
        <v>3413.0899779094452</v>
      </c>
      <c r="AF148" s="85">
        <f t="shared" si="189"/>
        <v>3563.2659369374605</v>
      </c>
      <c r="AG148" s="85">
        <f t="shared" si="189"/>
        <v>3720.049638162709</v>
      </c>
      <c r="AH148" s="85">
        <f t="shared" si="189"/>
        <v>-20266.860323986166</v>
      </c>
      <c r="AI148" s="85">
        <f t="shared" si="189"/>
        <v>4054.6160224205114</v>
      </c>
      <c r="AJ148" s="85">
        <f t="shared" si="189"/>
        <v>2784.4249801826186</v>
      </c>
      <c r="AK148" s="85">
        <f t="shared" si="189"/>
        <v>4419.2719690129225</v>
      </c>
      <c r="AL148" s="85">
        <f t="shared" si="189"/>
        <v>4613.7199356494912</v>
      </c>
      <c r="AM148" s="85">
        <f t="shared" si="189"/>
        <v>4760.3043423324125</v>
      </c>
      <c r="AN148" s="85">
        <f t="shared" si="189"/>
        <v>5028.659451782064</v>
      </c>
      <c r="AO148" s="85">
        <f t="shared" si="189"/>
        <v>5249.920467660475</v>
      </c>
      <c r="AP148" s="85">
        <f t="shared" si="189"/>
        <v>5480.9169682375359</v>
      </c>
      <c r="AQ148" s="85">
        <f t="shared" si="189"/>
        <v>5722.0773148399876</v>
      </c>
      <c r="AR148" s="85">
        <f t="shared" si="189"/>
        <v>-62521.788617666512</v>
      </c>
      <c r="AS148" s="85">
        <f t="shared" si="189"/>
        <v>6236.6980602274371</v>
      </c>
      <c r="AT148" s="85">
        <f t="shared" si="189"/>
        <v>6511.1127748774443</v>
      </c>
      <c r="AU148" s="85">
        <f t="shared" si="189"/>
        <v>6797.6017369720521</v>
      </c>
      <c r="AV148" s="85">
        <f t="shared" si="189"/>
        <v>7096.6962133988218</v>
      </c>
      <c r="AW148" s="85">
        <f t="shared" si="189"/>
        <v>7322.1682876381001</v>
      </c>
      <c r="AX148" s="85">
        <f t="shared" si="189"/>
        <v>7734.9446840470582</v>
      </c>
      <c r="AY148" s="85">
        <f t="shared" si="189"/>
        <v>8075.2822501451301</v>
      </c>
      <c r="AZ148" s="85">
        <f t="shared" si="189"/>
        <v>8430.5946691515164</v>
      </c>
      <c r="BA148" s="85">
        <f t="shared" si="189"/>
        <v>8801.5408345941833</v>
      </c>
      <c r="BB148" s="85">
        <f t="shared" si="189"/>
        <v>9081.1782332939965</v>
      </c>
    </row>
    <row r="149" spans="1:54" s="83" customFormat="1" x14ac:dyDescent="0.25">
      <c r="A149" s="179"/>
      <c r="B149" s="83" t="s">
        <v>359</v>
      </c>
      <c r="C149" s="84"/>
      <c r="D149" s="83">
        <f t="shared" ref="D149:AI149" si="190">(1+$C$2)^D$176</f>
        <v>1</v>
      </c>
      <c r="E149" s="86">
        <f t="shared" si="190"/>
        <v>1.1499999999999999</v>
      </c>
      <c r="F149" s="86">
        <f t="shared" si="190"/>
        <v>1.3224999999999998</v>
      </c>
      <c r="G149" s="86">
        <f t="shared" si="190"/>
        <v>1.5208749999999995</v>
      </c>
      <c r="H149" s="86">
        <f t="shared" si="190"/>
        <v>1.7490062499999994</v>
      </c>
      <c r="I149" s="86">
        <f t="shared" si="190"/>
        <v>2.0113571874999994</v>
      </c>
      <c r="J149" s="86">
        <f t="shared" si="190"/>
        <v>2.3130607656249991</v>
      </c>
      <c r="K149" s="86">
        <f t="shared" si="190"/>
        <v>2.6600198804687483</v>
      </c>
      <c r="L149" s="86">
        <f t="shared" si="190"/>
        <v>3.0590228625390603</v>
      </c>
      <c r="M149" s="86">
        <f t="shared" si="190"/>
        <v>3.5178762919199191</v>
      </c>
      <c r="N149" s="86">
        <f t="shared" si="190"/>
        <v>4.0455577357079067</v>
      </c>
      <c r="O149" s="86">
        <f t="shared" si="190"/>
        <v>4.6523913960640924</v>
      </c>
      <c r="P149" s="86">
        <f t="shared" si="190"/>
        <v>5.3502501054737053</v>
      </c>
      <c r="Q149" s="86">
        <f t="shared" si="190"/>
        <v>6.1527876212947614</v>
      </c>
      <c r="R149" s="86">
        <f t="shared" si="190"/>
        <v>7.0757057644889754</v>
      </c>
      <c r="S149" s="86">
        <f t="shared" si="190"/>
        <v>8.1370616291623197</v>
      </c>
      <c r="T149" s="86">
        <f t="shared" si="190"/>
        <v>9.3576208735366659</v>
      </c>
      <c r="U149" s="86">
        <f t="shared" si="190"/>
        <v>10.761264004567165</v>
      </c>
      <c r="V149" s="86">
        <f t="shared" si="190"/>
        <v>12.375453605252238</v>
      </c>
      <c r="W149" s="86">
        <f t="shared" si="190"/>
        <v>14.231771646040073</v>
      </c>
      <c r="X149" s="86">
        <f t="shared" si="190"/>
        <v>16.366537392946082</v>
      </c>
      <c r="Y149" s="86">
        <f t="shared" si="190"/>
        <v>18.821518001887995</v>
      </c>
      <c r="Z149" s="86">
        <f t="shared" si="190"/>
        <v>21.644745702171193</v>
      </c>
      <c r="AA149" s="86">
        <f t="shared" si="190"/>
        <v>24.891457557496867</v>
      </c>
      <c r="AB149" s="86">
        <f t="shared" si="190"/>
        <v>28.625176191121394</v>
      </c>
      <c r="AC149" s="86">
        <f t="shared" si="190"/>
        <v>32.9189526197896</v>
      </c>
      <c r="AD149" s="86">
        <f t="shared" si="190"/>
        <v>37.85679551275804</v>
      </c>
      <c r="AE149" s="86">
        <f t="shared" si="190"/>
        <v>43.535314839671742</v>
      </c>
      <c r="AF149" s="86">
        <f t="shared" si="190"/>
        <v>50.065612065622496</v>
      </c>
      <c r="AG149" s="86">
        <f t="shared" si="190"/>
        <v>57.575453875465868</v>
      </c>
      <c r="AH149" s="86">
        <f t="shared" si="190"/>
        <v>66.211771956785753</v>
      </c>
      <c r="AI149" s="86">
        <f t="shared" si="190"/>
        <v>76.143537750303594</v>
      </c>
      <c r="AJ149" s="86">
        <f t="shared" ref="AJ149:BB149" si="191">(1+$C$2)^AJ$176</f>
        <v>87.565068412849115</v>
      </c>
      <c r="AK149" s="86">
        <f t="shared" si="191"/>
        <v>100.69982867477647</v>
      </c>
      <c r="AL149" s="86">
        <f t="shared" si="191"/>
        <v>115.80480297599294</v>
      </c>
      <c r="AM149" s="86">
        <f t="shared" si="191"/>
        <v>133.17552342239185</v>
      </c>
      <c r="AN149" s="86">
        <f t="shared" si="191"/>
        <v>153.15185193575064</v>
      </c>
      <c r="AO149" s="86">
        <f t="shared" si="191"/>
        <v>176.12462972611323</v>
      </c>
      <c r="AP149" s="86">
        <f t="shared" si="191"/>
        <v>202.5433241850302</v>
      </c>
      <c r="AQ149" s="86">
        <f t="shared" si="191"/>
        <v>232.92482281278467</v>
      </c>
      <c r="AR149" s="86">
        <f t="shared" si="191"/>
        <v>267.86354623470237</v>
      </c>
      <c r="AS149" s="86">
        <f t="shared" si="191"/>
        <v>308.04307816990769</v>
      </c>
      <c r="AT149" s="86">
        <f t="shared" si="191"/>
        <v>354.24953989539381</v>
      </c>
      <c r="AU149" s="86">
        <f t="shared" si="191"/>
        <v>407.38697087970286</v>
      </c>
      <c r="AV149" s="86">
        <f t="shared" si="191"/>
        <v>468.49501651165821</v>
      </c>
      <c r="AW149" s="86">
        <f t="shared" si="191"/>
        <v>538.76926898840691</v>
      </c>
      <c r="AX149" s="86">
        <f t="shared" si="191"/>
        <v>619.58465933666798</v>
      </c>
      <c r="AY149" s="86">
        <f t="shared" si="191"/>
        <v>712.52235823716796</v>
      </c>
      <c r="AZ149" s="86">
        <f t="shared" si="191"/>
        <v>819.40071197274301</v>
      </c>
      <c r="BA149" s="86">
        <f t="shared" si="191"/>
        <v>942.31081876865449</v>
      </c>
      <c r="BB149" s="86">
        <f t="shared" si="191"/>
        <v>1083.6574415839525</v>
      </c>
    </row>
    <row r="150" spans="1:54" s="83" customFormat="1" x14ac:dyDescent="0.25">
      <c r="A150" s="179"/>
      <c r="B150" s="83" t="s">
        <v>360</v>
      </c>
      <c r="C150" s="84" t="s">
        <v>362</v>
      </c>
      <c r="D150" s="83">
        <f>D148/D149</f>
        <v>-9151.0515999999989</v>
      </c>
      <c r="E150" s="85">
        <f>E148/E149</f>
        <v>968.8062500044681</v>
      </c>
      <c r="F150" s="85">
        <f>F148/F149</f>
        <v>879.5075869605779</v>
      </c>
      <c r="G150" s="85">
        <f t="shared" ref="G150:BB150" si="192">G148/G149</f>
        <v>798.43993111899442</v>
      </c>
      <c r="H150" s="85">
        <f t="shared" si="192"/>
        <v>724.84459833759138</v>
      </c>
      <c r="I150" s="85">
        <f t="shared" si="192"/>
        <v>650.32516194772916</v>
      </c>
      <c r="J150" s="85">
        <f t="shared" si="192"/>
        <v>597.37937401412569</v>
      </c>
      <c r="K150" s="85">
        <f t="shared" si="192"/>
        <v>542.31657953978038</v>
      </c>
      <c r="L150" s="85">
        <f t="shared" si="192"/>
        <v>492.32913829524409</v>
      </c>
      <c r="M150" s="85">
        <f t="shared" si="192"/>
        <v>446.94923511324777</v>
      </c>
      <c r="N150" s="85">
        <f t="shared" si="192"/>
        <v>-2630.6636455426592</v>
      </c>
      <c r="O150" s="85">
        <f t="shared" si="192"/>
        <v>368.35240946872813</v>
      </c>
      <c r="P150" s="85">
        <f t="shared" si="192"/>
        <v>334.39992650900189</v>
      </c>
      <c r="Q150" s="85">
        <f t="shared" si="192"/>
        <v>303.57697676121558</v>
      </c>
      <c r="R150" s="85">
        <f t="shared" si="192"/>
        <v>275.59509890322533</v>
      </c>
      <c r="S150" s="85">
        <f t="shared" si="192"/>
        <v>247.26186514639241</v>
      </c>
      <c r="T150" s="85">
        <f t="shared" si="192"/>
        <v>149.40395596471612</v>
      </c>
      <c r="U150" s="85">
        <f t="shared" si="192"/>
        <v>206.19563381986433</v>
      </c>
      <c r="V150" s="85">
        <f t="shared" si="192"/>
        <v>187.1897753982073</v>
      </c>
      <c r="W150" s="85">
        <f t="shared" si="192"/>
        <v>169.93576131802473</v>
      </c>
      <c r="X150" s="85">
        <f t="shared" si="192"/>
        <v>-1000.2116443127381</v>
      </c>
      <c r="Y150" s="85">
        <f t="shared" si="192"/>
        <v>140.05225251260688</v>
      </c>
      <c r="Z150" s="85">
        <f t="shared" si="192"/>
        <v>127.14308836796661</v>
      </c>
      <c r="AA150" s="85">
        <f t="shared" si="192"/>
        <v>115.42381239665842</v>
      </c>
      <c r="AB150" s="85">
        <f t="shared" si="192"/>
        <v>104.78474794966209</v>
      </c>
      <c r="AC150" s="85">
        <f t="shared" si="192"/>
        <v>-261.41170245540638</v>
      </c>
      <c r="AD150" s="85">
        <f t="shared" si="192"/>
        <v>86.358161845945489</v>
      </c>
      <c r="AE150" s="85">
        <f t="shared" si="192"/>
        <v>78.3981921453627</v>
      </c>
      <c r="AF150" s="85">
        <f t="shared" si="192"/>
        <v>71.171923999790138</v>
      </c>
      <c r="AG150" s="85">
        <f t="shared" si="192"/>
        <v>64.611729265896443</v>
      </c>
      <c r="AH150" s="85">
        <f t="shared" si="192"/>
        <v>-306.09149589311215</v>
      </c>
      <c r="AI150" s="85">
        <f t="shared" si="192"/>
        <v>53.249640642082525</v>
      </c>
      <c r="AJ150" s="85">
        <f t="shared" si="192"/>
        <v>31.798353277755652</v>
      </c>
      <c r="AK150" s="85">
        <f t="shared" si="192"/>
        <v>43.885595707273254</v>
      </c>
      <c r="AL150" s="85">
        <f t="shared" si="192"/>
        <v>39.840488624689804</v>
      </c>
      <c r="AM150" s="85">
        <f t="shared" si="192"/>
        <v>35.744588945479038</v>
      </c>
      <c r="AN150" s="85">
        <f t="shared" si="192"/>
        <v>32.83446715284682</v>
      </c>
      <c r="AO150" s="85">
        <f t="shared" si="192"/>
        <v>29.807985832671378</v>
      </c>
      <c r="AP150" s="85">
        <f t="shared" si="192"/>
        <v>27.060467138529493</v>
      </c>
      <c r="AQ150" s="85">
        <f t="shared" si="192"/>
        <v>24.566197993586783</v>
      </c>
      <c r="AR150" s="85">
        <f t="shared" si="192"/>
        <v>-233.40909764139704</v>
      </c>
      <c r="AS150" s="85">
        <f t="shared" si="192"/>
        <v>20.246187959423825</v>
      </c>
      <c r="AT150" s="85">
        <f t="shared" si="192"/>
        <v>18.380017590989979</v>
      </c>
      <c r="AU150" s="85">
        <f t="shared" si="192"/>
        <v>16.685859447820469</v>
      </c>
      <c r="AV150" s="85">
        <f t="shared" si="192"/>
        <v>15.147858490021365</v>
      </c>
      <c r="AW150" s="85">
        <f t="shared" si="192"/>
        <v>13.590545543524044</v>
      </c>
      <c r="AX150" s="85">
        <f t="shared" si="192"/>
        <v>12.484080371402591</v>
      </c>
      <c r="AY150" s="85">
        <f t="shared" si="192"/>
        <v>11.33337383282114</v>
      </c>
      <c r="AZ150" s="85">
        <f t="shared" si="192"/>
        <v>10.288732418665456</v>
      </c>
      <c r="BA150" s="85">
        <f t="shared" si="192"/>
        <v>9.3403796913797699</v>
      </c>
      <c r="BB150" s="85">
        <f t="shared" si="192"/>
        <v>8.3801189239473004</v>
      </c>
    </row>
    <row r="151" spans="1:54" s="83" customFormat="1" x14ac:dyDescent="0.25">
      <c r="A151" s="179"/>
      <c r="B151" s="83" t="s">
        <v>645</v>
      </c>
      <c r="C151" s="84" t="s">
        <v>362</v>
      </c>
      <c r="D151" s="83">
        <f>D150</f>
        <v>-9151.0515999999989</v>
      </c>
      <c r="E151" s="85">
        <f>E150+D151</f>
        <v>-8182.2453499955309</v>
      </c>
      <c r="F151" s="85">
        <f t="shared" ref="F151:BB151" si="193">F150+E151</f>
        <v>-7302.7377630349529</v>
      </c>
      <c r="G151" s="85">
        <f t="shared" si="193"/>
        <v>-6504.2978319159583</v>
      </c>
      <c r="H151" s="85">
        <f t="shared" si="193"/>
        <v>-5779.453233578367</v>
      </c>
      <c r="I151" s="85">
        <f t="shared" si="193"/>
        <v>-5129.1280716306374</v>
      </c>
      <c r="J151" s="85">
        <f t="shared" si="193"/>
        <v>-4531.7486976165119</v>
      </c>
      <c r="K151" s="85">
        <f t="shared" si="193"/>
        <v>-3989.4321180767315</v>
      </c>
      <c r="L151" s="85">
        <f t="shared" si="193"/>
        <v>-3497.1029797814872</v>
      </c>
      <c r="M151" s="85">
        <f t="shared" si="193"/>
        <v>-3050.1537446682396</v>
      </c>
      <c r="N151" s="85">
        <f t="shared" si="193"/>
        <v>-5680.8173902108992</v>
      </c>
      <c r="O151" s="85">
        <f t="shared" si="193"/>
        <v>-5312.4649807421711</v>
      </c>
      <c r="P151" s="85">
        <f t="shared" si="193"/>
        <v>-4978.0650542331696</v>
      </c>
      <c r="Q151" s="85">
        <f t="shared" si="193"/>
        <v>-4674.4880774719541</v>
      </c>
      <c r="R151" s="85">
        <f t="shared" si="193"/>
        <v>-4398.8929785687287</v>
      </c>
      <c r="S151" s="85">
        <f t="shared" si="193"/>
        <v>-4151.6311134223361</v>
      </c>
      <c r="T151" s="85">
        <f t="shared" si="193"/>
        <v>-4002.2271574576198</v>
      </c>
      <c r="U151" s="85">
        <f t="shared" si="193"/>
        <v>-3796.0315236377555</v>
      </c>
      <c r="V151" s="85">
        <f t="shared" si="193"/>
        <v>-3608.841748239548</v>
      </c>
      <c r="W151" s="85">
        <f t="shared" si="193"/>
        <v>-3438.9059869215234</v>
      </c>
      <c r="X151" s="85">
        <f t="shared" si="193"/>
        <v>-4439.1176312342614</v>
      </c>
      <c r="Y151" s="85">
        <f t="shared" si="193"/>
        <v>-4299.0653787216543</v>
      </c>
      <c r="Z151" s="85">
        <f t="shared" si="193"/>
        <v>-4171.9222903536875</v>
      </c>
      <c r="AA151" s="85">
        <f t="shared" si="193"/>
        <v>-4056.4984779570291</v>
      </c>
      <c r="AB151" s="85">
        <f t="shared" si="193"/>
        <v>-3951.7137300073668</v>
      </c>
      <c r="AC151" s="85">
        <f t="shared" si="193"/>
        <v>-4213.1254324627735</v>
      </c>
      <c r="AD151" s="85">
        <f t="shared" si="193"/>
        <v>-4126.7672706168278</v>
      </c>
      <c r="AE151" s="85">
        <f t="shared" si="193"/>
        <v>-4048.3690784714649</v>
      </c>
      <c r="AF151" s="85">
        <f t="shared" si="193"/>
        <v>-3977.1971544716748</v>
      </c>
      <c r="AG151" s="85">
        <f t="shared" si="193"/>
        <v>-3912.5854252057784</v>
      </c>
      <c r="AH151" s="85">
        <f t="shared" si="193"/>
        <v>-4218.6769210988905</v>
      </c>
      <c r="AI151" s="85">
        <f t="shared" si="193"/>
        <v>-4165.4272804568081</v>
      </c>
      <c r="AJ151" s="85">
        <f t="shared" si="193"/>
        <v>-4133.6289271790529</v>
      </c>
      <c r="AK151" s="85">
        <f t="shared" si="193"/>
        <v>-4089.7433314717796</v>
      </c>
      <c r="AL151" s="85">
        <f t="shared" si="193"/>
        <v>-4049.9028428470897</v>
      </c>
      <c r="AM151" s="85">
        <f t="shared" si="193"/>
        <v>-4014.1582539016108</v>
      </c>
      <c r="AN151" s="85">
        <f t="shared" si="193"/>
        <v>-3981.3237867487642</v>
      </c>
      <c r="AO151" s="85">
        <f t="shared" si="193"/>
        <v>-3951.5158009160928</v>
      </c>
      <c r="AP151" s="85">
        <f t="shared" si="193"/>
        <v>-3924.4553337775633</v>
      </c>
      <c r="AQ151" s="85">
        <f t="shared" si="193"/>
        <v>-3899.8891357839766</v>
      </c>
      <c r="AR151" s="85">
        <f t="shared" si="193"/>
        <v>-4133.2982334253738</v>
      </c>
      <c r="AS151" s="85">
        <f t="shared" si="193"/>
        <v>-4113.05204546595</v>
      </c>
      <c r="AT151" s="85">
        <f t="shared" si="193"/>
        <v>-4094.6720278749599</v>
      </c>
      <c r="AU151" s="85">
        <f t="shared" si="193"/>
        <v>-4077.9861684271395</v>
      </c>
      <c r="AV151" s="85">
        <f t="shared" si="193"/>
        <v>-4062.8383099371181</v>
      </c>
      <c r="AW151" s="85">
        <f t="shared" si="193"/>
        <v>-4049.247764393594</v>
      </c>
      <c r="AX151" s="85">
        <f t="shared" si="193"/>
        <v>-4036.7636840221912</v>
      </c>
      <c r="AY151" s="85">
        <f t="shared" si="193"/>
        <v>-4025.4303101893702</v>
      </c>
      <c r="AZ151" s="85">
        <f t="shared" si="193"/>
        <v>-4015.1415777707048</v>
      </c>
      <c r="BA151" s="85">
        <f t="shared" si="193"/>
        <v>-4005.8011980793249</v>
      </c>
      <c r="BB151" s="85">
        <f t="shared" si="193"/>
        <v>-3997.4210791553774</v>
      </c>
    </row>
    <row r="152" spans="1:54" s="83" customFormat="1" x14ac:dyDescent="0.25">
      <c r="B152" s="87" t="s">
        <v>361</v>
      </c>
      <c r="C152" s="88" t="s">
        <v>362</v>
      </c>
      <c r="D152" s="91">
        <f>SUM(D150:BB150)</f>
        <v>-3997.4210791553774</v>
      </c>
    </row>
    <row r="153" spans="1:54" s="83" customFormat="1" x14ac:dyDescent="0.25">
      <c r="C153" s="132"/>
      <c r="E153" s="133"/>
    </row>
    <row r="154" spans="1:54" s="83" customFormat="1" x14ac:dyDescent="0.25">
      <c r="B154" s="83" t="s">
        <v>646</v>
      </c>
      <c r="C154" s="132" t="s">
        <v>362</v>
      </c>
      <c r="D154" s="83">
        <f>D151*'General variables'!$B$11</f>
        <v>-73208.412799999991</v>
      </c>
      <c r="E154" s="83">
        <f>E151*'General variables'!$B$11</f>
        <v>-65457.962799964247</v>
      </c>
      <c r="F154" s="83">
        <f>F151*'General variables'!$B$11</f>
        <v>-58421.902104279623</v>
      </c>
      <c r="G154" s="83">
        <f>G151*'General variables'!$B$11</f>
        <v>-52034.382655327667</v>
      </c>
      <c r="H154" s="83">
        <f>H151*'General variables'!$B$11</f>
        <v>-46235.625868626936</v>
      </c>
      <c r="I154" s="83">
        <f>I151*'General variables'!$B$11</f>
        <v>-41033.024573045099</v>
      </c>
      <c r="J154" s="83">
        <f>J151*'General variables'!$B$11</f>
        <v>-36253.989580932095</v>
      </c>
      <c r="K154" s="83">
        <f>K151*'General variables'!$B$11</f>
        <v>-31915.456944613852</v>
      </c>
      <c r="L154" s="83">
        <f>L151*'General variables'!$B$11</f>
        <v>-27976.823838251898</v>
      </c>
      <c r="M154" s="83">
        <f>M151*'General variables'!$B$11</f>
        <v>-24401.229957345917</v>
      </c>
      <c r="N154" s="83">
        <f>N151*'General variables'!$B$11</f>
        <v>-45446.539121687194</v>
      </c>
      <c r="O154" s="83">
        <f>O151*'General variables'!$B$11</f>
        <v>-42499.719845937369</v>
      </c>
      <c r="P154" s="83">
        <f>P151*'General variables'!$B$11</f>
        <v>-39824.520433865357</v>
      </c>
      <c r="Q154" s="83">
        <f>Q151*'General variables'!$B$11</f>
        <v>-37395.904619775632</v>
      </c>
      <c r="R154" s="83">
        <f>R151*'General variables'!$B$11</f>
        <v>-35191.14382854983</v>
      </c>
      <c r="S154" s="83">
        <f>S151*'General variables'!$B$11</f>
        <v>-33213.048907378688</v>
      </c>
      <c r="T154" s="83">
        <f>T151*'General variables'!$B$11</f>
        <v>-32017.817259660958</v>
      </c>
      <c r="U154" s="83">
        <f>U151*'General variables'!$B$11</f>
        <v>-30368.252189102044</v>
      </c>
      <c r="V154" s="83">
        <f>V151*'General variables'!$B$11</f>
        <v>-28870.733985916384</v>
      </c>
      <c r="W154" s="83">
        <f>W151*'General variables'!$B$11</f>
        <v>-27511.247895372187</v>
      </c>
      <c r="X154" s="83">
        <f>X151*'General variables'!$B$11</f>
        <v>-35512.941049874091</v>
      </c>
      <c r="Y154" s="83">
        <f>Y151*'General variables'!$B$11</f>
        <v>-34392.523029773234</v>
      </c>
      <c r="Z154" s="83">
        <f>Z151*'General variables'!$B$11</f>
        <v>-33375.3783228295</v>
      </c>
      <c r="AA154" s="83">
        <f>AA151*'General variables'!$B$11</f>
        <v>-32451.987823656233</v>
      </c>
      <c r="AB154" s="83">
        <f>AB151*'General variables'!$B$11</f>
        <v>-31613.709840058935</v>
      </c>
      <c r="AC154" s="83">
        <f>AC151*'General variables'!$B$11</f>
        <v>-33705.003459702188</v>
      </c>
      <c r="AD154" s="83">
        <f>AD151*'General variables'!$B$11</f>
        <v>-33014.138164934622</v>
      </c>
      <c r="AE154" s="83">
        <f>AE151*'General variables'!$B$11</f>
        <v>-32386.95262777172</v>
      </c>
      <c r="AF154" s="83">
        <f>AF151*'General variables'!$B$11</f>
        <v>-31817.577235773399</v>
      </c>
      <c r="AG154" s="83">
        <f>AG151*'General variables'!$B$11</f>
        <v>-31300.683401646227</v>
      </c>
      <c r="AH154" s="83">
        <f>AH151*'General variables'!$B$11</f>
        <v>-33749.415368791124</v>
      </c>
      <c r="AI154" s="83">
        <f>AI151*'General variables'!$B$11</f>
        <v>-33323.418243654465</v>
      </c>
      <c r="AJ154" s="83">
        <f>AJ151*'General variables'!$B$11</f>
        <v>-33069.031417432423</v>
      </c>
      <c r="AK154" s="83">
        <f>AK151*'General variables'!$B$11</f>
        <v>-32717.946651774237</v>
      </c>
      <c r="AL154" s="83">
        <f>AL151*'General variables'!$B$11</f>
        <v>-32399.222742776717</v>
      </c>
      <c r="AM154" s="83">
        <f>AM151*'General variables'!$B$11</f>
        <v>-32113.266031212886</v>
      </c>
      <c r="AN154" s="83">
        <f>AN151*'General variables'!$B$11</f>
        <v>-31850.590293990113</v>
      </c>
      <c r="AO154" s="83">
        <f>AO151*'General variables'!$B$11</f>
        <v>-31612.126407328742</v>
      </c>
      <c r="AP154" s="83">
        <f>AP151*'General variables'!$B$11</f>
        <v>-31395.642670220506</v>
      </c>
      <c r="AQ154" s="83">
        <f>AQ151*'General variables'!$B$11</f>
        <v>-31199.113086271813</v>
      </c>
      <c r="AR154" s="83">
        <f>AR151*'General variables'!$B$11</f>
        <v>-33066.385867402991</v>
      </c>
      <c r="AS154" s="83">
        <f>AS151*'General variables'!$B$11</f>
        <v>-32904.4163637276</v>
      </c>
      <c r="AT154" s="83">
        <f>AT151*'General variables'!$B$11</f>
        <v>-32757.376222999679</v>
      </c>
      <c r="AU154" s="83">
        <f>AU151*'General variables'!$B$11</f>
        <v>-32623.889347417116</v>
      </c>
      <c r="AV154" s="83">
        <f>AV151*'General variables'!$B$11</f>
        <v>-32502.706479496945</v>
      </c>
      <c r="AW154" s="83">
        <f>AW151*'General variables'!$B$11</f>
        <v>-32393.982115148752</v>
      </c>
      <c r="AX154" s="83">
        <f>AX151*'General variables'!$B$11</f>
        <v>-32294.10947217753</v>
      </c>
      <c r="AY154" s="83">
        <f>AY151*'General variables'!$B$11</f>
        <v>-32203.442481514961</v>
      </c>
      <c r="AZ154" s="83">
        <f>AZ151*'General variables'!$B$11</f>
        <v>-32121.132622165638</v>
      </c>
      <c r="BA154" s="83">
        <f>BA151*'General variables'!$B$11</f>
        <v>-32046.409584634599</v>
      </c>
      <c r="BB154" s="83">
        <f>BB151*'General variables'!$B$11</f>
        <v>-31979.368633243019</v>
      </c>
    </row>
    <row r="155" spans="1:54" x14ac:dyDescent="0.25">
      <c r="A155" s="180" t="s">
        <v>718</v>
      </c>
      <c r="B155" s="76" t="s">
        <v>363</v>
      </c>
      <c r="C155" s="77" t="s">
        <v>362</v>
      </c>
      <c r="D155" s="78">
        <f>D7+D15+D23+D31+D39+D71+D103+D111+D119+D127</f>
        <v>-4985.4891000000007</v>
      </c>
      <c r="E155" s="78">
        <f t="shared" ref="E155:BB155" si="194">E7+E15+E23+E31+E39+E71+E103+E111+E119+E127</f>
        <v>0</v>
      </c>
      <c r="F155" s="78">
        <f t="shared" si="194"/>
        <v>0</v>
      </c>
      <c r="G155" s="78">
        <f t="shared" si="194"/>
        <v>0</v>
      </c>
      <c r="H155" s="78">
        <f t="shared" si="194"/>
        <v>0</v>
      </c>
      <c r="I155" s="78">
        <f t="shared" si="194"/>
        <v>-15.5028843174528</v>
      </c>
      <c r="J155" s="78">
        <f t="shared" si="194"/>
        <v>0</v>
      </c>
      <c r="K155" s="78">
        <f t="shared" si="194"/>
        <v>0</v>
      </c>
      <c r="L155" s="78">
        <f t="shared" si="194"/>
        <v>0</v>
      </c>
      <c r="M155" s="78">
        <f t="shared" si="194"/>
        <v>0</v>
      </c>
      <c r="N155" s="78">
        <f t="shared" si="194"/>
        <v>-8669.8108898445735</v>
      </c>
      <c r="O155" s="78">
        <f t="shared" si="194"/>
        <v>0</v>
      </c>
      <c r="P155" s="78">
        <f t="shared" si="194"/>
        <v>0</v>
      </c>
      <c r="Q155" s="78">
        <f t="shared" si="194"/>
        <v>0</v>
      </c>
      <c r="R155" s="78">
        <f t="shared" si="194"/>
        <v>0</v>
      </c>
      <c r="S155" s="78">
        <f t="shared" si="194"/>
        <v>-23.846107255519719</v>
      </c>
      <c r="T155" s="78">
        <f t="shared" si="194"/>
        <v>-727.34213583866369</v>
      </c>
      <c r="U155" s="78">
        <f t="shared" si="194"/>
        <v>0</v>
      </c>
      <c r="V155" s="78">
        <f t="shared" si="194"/>
        <v>0</v>
      </c>
      <c r="W155" s="78">
        <f t="shared" si="194"/>
        <v>0</v>
      </c>
      <c r="X155" s="78">
        <f t="shared" si="194"/>
        <v>-13335.662972828992</v>
      </c>
      <c r="Y155" s="78">
        <f t="shared" si="194"/>
        <v>0</v>
      </c>
      <c r="Z155" s="78">
        <f t="shared" si="194"/>
        <v>0</v>
      </c>
      <c r="AA155" s="78">
        <f t="shared" si="194"/>
        <v>0</v>
      </c>
      <c r="AB155" s="78">
        <f t="shared" si="194"/>
        <v>0</v>
      </c>
      <c r="AC155" s="78">
        <f t="shared" si="194"/>
        <v>-9395.8184945059529</v>
      </c>
      <c r="AD155" s="78">
        <f t="shared" si="194"/>
        <v>0</v>
      </c>
      <c r="AE155" s="78">
        <f t="shared" si="194"/>
        <v>0</v>
      </c>
      <c r="AF155" s="78">
        <f t="shared" si="194"/>
        <v>0</v>
      </c>
      <c r="AG155" s="78">
        <f t="shared" si="194"/>
        <v>0</v>
      </c>
      <c r="AH155" s="78">
        <f t="shared" si="194"/>
        <v>-15599.525189364385</v>
      </c>
      <c r="AI155" s="78">
        <f t="shared" si="194"/>
        <v>0</v>
      </c>
      <c r="AJ155" s="78">
        <f t="shared" si="194"/>
        <v>-1448.5941472243949</v>
      </c>
      <c r="AK155" s="78">
        <f t="shared" si="194"/>
        <v>0</v>
      </c>
      <c r="AL155" s="78">
        <f t="shared" si="194"/>
        <v>0</v>
      </c>
      <c r="AM155" s="78">
        <f t="shared" si="194"/>
        <v>-56.419270485656206</v>
      </c>
      <c r="AN155" s="78">
        <f t="shared" si="194"/>
        <v>0</v>
      </c>
      <c r="AO155" s="78">
        <f t="shared" si="194"/>
        <v>0</v>
      </c>
      <c r="AP155" s="78">
        <f t="shared" si="194"/>
        <v>0</v>
      </c>
      <c r="AQ155" s="78">
        <f t="shared" si="194"/>
        <v>0</v>
      </c>
      <c r="AR155" s="78">
        <f t="shared" si="194"/>
        <v>-55342.622990251628</v>
      </c>
      <c r="AS155" s="78">
        <f t="shared" si="194"/>
        <v>0</v>
      </c>
      <c r="AT155" s="78">
        <f t="shared" si="194"/>
        <v>0</v>
      </c>
      <c r="AU155" s="78">
        <f t="shared" si="194"/>
        <v>0</v>
      </c>
      <c r="AV155" s="78">
        <f t="shared" si="194"/>
        <v>0</v>
      </c>
      <c r="AW155" s="78">
        <f t="shared" si="194"/>
        <v>-86.782559150269662</v>
      </c>
      <c r="AX155" s="78">
        <f t="shared" si="194"/>
        <v>0</v>
      </c>
      <c r="AY155" s="78">
        <f t="shared" si="194"/>
        <v>0</v>
      </c>
      <c r="AZ155" s="78">
        <f t="shared" si="194"/>
        <v>0</v>
      </c>
      <c r="BA155" s="78">
        <f t="shared" si="194"/>
        <v>0</v>
      </c>
      <c r="BB155" s="78">
        <f t="shared" si="194"/>
        <v>-107.63039802233088</v>
      </c>
    </row>
    <row r="156" spans="1:54" x14ac:dyDescent="0.25">
      <c r="A156" s="180"/>
      <c r="B156" s="76" t="s">
        <v>356</v>
      </c>
      <c r="C156" s="77" t="s">
        <v>362</v>
      </c>
      <c r="D156" s="76">
        <v>0</v>
      </c>
      <c r="E156" s="78">
        <f>ABS('Annual Calculations'!$Q$20)*(1+$C$3)^E$176</f>
        <v>395.978067051285</v>
      </c>
      <c r="F156" s="78">
        <f>ABS('Annual Calculations'!$Q$20)*(1+$C$3)^F$176</f>
        <v>413.40110200154152</v>
      </c>
      <c r="G156" s="78">
        <f>ABS('Annual Calculations'!$Q$20)*(1+$C$3)^G$176</f>
        <v>431.59075048960938</v>
      </c>
      <c r="H156" s="78">
        <f>ABS('Annual Calculations'!$Q$20)*(1+$C$3)^H$176</f>
        <v>450.58074351115215</v>
      </c>
      <c r="I156" s="78">
        <f>ABS('Annual Calculations'!$Q$20)*(1+$C$3)^I$176</f>
        <v>470.40629622564285</v>
      </c>
      <c r="J156" s="78">
        <f>ABS('Annual Calculations'!$Q$20)*(1+$C$3)^J$176</f>
        <v>491.10417325957121</v>
      </c>
      <c r="K156" s="78">
        <f>ABS('Annual Calculations'!$Q$20)*(1+$C$3)^K$176</f>
        <v>512.71275688299238</v>
      </c>
      <c r="L156" s="78">
        <f>ABS('Annual Calculations'!$Q$20)*(1+$C$3)^L$176</f>
        <v>535.27211818584396</v>
      </c>
      <c r="M156" s="78">
        <f>ABS('Annual Calculations'!$Q$20)*(1+$C$3)^M$176</f>
        <v>558.82409138602122</v>
      </c>
      <c r="N156" s="78">
        <f>ABS('Annual Calculations'!$Q$20)*(1+$C$3)^N$176</f>
        <v>583.4123514070061</v>
      </c>
      <c r="O156" s="78">
        <f>ABS('Annual Calculations'!$Q$20)*(1+$C$3)^O$176</f>
        <v>609.08249486891441</v>
      </c>
      <c r="P156" s="78">
        <f>ABS('Annual Calculations'!$Q$20)*(1+$C$3)^P$176</f>
        <v>635.88212464314665</v>
      </c>
      <c r="Q156" s="78">
        <f>ABS('Annual Calculations'!$Q$20)*(1+$C$3)^Q$176</f>
        <v>663.86093812744502</v>
      </c>
      <c r="R156" s="78">
        <f>ABS('Annual Calculations'!$Q$20)*(1+$C$3)^R$176</f>
        <v>693.0708194050527</v>
      </c>
      <c r="S156" s="78">
        <f>ABS('Annual Calculations'!$Q$20)*(1+$C$3)^S$176</f>
        <v>723.56593545887506</v>
      </c>
      <c r="T156" s="78">
        <f>ABS('Annual Calculations'!$Q$20)*(1+$C$3)^T$176</f>
        <v>755.40283661906551</v>
      </c>
      <c r="U156" s="78">
        <f>ABS('Annual Calculations'!$Q$20)*(1+$C$3)^U$176</f>
        <v>788.64056143030439</v>
      </c>
      <c r="V156" s="78">
        <f>ABS('Annual Calculations'!$Q$20)*(1+$C$3)^V$176</f>
        <v>823.34074613323787</v>
      </c>
      <c r="W156" s="78">
        <f>ABS('Annual Calculations'!$Q$20)*(1+$C$3)^W$176</f>
        <v>859.5677389631004</v>
      </c>
      <c r="X156" s="78">
        <f>ABS('Annual Calculations'!$Q$20)*(1+$C$3)^X$176</f>
        <v>897.3887194774768</v>
      </c>
      <c r="Y156" s="78">
        <f>ABS('Annual Calculations'!$Q$20)*(1+$C$3)^Y$176</f>
        <v>936.87382313448563</v>
      </c>
      <c r="Z156" s="78">
        <f>ABS('Annual Calculations'!$Q$20)*(1+$C$3)^Z$176</f>
        <v>978.09627135240316</v>
      </c>
      <c r="AA156" s="78">
        <f>ABS('Annual Calculations'!$Q$20)*(1+$C$3)^AA$176</f>
        <v>1021.132507291909</v>
      </c>
      <c r="AB156" s="78">
        <f>ABS('Annual Calculations'!$Q$20)*(1+$C$3)^AB$176</f>
        <v>1066.062337612753</v>
      </c>
      <c r="AC156" s="78">
        <f>ABS('Annual Calculations'!$Q$20)*(1+$C$3)^AC$176</f>
        <v>1112.9690804677141</v>
      </c>
      <c r="AD156" s="78">
        <f>ABS('Annual Calculations'!$Q$20)*(1+$C$3)^AD$176</f>
        <v>1161.9397200082935</v>
      </c>
      <c r="AE156" s="78">
        <f>ABS('Annual Calculations'!$Q$20)*(1+$C$3)^AE$176</f>
        <v>1213.0650676886585</v>
      </c>
      <c r="AF156" s="78">
        <f>ABS('Annual Calculations'!$Q$20)*(1+$C$3)^AF$176</f>
        <v>1266.4399306669595</v>
      </c>
      <c r="AG156" s="78">
        <f>ABS('Annual Calculations'!$Q$20)*(1+$C$3)^AG$176</f>
        <v>1322.1632876163055</v>
      </c>
      <c r="AH156" s="78">
        <f>ABS('Annual Calculations'!$Q$20)*(1+$C$3)^AH$176</f>
        <v>1380.3384722714231</v>
      </c>
      <c r="AI156" s="78">
        <f>ABS('Annual Calculations'!$Q$20)*(1+$C$3)^AI$176</f>
        <v>1441.073365051366</v>
      </c>
      <c r="AJ156" s="78">
        <f>ABS('Annual Calculations'!$Q$20)*(1+$C$3)^AJ$176</f>
        <v>1504.4805931136259</v>
      </c>
      <c r="AK156" s="78">
        <f>ABS('Annual Calculations'!$Q$20)*(1+$C$3)^AK$176</f>
        <v>1570.6777392106258</v>
      </c>
      <c r="AL156" s="78">
        <f>ABS('Annual Calculations'!$Q$20)*(1+$C$3)^AL$176</f>
        <v>1639.787559735893</v>
      </c>
      <c r="AM156" s="78">
        <f>ABS('Annual Calculations'!$Q$20)*(1+$C$3)^AM$176</f>
        <v>1711.9382123642724</v>
      </c>
      <c r="AN156" s="78">
        <f>ABS('Annual Calculations'!$Q$20)*(1+$C$3)^AN$176</f>
        <v>1787.2634937083005</v>
      </c>
      <c r="AO156" s="78">
        <f>ABS('Annual Calculations'!$Q$20)*(1+$C$3)^AO$176</f>
        <v>1865.9030874314656</v>
      </c>
      <c r="AP156" s="78">
        <f>ABS('Annual Calculations'!$Q$20)*(1+$C$3)^AP$176</f>
        <v>1948.0028232784503</v>
      </c>
      <c r="AQ156" s="78">
        <f>ABS('Annual Calculations'!$Q$20)*(1+$C$3)^AQ$176</f>
        <v>2033.7149475027024</v>
      </c>
      <c r="AR156" s="78">
        <f>ABS('Annual Calculations'!$Q$20)*(1+$C$3)^AR$176</f>
        <v>2123.1984051928207</v>
      </c>
      <c r="AS156" s="78">
        <f>ABS('Annual Calculations'!$Q$20)*(1+$C$3)^AS$176</f>
        <v>2216.6191350213053</v>
      </c>
      <c r="AT156" s="78">
        <f>ABS('Annual Calculations'!$Q$20)*(1+$C$3)^AT$176</f>
        <v>2314.1503769622427</v>
      </c>
      <c r="AU156" s="78">
        <f>ABS('Annual Calculations'!$Q$20)*(1+$C$3)^AU$176</f>
        <v>2415.9729935485816</v>
      </c>
      <c r="AV156" s="78">
        <f>ABS('Annual Calculations'!$Q$20)*(1+$C$3)^AV$176</f>
        <v>2522.2758052647191</v>
      </c>
      <c r="AW156" s="78">
        <f>ABS('Annual Calculations'!$Q$20)*(1+$C$3)^AW$176</f>
        <v>2633.2559406963669</v>
      </c>
      <c r="AX156" s="78">
        <f>ABS('Annual Calculations'!$Q$20)*(1+$C$3)^AX$176</f>
        <v>2749.1192020870067</v>
      </c>
      <c r="AY156" s="78">
        <f>ABS('Annual Calculations'!$Q$20)*(1+$C$3)^AY$176</f>
        <v>2870.0804469788354</v>
      </c>
      <c r="AZ156" s="78">
        <f>ABS('Annual Calculations'!$Q$20)*(1+$C$3)^AZ$176</f>
        <v>2996.3639866459043</v>
      </c>
      <c r="BA156" s="78">
        <f>ABS('Annual Calculations'!$Q$20)*(1+$C$3)^BA$176</f>
        <v>3128.204002058324</v>
      </c>
      <c r="BB156" s="78">
        <f>ABS('Annual Calculations'!$Q$20)*(1+$C$3)^BB$176</f>
        <v>3265.8449781488907</v>
      </c>
    </row>
    <row r="157" spans="1:54" x14ac:dyDescent="0.25">
      <c r="A157" s="180"/>
      <c r="B157" s="76" t="s">
        <v>357</v>
      </c>
      <c r="C157" s="77" t="s">
        <v>362</v>
      </c>
      <c r="D157" s="76">
        <v>0</v>
      </c>
      <c r="E157" s="78">
        <f>-'Annual Calculations'!$L$33*(1+$C$3)^E$176</f>
        <v>604.7106100000002</v>
      </c>
      <c r="F157" s="78">
        <f>-'Annual Calculations'!$L$33*(1+$C$3)^F$176</f>
        <v>631.31787684000017</v>
      </c>
      <c r="G157" s="78">
        <f>-'Annual Calculations'!$L$33*(1+$C$3)^G$176</f>
        <v>659.0958634209602</v>
      </c>
      <c r="H157" s="78">
        <f>-'Annual Calculations'!$L$33*(1+$C$3)^H$176</f>
        <v>688.09608141148237</v>
      </c>
      <c r="I157" s="78">
        <f>-'Annual Calculations'!$L$33*(1+$C$3)^I$176</f>
        <v>718.37230899358758</v>
      </c>
      <c r="J157" s="78">
        <f>-'Annual Calculations'!$L$33*(1+$C$3)^J$176</f>
        <v>749.9806905893056</v>
      </c>
      <c r="K157" s="78">
        <f>-'Annual Calculations'!$L$33*(1+$C$3)^K$176</f>
        <v>782.97984097523511</v>
      </c>
      <c r="L157" s="78">
        <f>-'Annual Calculations'!$L$33*(1+$C$3)^L$176</f>
        <v>817.43095397814534</v>
      </c>
      <c r="M157" s="78">
        <f>-'Annual Calculations'!$L$33*(1+$C$3)^M$176</f>
        <v>853.39791595318388</v>
      </c>
      <c r="N157" s="78">
        <f>-'Annual Calculations'!$L$33*(1+$C$3)^N$176</f>
        <v>890.94742425512391</v>
      </c>
      <c r="O157" s="78">
        <f>-'Annual Calculations'!$L$33*(1+$C$3)^O$176</f>
        <v>930.14911092234945</v>
      </c>
      <c r="P157" s="78">
        <f>-'Annual Calculations'!$L$33*(1+$C$3)^P$176</f>
        <v>971.07567180293279</v>
      </c>
      <c r="Q157" s="78">
        <f>-'Annual Calculations'!$L$33*(1+$C$3)^Q$176</f>
        <v>1013.8030013622617</v>
      </c>
      <c r="R157" s="78">
        <f>-'Annual Calculations'!$L$33*(1+$C$3)^R$176</f>
        <v>1058.4103334222013</v>
      </c>
      <c r="S157" s="78">
        <f>-'Annual Calculations'!$L$33*(1+$C$3)^S$176</f>
        <v>1104.9803880927784</v>
      </c>
      <c r="T157" s="78">
        <f>-'Annual Calculations'!$L$33*(1+$C$3)^T$176</f>
        <v>1153.5995251688605</v>
      </c>
      <c r="U157" s="78">
        <f>-'Annual Calculations'!$L$33*(1+$C$3)^U$176</f>
        <v>1204.3579042762904</v>
      </c>
      <c r="V157" s="78">
        <f>-'Annual Calculations'!$L$33*(1+$C$3)^V$176</f>
        <v>1257.3496520644474</v>
      </c>
      <c r="W157" s="78">
        <f>-'Annual Calculations'!$L$33*(1+$C$3)^W$176</f>
        <v>1312.673036755283</v>
      </c>
      <c r="X157" s="78">
        <f>-'Annual Calculations'!$L$33*(1+$C$3)^X$176</f>
        <v>1370.4306503725154</v>
      </c>
      <c r="Y157" s="78">
        <f>-'Annual Calculations'!$L$33*(1+$C$3)^Y$176</f>
        <v>1430.729598988906</v>
      </c>
      <c r="Z157" s="78">
        <f>-'Annual Calculations'!$L$33*(1+$C$3)^Z$176</f>
        <v>1493.6817013444181</v>
      </c>
      <c r="AA157" s="78">
        <f>-'Annual Calculations'!$L$33*(1+$C$3)^AA$176</f>
        <v>1559.4036962035725</v>
      </c>
      <c r="AB157" s="78">
        <f>-'Annual Calculations'!$L$33*(1+$C$3)^AB$176</f>
        <v>1628.0174588365298</v>
      </c>
      <c r="AC157" s="78">
        <f>-'Annual Calculations'!$L$33*(1+$C$3)^AC$176</f>
        <v>1699.650227025337</v>
      </c>
      <c r="AD157" s="78">
        <f>-'Annual Calculations'!$L$33*(1+$C$3)^AD$176</f>
        <v>1774.4348370144519</v>
      </c>
      <c r="AE157" s="78">
        <f>-'Annual Calculations'!$L$33*(1+$C$3)^AE$176</f>
        <v>1852.5099698430879</v>
      </c>
      <c r="AF157" s="78">
        <f>-'Annual Calculations'!$L$33*(1+$C$3)^AF$176</f>
        <v>1934.0204085161836</v>
      </c>
      <c r="AG157" s="78">
        <f>-'Annual Calculations'!$L$33*(1+$C$3)^AG$176</f>
        <v>2019.1173064908955</v>
      </c>
      <c r="AH157" s="78">
        <f>-'Annual Calculations'!$L$33*(1+$C$3)^AH$176</f>
        <v>2107.9584679764953</v>
      </c>
      <c r="AI157" s="78">
        <f>-'Annual Calculations'!$L$33*(1+$C$3)^AI$176</f>
        <v>2200.7086405674613</v>
      </c>
      <c r="AJ157" s="78">
        <f>-'Annual Calculations'!$L$33*(1+$C$3)^AJ$176</f>
        <v>2297.5398207524295</v>
      </c>
      <c r="AK157" s="78">
        <f>-'Annual Calculations'!$L$33*(1+$C$3)^AK$176</f>
        <v>2398.6315728655368</v>
      </c>
      <c r="AL157" s="78">
        <f>-'Annual Calculations'!$L$33*(1+$C$3)^AL$176</f>
        <v>2504.17136207162</v>
      </c>
      <c r="AM157" s="78">
        <f>-'Annual Calculations'!$L$33*(1+$C$3)^AM$176</f>
        <v>2614.3549020027713</v>
      </c>
      <c r="AN157" s="78">
        <f>-'Annual Calculations'!$L$33*(1+$C$3)^AN$176</f>
        <v>2729.3865176908935</v>
      </c>
      <c r="AO157" s="78">
        <f>-'Annual Calculations'!$L$33*(1+$C$3)^AO$176</f>
        <v>2849.4795244692928</v>
      </c>
      <c r="AP157" s="78">
        <f>-'Annual Calculations'!$L$33*(1+$C$3)^AP$176</f>
        <v>2974.8566235459416</v>
      </c>
      <c r="AQ157" s="78">
        <f>-'Annual Calculations'!$L$33*(1+$C$3)^AQ$176</f>
        <v>3105.7503149819636</v>
      </c>
      <c r="AR157" s="78">
        <f>-'Annual Calculations'!$L$33*(1+$C$3)^AR$176</f>
        <v>3242.4033288411692</v>
      </c>
      <c r="AS157" s="78">
        <f>-'Annual Calculations'!$L$33*(1+$C$3)^AS$176</f>
        <v>3385.0690753101812</v>
      </c>
      <c r="AT157" s="78">
        <f>-'Annual Calculations'!$L$33*(1+$C$3)^AT$176</f>
        <v>3534.0121146238293</v>
      </c>
      <c r="AU157" s="78">
        <f>-'Annual Calculations'!$L$33*(1+$C$3)^AU$176</f>
        <v>3689.5086476672782</v>
      </c>
      <c r="AV157" s="78">
        <f>-'Annual Calculations'!$L$33*(1+$C$3)^AV$176</f>
        <v>3851.8470281646382</v>
      </c>
      <c r="AW157" s="78">
        <f>-'Annual Calculations'!$L$33*(1+$C$3)^AW$176</f>
        <v>4021.3282974038821</v>
      </c>
      <c r="AX157" s="78">
        <f>-'Annual Calculations'!$L$33*(1+$C$3)^AX$176</f>
        <v>4198.2667424896526</v>
      </c>
      <c r="AY157" s="78">
        <f>-'Annual Calculations'!$L$33*(1+$C$3)^AY$176</f>
        <v>4382.990479159198</v>
      </c>
      <c r="AZ157" s="78">
        <f>-'Annual Calculations'!$L$33*(1+$C$3)^AZ$176</f>
        <v>4575.8420602422029</v>
      </c>
      <c r="BA157" s="78">
        <f>-'Annual Calculations'!$L$33*(1+$C$3)^BA$176</f>
        <v>4777.1791108928601</v>
      </c>
      <c r="BB157" s="78">
        <f>-'Annual Calculations'!$L$33*(1+$C$3)^BB$176</f>
        <v>4987.3749917721461</v>
      </c>
    </row>
    <row r="158" spans="1:54" x14ac:dyDescent="0.25">
      <c r="A158" s="180"/>
      <c r="B158" s="76" t="s">
        <v>358</v>
      </c>
      <c r="C158" s="77" t="s">
        <v>362</v>
      </c>
      <c r="D158" s="78">
        <f>SUM(D155:D157)</f>
        <v>-4985.4891000000007</v>
      </c>
      <c r="E158" s="78">
        <f>SUM(E155:E157)</f>
        <v>1000.6886770512851</v>
      </c>
      <c r="F158" s="78">
        <f t="shared" ref="F158:BB158" si="195">SUM(F155:F157)</f>
        <v>1044.7189788415417</v>
      </c>
      <c r="G158" s="78">
        <f t="shared" si="195"/>
        <v>1090.6866139105696</v>
      </c>
      <c r="H158" s="78">
        <f t="shared" si="195"/>
        <v>1138.6768249226345</v>
      </c>
      <c r="I158" s="78">
        <f t="shared" si="195"/>
        <v>1173.2757209017777</v>
      </c>
      <c r="J158" s="78">
        <f t="shared" si="195"/>
        <v>1241.0848638488769</v>
      </c>
      <c r="K158" s="78">
        <f t="shared" si="195"/>
        <v>1295.6925978582276</v>
      </c>
      <c r="L158" s="78">
        <f t="shared" si="195"/>
        <v>1352.7030721639894</v>
      </c>
      <c r="M158" s="78">
        <f t="shared" si="195"/>
        <v>1412.222007339205</v>
      </c>
      <c r="N158" s="78">
        <f t="shared" si="195"/>
        <v>-7195.4511141824432</v>
      </c>
      <c r="O158" s="78">
        <f t="shared" si="195"/>
        <v>1539.231605791264</v>
      </c>
      <c r="P158" s="78">
        <f t="shared" si="195"/>
        <v>1606.9577964460796</v>
      </c>
      <c r="Q158" s="78">
        <f t="shared" si="195"/>
        <v>1677.6639394897068</v>
      </c>
      <c r="R158" s="78">
        <f t="shared" si="195"/>
        <v>1751.4811528272539</v>
      </c>
      <c r="S158" s="78">
        <f t="shared" si="195"/>
        <v>1804.7002162961337</v>
      </c>
      <c r="T158" s="78">
        <f t="shared" si="195"/>
        <v>1181.6602259492624</v>
      </c>
      <c r="U158" s="78">
        <f t="shared" si="195"/>
        <v>1992.9984657065947</v>
      </c>
      <c r="V158" s="78">
        <f t="shared" si="195"/>
        <v>2080.6903981976852</v>
      </c>
      <c r="W158" s="78">
        <f t="shared" si="195"/>
        <v>2172.2407757183832</v>
      </c>
      <c r="X158" s="78">
        <f t="shared" si="195"/>
        <v>-11067.843602979001</v>
      </c>
      <c r="Y158" s="78">
        <f t="shared" si="195"/>
        <v>2367.6034221233917</v>
      </c>
      <c r="Z158" s="78">
        <f t="shared" si="195"/>
        <v>2471.7779726968211</v>
      </c>
      <c r="AA158" s="78">
        <f t="shared" si="195"/>
        <v>2580.5362034954815</v>
      </c>
      <c r="AB158" s="78">
        <f t="shared" si="195"/>
        <v>2694.0797964492831</v>
      </c>
      <c r="AC158" s="78">
        <f t="shared" si="195"/>
        <v>-6583.1991870129023</v>
      </c>
      <c r="AD158" s="78">
        <f t="shared" si="195"/>
        <v>2936.3745570227456</v>
      </c>
      <c r="AE158" s="78">
        <f t="shared" si="195"/>
        <v>3065.5750375317466</v>
      </c>
      <c r="AF158" s="78">
        <f t="shared" si="195"/>
        <v>3200.4603391831433</v>
      </c>
      <c r="AG158" s="78">
        <f t="shared" si="195"/>
        <v>3341.2805941072011</v>
      </c>
      <c r="AH158" s="78">
        <f t="shared" si="195"/>
        <v>-12111.228249116466</v>
      </c>
      <c r="AI158" s="78">
        <f t="shared" si="195"/>
        <v>3641.7820056188275</v>
      </c>
      <c r="AJ158" s="78">
        <f t="shared" si="195"/>
        <v>2353.4262666416607</v>
      </c>
      <c r="AK158" s="78">
        <f t="shared" si="195"/>
        <v>3969.3093120761623</v>
      </c>
      <c r="AL158" s="78">
        <f t="shared" si="195"/>
        <v>4143.9589218075125</v>
      </c>
      <c r="AM158" s="78">
        <f t="shared" si="195"/>
        <v>4269.8738438813871</v>
      </c>
      <c r="AN158" s="78">
        <f t="shared" si="195"/>
        <v>4516.6500113991942</v>
      </c>
      <c r="AO158" s="78">
        <f t="shared" si="195"/>
        <v>4715.3826119007581</v>
      </c>
      <c r="AP158" s="78">
        <f t="shared" si="195"/>
        <v>4922.8594468243919</v>
      </c>
      <c r="AQ158" s="78">
        <f t="shared" si="195"/>
        <v>5139.4652624846658</v>
      </c>
      <c r="AR158" s="78">
        <f t="shared" si="195"/>
        <v>-49977.021256217638</v>
      </c>
      <c r="AS158" s="78">
        <f t="shared" si="195"/>
        <v>5601.6882103314865</v>
      </c>
      <c r="AT158" s="78">
        <f t="shared" si="195"/>
        <v>5848.1624915860721</v>
      </c>
      <c r="AU158" s="78">
        <f t="shared" si="195"/>
        <v>6105.4816412158598</v>
      </c>
      <c r="AV158" s="78">
        <f t="shared" si="195"/>
        <v>6374.1228334293573</v>
      </c>
      <c r="AW158" s="78">
        <f t="shared" si="195"/>
        <v>6567.8016789499798</v>
      </c>
      <c r="AX158" s="78">
        <f t="shared" si="195"/>
        <v>6947.3859445766593</v>
      </c>
      <c r="AY158" s="78">
        <f t="shared" si="195"/>
        <v>7253.0709261380334</v>
      </c>
      <c r="AZ158" s="78">
        <f t="shared" si="195"/>
        <v>7572.2060468881073</v>
      </c>
      <c r="BA158" s="78">
        <f t="shared" si="195"/>
        <v>7905.3831129511836</v>
      </c>
      <c r="BB158" s="78">
        <f t="shared" si="195"/>
        <v>8145.5895718987058</v>
      </c>
    </row>
    <row r="159" spans="1:54" x14ac:dyDescent="0.25">
      <c r="A159" s="180"/>
      <c r="B159" s="76" t="s">
        <v>359</v>
      </c>
      <c r="C159" s="77"/>
      <c r="D159" s="76">
        <f t="shared" ref="D159:AI159" si="196">(1+$C$2)^D$176</f>
        <v>1</v>
      </c>
      <c r="E159" s="79">
        <f t="shared" si="196"/>
        <v>1.1499999999999999</v>
      </c>
      <c r="F159" s="79">
        <f t="shared" si="196"/>
        <v>1.3224999999999998</v>
      </c>
      <c r="G159" s="79">
        <f t="shared" si="196"/>
        <v>1.5208749999999995</v>
      </c>
      <c r="H159" s="79">
        <f t="shared" si="196"/>
        <v>1.7490062499999994</v>
      </c>
      <c r="I159" s="79">
        <f t="shared" si="196"/>
        <v>2.0113571874999994</v>
      </c>
      <c r="J159" s="79">
        <f t="shared" si="196"/>
        <v>2.3130607656249991</v>
      </c>
      <c r="K159" s="79">
        <f t="shared" si="196"/>
        <v>2.6600198804687483</v>
      </c>
      <c r="L159" s="79">
        <f t="shared" si="196"/>
        <v>3.0590228625390603</v>
      </c>
      <c r="M159" s="79">
        <f t="shared" si="196"/>
        <v>3.5178762919199191</v>
      </c>
      <c r="N159" s="79">
        <f t="shared" si="196"/>
        <v>4.0455577357079067</v>
      </c>
      <c r="O159" s="79">
        <f t="shared" si="196"/>
        <v>4.6523913960640924</v>
      </c>
      <c r="P159" s="79">
        <f t="shared" si="196"/>
        <v>5.3502501054737053</v>
      </c>
      <c r="Q159" s="79">
        <f t="shared" si="196"/>
        <v>6.1527876212947614</v>
      </c>
      <c r="R159" s="79">
        <f t="shared" si="196"/>
        <v>7.0757057644889754</v>
      </c>
      <c r="S159" s="79">
        <f t="shared" si="196"/>
        <v>8.1370616291623197</v>
      </c>
      <c r="T159" s="79">
        <f t="shared" si="196"/>
        <v>9.3576208735366659</v>
      </c>
      <c r="U159" s="79">
        <f t="shared" si="196"/>
        <v>10.761264004567165</v>
      </c>
      <c r="V159" s="79">
        <f t="shared" si="196"/>
        <v>12.375453605252238</v>
      </c>
      <c r="W159" s="79">
        <f t="shared" si="196"/>
        <v>14.231771646040073</v>
      </c>
      <c r="X159" s="79">
        <f t="shared" si="196"/>
        <v>16.366537392946082</v>
      </c>
      <c r="Y159" s="79">
        <f t="shared" si="196"/>
        <v>18.821518001887995</v>
      </c>
      <c r="Z159" s="79">
        <f t="shared" si="196"/>
        <v>21.644745702171193</v>
      </c>
      <c r="AA159" s="79">
        <f t="shared" si="196"/>
        <v>24.891457557496867</v>
      </c>
      <c r="AB159" s="79">
        <f t="shared" si="196"/>
        <v>28.625176191121394</v>
      </c>
      <c r="AC159" s="79">
        <f t="shared" si="196"/>
        <v>32.9189526197896</v>
      </c>
      <c r="AD159" s="79">
        <f t="shared" si="196"/>
        <v>37.85679551275804</v>
      </c>
      <c r="AE159" s="79">
        <f t="shared" si="196"/>
        <v>43.535314839671742</v>
      </c>
      <c r="AF159" s="79">
        <f t="shared" si="196"/>
        <v>50.065612065622496</v>
      </c>
      <c r="AG159" s="79">
        <f t="shared" si="196"/>
        <v>57.575453875465868</v>
      </c>
      <c r="AH159" s="79">
        <f t="shared" si="196"/>
        <v>66.211771956785753</v>
      </c>
      <c r="AI159" s="79">
        <f t="shared" si="196"/>
        <v>76.143537750303594</v>
      </c>
      <c r="AJ159" s="79">
        <f t="shared" ref="AJ159:BB159" si="197">(1+$C$2)^AJ$176</f>
        <v>87.565068412849115</v>
      </c>
      <c r="AK159" s="79">
        <f t="shared" si="197"/>
        <v>100.69982867477647</v>
      </c>
      <c r="AL159" s="79">
        <f t="shared" si="197"/>
        <v>115.80480297599294</v>
      </c>
      <c r="AM159" s="79">
        <f t="shared" si="197"/>
        <v>133.17552342239185</v>
      </c>
      <c r="AN159" s="79">
        <f t="shared" si="197"/>
        <v>153.15185193575064</v>
      </c>
      <c r="AO159" s="79">
        <f t="shared" si="197"/>
        <v>176.12462972611323</v>
      </c>
      <c r="AP159" s="79">
        <f t="shared" si="197"/>
        <v>202.5433241850302</v>
      </c>
      <c r="AQ159" s="79">
        <f t="shared" si="197"/>
        <v>232.92482281278467</v>
      </c>
      <c r="AR159" s="79">
        <f t="shared" si="197"/>
        <v>267.86354623470237</v>
      </c>
      <c r="AS159" s="79">
        <f t="shared" si="197"/>
        <v>308.04307816990769</v>
      </c>
      <c r="AT159" s="79">
        <f t="shared" si="197"/>
        <v>354.24953989539381</v>
      </c>
      <c r="AU159" s="79">
        <f t="shared" si="197"/>
        <v>407.38697087970286</v>
      </c>
      <c r="AV159" s="79">
        <f t="shared" si="197"/>
        <v>468.49501651165821</v>
      </c>
      <c r="AW159" s="79">
        <f t="shared" si="197"/>
        <v>538.76926898840691</v>
      </c>
      <c r="AX159" s="79">
        <f t="shared" si="197"/>
        <v>619.58465933666798</v>
      </c>
      <c r="AY159" s="79">
        <f t="shared" si="197"/>
        <v>712.52235823716796</v>
      </c>
      <c r="AZ159" s="79">
        <f t="shared" si="197"/>
        <v>819.40071197274301</v>
      </c>
      <c r="BA159" s="79">
        <f t="shared" si="197"/>
        <v>942.31081876865449</v>
      </c>
      <c r="BB159" s="79">
        <f t="shared" si="197"/>
        <v>1083.6574415839525</v>
      </c>
    </row>
    <row r="160" spans="1:54" s="76" customFormat="1" x14ac:dyDescent="0.25">
      <c r="A160" s="180"/>
      <c r="B160" s="76" t="s">
        <v>360</v>
      </c>
      <c r="C160" s="77" t="s">
        <v>362</v>
      </c>
      <c r="D160" s="76">
        <f>D158/D159</f>
        <v>-4985.4891000000007</v>
      </c>
      <c r="E160" s="78">
        <f>E158/E159</f>
        <v>870.16406700111759</v>
      </c>
      <c r="F160" s="78">
        <f>F158/F159</f>
        <v>789.95763995579728</v>
      </c>
      <c r="G160" s="78">
        <f t="shared" ref="G160:BB160" si="198">G158/G159</f>
        <v>717.14415314248038</v>
      </c>
      <c r="H160" s="78">
        <f t="shared" si="198"/>
        <v>651.04217033108648</v>
      </c>
      <c r="I160" s="78">
        <f t="shared" si="198"/>
        <v>583.32539252269339</v>
      </c>
      <c r="J160" s="78">
        <f t="shared" si="198"/>
        <v>536.55523551000636</v>
      </c>
      <c r="K160" s="78">
        <f t="shared" si="198"/>
        <v>487.09883988908416</v>
      </c>
      <c r="L160" s="78">
        <f t="shared" si="198"/>
        <v>442.20103377756857</v>
      </c>
      <c r="M160" s="78">
        <f t="shared" si="198"/>
        <v>401.44163414241876</v>
      </c>
      <c r="N160" s="78">
        <f t="shared" si="198"/>
        <v>-1778.6054690734395</v>
      </c>
      <c r="O160" s="78">
        <f t="shared" si="198"/>
        <v>330.84740185304463</v>
      </c>
      <c r="P160" s="78">
        <f t="shared" si="198"/>
        <v>300.35190220398141</v>
      </c>
      <c r="Q160" s="78">
        <f t="shared" si="198"/>
        <v>272.66729208778827</v>
      </c>
      <c r="R160" s="78">
        <f t="shared" si="198"/>
        <v>247.53448081708783</v>
      </c>
      <c r="S160" s="78">
        <f t="shared" si="198"/>
        <v>221.78770403167277</v>
      </c>
      <c r="T160" s="78">
        <f t="shared" si="198"/>
        <v>126.27784796144022</v>
      </c>
      <c r="U160" s="78">
        <f t="shared" si="198"/>
        <v>185.20114968471646</v>
      </c>
      <c r="V160" s="78">
        <f t="shared" si="198"/>
        <v>168.13043501812524</v>
      </c>
      <c r="W160" s="78">
        <f t="shared" si="198"/>
        <v>152.6331949208024</v>
      </c>
      <c r="X160" s="78">
        <f t="shared" si="198"/>
        <v>-676.24833141243437</v>
      </c>
      <c r="Y160" s="78">
        <f t="shared" si="198"/>
        <v>125.79237348899788</v>
      </c>
      <c r="Z160" s="78">
        <f t="shared" si="198"/>
        <v>114.19759819349026</v>
      </c>
      <c r="AA160" s="78">
        <f t="shared" si="198"/>
        <v>103.67155870782945</v>
      </c>
      <c r="AB160" s="78">
        <f t="shared" si="198"/>
        <v>94.115745470412151</v>
      </c>
      <c r="AC160" s="78">
        <f t="shared" si="198"/>
        <v>-199.9820365808157</v>
      </c>
      <c r="AD160" s="78">
        <f t="shared" si="198"/>
        <v>77.565322612505966</v>
      </c>
      <c r="AE160" s="78">
        <f t="shared" si="198"/>
        <v>70.415823310831513</v>
      </c>
      <c r="AF160" s="78">
        <f t="shared" si="198"/>
        <v>63.925321336094008</v>
      </c>
      <c r="AG160" s="78">
        <f t="shared" si="198"/>
        <v>58.033074325984465</v>
      </c>
      <c r="AH160" s="78">
        <f t="shared" si="198"/>
        <v>-182.9165402342814</v>
      </c>
      <c r="AI160" s="78">
        <f t="shared" si="198"/>
        <v>47.827853987573718</v>
      </c>
      <c r="AJ160" s="78">
        <f t="shared" si="198"/>
        <v>26.876313914879827</v>
      </c>
      <c r="AK160" s="78">
        <f t="shared" si="198"/>
        <v>39.417239972627719</v>
      </c>
      <c r="AL160" s="78">
        <f t="shared" si="198"/>
        <v>35.783998722976811</v>
      </c>
      <c r="AM160" s="78">
        <f t="shared" si="198"/>
        <v>32.062001591228281</v>
      </c>
      <c r="AN160" s="78">
        <f t="shared" si="198"/>
        <v>29.491318285161793</v>
      </c>
      <c r="AO160" s="78">
        <f t="shared" si="198"/>
        <v>26.772988078007746</v>
      </c>
      <c r="AP160" s="78">
        <f t="shared" si="198"/>
        <v>24.305217002991384</v>
      </c>
      <c r="AQ160" s="78">
        <f t="shared" si="198"/>
        <v>22.064910044454795</v>
      </c>
      <c r="AR160" s="78">
        <f t="shared" si="198"/>
        <v>-186.57641907132714</v>
      </c>
      <c r="AS160" s="78">
        <f t="shared" si="198"/>
        <v>18.184755988062673</v>
      </c>
      <c r="AT160" s="78">
        <f t="shared" si="198"/>
        <v>16.508595870902113</v>
      </c>
      <c r="AU160" s="78">
        <f t="shared" si="198"/>
        <v>14.98693399062766</v>
      </c>
      <c r="AV160" s="78">
        <f t="shared" si="198"/>
        <v>13.6055296401872</v>
      </c>
      <c r="AW160" s="78">
        <f t="shared" si="198"/>
        <v>12.19037917897894</v>
      </c>
      <c r="AX160" s="78">
        <f t="shared" si="198"/>
        <v>11.212972819589471</v>
      </c>
      <c r="AY160" s="78">
        <f t="shared" si="198"/>
        <v>10.17942923795775</v>
      </c>
      <c r="AZ160" s="78">
        <f t="shared" si="198"/>
        <v>9.2411514125459941</v>
      </c>
      <c r="BA160" s="78">
        <f t="shared" si="198"/>
        <v>8.3893583258243627</v>
      </c>
      <c r="BB160" s="78">
        <f t="shared" si="198"/>
        <v>7.5167569190430878</v>
      </c>
    </row>
    <row r="161" spans="1:54" s="76" customFormat="1" x14ac:dyDescent="0.25">
      <c r="A161" s="180"/>
      <c r="B161" s="76" t="s">
        <v>645</v>
      </c>
      <c r="C161" s="77" t="s">
        <v>362</v>
      </c>
      <c r="D161" s="76">
        <f>D160</f>
        <v>-4985.4891000000007</v>
      </c>
      <c r="E161" s="78">
        <f>E160+D161</f>
        <v>-4115.3250329988832</v>
      </c>
      <c r="F161" s="78">
        <f t="shared" ref="F161:BB161" si="199">F160+E161</f>
        <v>-3325.3673930430859</v>
      </c>
      <c r="G161" s="78">
        <f t="shared" si="199"/>
        <v>-2608.2232399006057</v>
      </c>
      <c r="H161" s="78">
        <f t="shared" si="199"/>
        <v>-1957.1810695695192</v>
      </c>
      <c r="I161" s="78">
        <f t="shared" si="199"/>
        <v>-1373.8556770468258</v>
      </c>
      <c r="J161" s="78">
        <f t="shared" si="199"/>
        <v>-837.30044153681945</v>
      </c>
      <c r="K161" s="78">
        <f t="shared" si="199"/>
        <v>-350.20160164773529</v>
      </c>
      <c r="L161" s="78">
        <f t="shared" si="199"/>
        <v>91.999432129833281</v>
      </c>
      <c r="M161" s="78">
        <f t="shared" si="199"/>
        <v>493.44106627225204</v>
      </c>
      <c r="N161" s="78">
        <f t="shared" si="199"/>
        <v>-1285.1644028011874</v>
      </c>
      <c r="O161" s="78">
        <f t="shared" si="199"/>
        <v>-954.31700094814278</v>
      </c>
      <c r="P161" s="78">
        <f t="shared" si="199"/>
        <v>-653.96509874416142</v>
      </c>
      <c r="Q161" s="78">
        <f t="shared" si="199"/>
        <v>-381.29780665637315</v>
      </c>
      <c r="R161" s="78">
        <f t="shared" si="199"/>
        <v>-133.76332583928533</v>
      </c>
      <c r="S161" s="78">
        <f t="shared" si="199"/>
        <v>88.024378192387445</v>
      </c>
      <c r="T161" s="78">
        <f t="shared" si="199"/>
        <v>214.30222615382766</v>
      </c>
      <c r="U161" s="78">
        <f t="shared" si="199"/>
        <v>399.50337583854412</v>
      </c>
      <c r="V161" s="78">
        <f t="shared" si="199"/>
        <v>567.63381085666936</v>
      </c>
      <c r="W161" s="78">
        <f t="shared" si="199"/>
        <v>720.2670057774717</v>
      </c>
      <c r="X161" s="78">
        <f t="shared" si="199"/>
        <v>44.018674365037327</v>
      </c>
      <c r="Y161" s="78">
        <f t="shared" si="199"/>
        <v>169.81104785403522</v>
      </c>
      <c r="Z161" s="78">
        <f t="shared" si="199"/>
        <v>284.00864604752547</v>
      </c>
      <c r="AA161" s="78">
        <f t="shared" si="199"/>
        <v>387.68020475535491</v>
      </c>
      <c r="AB161" s="78">
        <f t="shared" si="199"/>
        <v>481.79595022576706</v>
      </c>
      <c r="AC161" s="78">
        <f t="shared" si="199"/>
        <v>281.81391364495136</v>
      </c>
      <c r="AD161" s="78">
        <f t="shared" si="199"/>
        <v>359.37923625745731</v>
      </c>
      <c r="AE161" s="78">
        <f t="shared" si="199"/>
        <v>429.79505956828882</v>
      </c>
      <c r="AF161" s="78">
        <f t="shared" si="199"/>
        <v>493.72038090438281</v>
      </c>
      <c r="AG161" s="78">
        <f t="shared" si="199"/>
        <v>551.75345523036731</v>
      </c>
      <c r="AH161" s="78">
        <f t="shared" si="199"/>
        <v>368.83691499608591</v>
      </c>
      <c r="AI161" s="78">
        <f t="shared" si="199"/>
        <v>416.66476898365966</v>
      </c>
      <c r="AJ161" s="78">
        <f t="shared" si="199"/>
        <v>443.54108289853946</v>
      </c>
      <c r="AK161" s="78">
        <f t="shared" si="199"/>
        <v>482.95832287116718</v>
      </c>
      <c r="AL161" s="78">
        <f t="shared" si="199"/>
        <v>518.74232159414396</v>
      </c>
      <c r="AM161" s="78">
        <f t="shared" si="199"/>
        <v>550.80432318537225</v>
      </c>
      <c r="AN161" s="78">
        <f t="shared" si="199"/>
        <v>580.29564147053406</v>
      </c>
      <c r="AO161" s="78">
        <f t="shared" si="199"/>
        <v>607.06862954854182</v>
      </c>
      <c r="AP161" s="78">
        <f t="shared" si="199"/>
        <v>631.37384655153323</v>
      </c>
      <c r="AQ161" s="78">
        <f t="shared" si="199"/>
        <v>653.43875659598802</v>
      </c>
      <c r="AR161" s="78">
        <f t="shared" si="199"/>
        <v>466.86233752466092</v>
      </c>
      <c r="AS161" s="78">
        <f t="shared" si="199"/>
        <v>485.04709351272356</v>
      </c>
      <c r="AT161" s="78">
        <f t="shared" si="199"/>
        <v>501.55568938362569</v>
      </c>
      <c r="AU161" s="78">
        <f t="shared" si="199"/>
        <v>516.54262337425337</v>
      </c>
      <c r="AV161" s="78">
        <f t="shared" si="199"/>
        <v>530.1481530144406</v>
      </c>
      <c r="AW161" s="78">
        <f t="shared" si="199"/>
        <v>542.3385321934195</v>
      </c>
      <c r="AX161" s="78">
        <f t="shared" si="199"/>
        <v>553.55150501300898</v>
      </c>
      <c r="AY161" s="78">
        <f t="shared" si="199"/>
        <v>563.7309342509667</v>
      </c>
      <c r="AZ161" s="78">
        <f t="shared" si="199"/>
        <v>572.97208566351264</v>
      </c>
      <c r="BA161" s="78">
        <f t="shared" si="199"/>
        <v>581.36144398933698</v>
      </c>
      <c r="BB161" s="78">
        <f t="shared" si="199"/>
        <v>588.87820090838011</v>
      </c>
    </row>
    <row r="162" spans="1:54" s="76" customFormat="1" x14ac:dyDescent="0.25">
      <c r="B162" s="80" t="s">
        <v>361</v>
      </c>
      <c r="C162" s="81" t="s">
        <v>362</v>
      </c>
      <c r="D162" s="92">
        <f>SUM(D160:BB160)</f>
        <v>588.87820090838011</v>
      </c>
    </row>
    <row r="163" spans="1:54" s="76" customFormat="1" x14ac:dyDescent="0.25">
      <c r="B163"/>
      <c r="C163" s="70"/>
      <c r="D163"/>
      <c r="E163" s="71"/>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row>
    <row r="164" spans="1:54" s="76" customFormat="1" x14ac:dyDescent="0.25">
      <c r="B164" s="76" t="s">
        <v>646</v>
      </c>
      <c r="C164" s="134" t="s">
        <v>362</v>
      </c>
      <c r="D164" s="76">
        <f>D161*'General variables'!$B$11</f>
        <v>-39883.912800000006</v>
      </c>
      <c r="E164" s="76">
        <f>E161*'General variables'!$B$11</f>
        <v>-32922.600263991066</v>
      </c>
      <c r="F164" s="76">
        <f>F161*'General variables'!$B$11</f>
        <v>-26602.939144344688</v>
      </c>
      <c r="G164" s="76">
        <f>G161*'General variables'!$B$11</f>
        <v>-20865.785919204845</v>
      </c>
      <c r="H164" s="76">
        <f>H161*'General variables'!$B$11</f>
        <v>-15657.448556556154</v>
      </c>
      <c r="I164" s="76">
        <f>I161*'General variables'!$B$11</f>
        <v>-10990.845416374606</v>
      </c>
      <c r="J164" s="76">
        <f>J161*'General variables'!$B$11</f>
        <v>-6698.4035322945556</v>
      </c>
      <c r="K164" s="76">
        <f>K161*'General variables'!$B$11</f>
        <v>-2801.6128131818823</v>
      </c>
      <c r="L164" s="76">
        <f>L161*'General variables'!$B$11</f>
        <v>735.99545703866625</v>
      </c>
      <c r="M164" s="76">
        <f>M161*'General variables'!$B$11</f>
        <v>3947.5285301780164</v>
      </c>
      <c r="N164" s="76">
        <f>N161*'General variables'!$B$11</f>
        <v>-10281.315222409499</v>
      </c>
      <c r="O164" s="76">
        <f>O161*'General variables'!$B$11</f>
        <v>-7634.5360075851422</v>
      </c>
      <c r="P164" s="76">
        <f>P161*'General variables'!$B$11</f>
        <v>-5231.7207899532914</v>
      </c>
      <c r="Q164" s="76">
        <f>Q161*'General variables'!$B$11</f>
        <v>-3050.3824532509852</v>
      </c>
      <c r="R164" s="76">
        <f>R161*'General variables'!$B$11</f>
        <v>-1070.1066067142826</v>
      </c>
      <c r="S164" s="76">
        <f>S161*'General variables'!$B$11</f>
        <v>704.19502553909956</v>
      </c>
      <c r="T164" s="76">
        <f>T161*'General variables'!$B$11</f>
        <v>1714.4178092306213</v>
      </c>
      <c r="U164" s="76">
        <f>U161*'General variables'!$B$11</f>
        <v>3196.0270067083529</v>
      </c>
      <c r="V164" s="76">
        <f>V161*'General variables'!$B$11</f>
        <v>4541.0704868533549</v>
      </c>
      <c r="W164" s="76">
        <f>W161*'General variables'!$B$11</f>
        <v>5762.1360462197736</v>
      </c>
      <c r="X164" s="76">
        <f>X161*'General variables'!$B$11</f>
        <v>352.14939492029862</v>
      </c>
      <c r="Y164" s="76">
        <f>Y161*'General variables'!$B$11</f>
        <v>1358.4883828322818</v>
      </c>
      <c r="Z164" s="76">
        <f>Z161*'General variables'!$B$11</f>
        <v>2272.0691683802038</v>
      </c>
      <c r="AA164" s="76">
        <f>AA161*'General variables'!$B$11</f>
        <v>3101.4416380428393</v>
      </c>
      <c r="AB164" s="76">
        <f>AB161*'General variables'!$B$11</f>
        <v>3854.3676018061365</v>
      </c>
      <c r="AC164" s="76">
        <f>AC161*'General variables'!$B$11</f>
        <v>2254.5113091596108</v>
      </c>
      <c r="AD164" s="76">
        <f>AD161*'General variables'!$B$11</f>
        <v>2875.0338900596585</v>
      </c>
      <c r="AE164" s="76">
        <f>AE161*'General variables'!$B$11</f>
        <v>3438.3604765463106</v>
      </c>
      <c r="AF164" s="76">
        <f>AF161*'General variables'!$B$11</f>
        <v>3949.7630472350625</v>
      </c>
      <c r="AG164" s="76">
        <f>AG161*'General variables'!$B$11</f>
        <v>4414.0276418429385</v>
      </c>
      <c r="AH164" s="76">
        <f>AH161*'General variables'!$B$11</f>
        <v>2950.6953199686873</v>
      </c>
      <c r="AI164" s="76">
        <f>AI161*'General variables'!$B$11</f>
        <v>3333.3181518692772</v>
      </c>
      <c r="AJ164" s="76">
        <f>AJ161*'General variables'!$B$11</f>
        <v>3548.3286631883157</v>
      </c>
      <c r="AK164" s="76">
        <f>AK161*'General variables'!$B$11</f>
        <v>3863.6665829693375</v>
      </c>
      <c r="AL164" s="76">
        <f>AL161*'General variables'!$B$11</f>
        <v>4149.9385727531517</v>
      </c>
      <c r="AM164" s="76">
        <f>AM161*'General variables'!$B$11</f>
        <v>4406.434585482978</v>
      </c>
      <c r="AN164" s="76">
        <f>AN161*'General variables'!$B$11</f>
        <v>4642.3651317642725</v>
      </c>
      <c r="AO164" s="76">
        <f>AO161*'General variables'!$B$11</f>
        <v>4856.5490363883346</v>
      </c>
      <c r="AP164" s="76">
        <f>AP161*'General variables'!$B$11</f>
        <v>5050.9907724122659</v>
      </c>
      <c r="AQ164" s="76">
        <f>AQ161*'General variables'!$B$11</f>
        <v>5227.5100527679042</v>
      </c>
      <c r="AR164" s="76">
        <f>AR161*'General variables'!$B$11</f>
        <v>3734.8987001972873</v>
      </c>
      <c r="AS164" s="76">
        <f>AS161*'General variables'!$B$11</f>
        <v>3880.3767481017885</v>
      </c>
      <c r="AT164" s="76">
        <f>AT161*'General variables'!$B$11</f>
        <v>4012.4455150690055</v>
      </c>
      <c r="AU164" s="76">
        <f>AU161*'General variables'!$B$11</f>
        <v>4132.3409869940269</v>
      </c>
      <c r="AV164" s="76">
        <f>AV161*'General variables'!$B$11</f>
        <v>4241.1852241155248</v>
      </c>
      <c r="AW164" s="76">
        <f>AW161*'General variables'!$B$11</f>
        <v>4338.708257547356</v>
      </c>
      <c r="AX164" s="76">
        <f>AX161*'General variables'!$B$11</f>
        <v>4428.4120401040718</v>
      </c>
      <c r="AY164" s="76">
        <f>AY161*'General variables'!$B$11</f>
        <v>4509.8474740077336</v>
      </c>
      <c r="AZ164" s="76">
        <f>AZ161*'General variables'!$B$11</f>
        <v>4583.7766853081012</v>
      </c>
      <c r="BA164" s="76">
        <f>BA161*'General variables'!$B$11</f>
        <v>4650.8915519146958</v>
      </c>
      <c r="BB164" s="76">
        <f>BB161*'General variables'!$B$11</f>
        <v>4711.0256072670409</v>
      </c>
    </row>
    <row r="165" spans="1:54" s="76" customFormat="1" x14ac:dyDescent="0.25">
      <c r="C165" s="134"/>
    </row>
    <row r="166" spans="1:54" x14ac:dyDescent="0.25">
      <c r="A166" s="183" t="s">
        <v>857</v>
      </c>
      <c r="B166" s="76" t="s">
        <v>363</v>
      </c>
      <c r="C166" s="77" t="s">
        <v>362</v>
      </c>
      <c r="D166" s="78">
        <f>D7+D15+D23+D31+D39+D55+D87+D111+D119+D127</f>
        <v>-3428.2015999999994</v>
      </c>
      <c r="E166" s="78">
        <f t="shared" ref="E166:BB166" si="200">E7+E15+E23+E31+E39+E55+E87+E111+E119+E127</f>
        <v>0</v>
      </c>
      <c r="F166" s="78">
        <f t="shared" si="200"/>
        <v>0</v>
      </c>
      <c r="G166" s="78">
        <f t="shared" si="200"/>
        <v>0</v>
      </c>
      <c r="H166" s="78">
        <f t="shared" si="200"/>
        <v>0</v>
      </c>
      <c r="I166" s="78">
        <f t="shared" si="200"/>
        <v>-15.5028843174528</v>
      </c>
      <c r="J166" s="78">
        <f t="shared" si="200"/>
        <v>0</v>
      </c>
      <c r="K166" s="78">
        <f t="shared" si="200"/>
        <v>0</v>
      </c>
      <c r="L166" s="78">
        <f t="shared" si="200"/>
        <v>0</v>
      </c>
      <c r="M166" s="78">
        <f t="shared" si="200"/>
        <v>0</v>
      </c>
      <c r="N166" s="78">
        <f t="shared" si="200"/>
        <v>-3009.7377052807869</v>
      </c>
      <c r="O166" s="78">
        <f t="shared" si="200"/>
        <v>0</v>
      </c>
      <c r="P166" s="78">
        <f t="shared" si="200"/>
        <v>0</v>
      </c>
      <c r="Q166" s="78">
        <f t="shared" si="200"/>
        <v>0</v>
      </c>
      <c r="R166" s="78">
        <f t="shared" si="200"/>
        <v>0</v>
      </c>
      <c r="S166" s="78">
        <f t="shared" si="200"/>
        <v>-23.846107255519719</v>
      </c>
      <c r="T166" s="78">
        <f t="shared" si="200"/>
        <v>-727.34213583866369</v>
      </c>
      <c r="U166" s="78">
        <f t="shared" si="200"/>
        <v>0</v>
      </c>
      <c r="V166" s="78">
        <f t="shared" si="200"/>
        <v>0</v>
      </c>
      <c r="W166" s="78">
        <f t="shared" si="200"/>
        <v>0</v>
      </c>
      <c r="X166" s="78">
        <f t="shared" si="200"/>
        <v>-4629.4951740244724</v>
      </c>
      <c r="Y166" s="78">
        <f t="shared" si="200"/>
        <v>0</v>
      </c>
      <c r="Z166" s="78">
        <f t="shared" si="200"/>
        <v>0</v>
      </c>
      <c r="AA166" s="78">
        <f t="shared" si="200"/>
        <v>0</v>
      </c>
      <c r="AB166" s="78">
        <f t="shared" si="200"/>
        <v>0</v>
      </c>
      <c r="AC166" s="78">
        <f t="shared" si="200"/>
        <v>-12907.378535696387</v>
      </c>
      <c r="AD166" s="78">
        <f t="shared" si="200"/>
        <v>0</v>
      </c>
      <c r="AE166" s="78">
        <f t="shared" si="200"/>
        <v>0</v>
      </c>
      <c r="AF166" s="78">
        <f t="shared" si="200"/>
        <v>0</v>
      </c>
      <c r="AG166" s="78">
        <f t="shared" si="200"/>
        <v>0</v>
      </c>
      <c r="AH166" s="78">
        <f t="shared" si="200"/>
        <v>-2207.9390261932022</v>
      </c>
      <c r="AI166" s="78">
        <f t="shared" si="200"/>
        <v>0</v>
      </c>
      <c r="AJ166" s="78">
        <f t="shared" si="200"/>
        <v>-1448.5941472243949</v>
      </c>
      <c r="AK166" s="78">
        <f t="shared" si="200"/>
        <v>0</v>
      </c>
      <c r="AL166" s="78">
        <f t="shared" si="200"/>
        <v>0</v>
      </c>
      <c r="AM166" s="78">
        <f t="shared" si="200"/>
        <v>-56.419270485656206</v>
      </c>
      <c r="AN166" s="78">
        <f t="shared" si="200"/>
        <v>0</v>
      </c>
      <c r="AO166" s="78">
        <f t="shared" si="200"/>
        <v>0</v>
      </c>
      <c r="AP166" s="78">
        <f t="shared" si="200"/>
        <v>0</v>
      </c>
      <c r="AQ166" s="78">
        <f t="shared" si="200"/>
        <v>0</v>
      </c>
      <c r="AR166" s="78">
        <f t="shared" si="200"/>
        <v>-34744.056076544402</v>
      </c>
      <c r="AS166" s="78">
        <f t="shared" si="200"/>
        <v>0</v>
      </c>
      <c r="AT166" s="78">
        <f t="shared" si="200"/>
        <v>0</v>
      </c>
      <c r="AU166" s="78">
        <f t="shared" si="200"/>
        <v>0</v>
      </c>
      <c r="AV166" s="78">
        <f t="shared" si="200"/>
        <v>0</v>
      </c>
      <c r="AW166" s="78">
        <f t="shared" si="200"/>
        <v>-86.782559150269662</v>
      </c>
      <c r="AX166" s="78">
        <f t="shared" si="200"/>
        <v>0</v>
      </c>
      <c r="AY166" s="78">
        <f t="shared" si="200"/>
        <v>0</v>
      </c>
      <c r="AZ166" s="78">
        <f t="shared" si="200"/>
        <v>0</v>
      </c>
      <c r="BA166" s="78">
        <f t="shared" si="200"/>
        <v>0</v>
      </c>
      <c r="BB166" s="78">
        <f t="shared" si="200"/>
        <v>-107.63039802233088</v>
      </c>
    </row>
    <row r="167" spans="1:54" x14ac:dyDescent="0.25">
      <c r="A167" s="183"/>
      <c r="B167" s="76" t="s">
        <v>356</v>
      </c>
      <c r="C167" s="77" t="s">
        <v>362</v>
      </c>
      <c r="D167" s="76">
        <v>0</v>
      </c>
      <c r="E167" s="78">
        <f>ABS('Annual Calculations'!$Q$18)*(1+$C$3)^E$176</f>
        <v>520.88507970673879</v>
      </c>
      <c r="F167" s="78">
        <f>ABS('Annual Calculations'!$Q$18)*(1+$C$3)^F$176</f>
        <v>543.80402321383531</v>
      </c>
      <c r="G167" s="78">
        <f>ABS('Annual Calculations'!$Q$18)*(1+$C$3)^G$176</f>
        <v>567.73140023524422</v>
      </c>
      <c r="H167" s="78">
        <f>ABS('Annual Calculations'!$Q$18)*(1+$C$3)^H$176</f>
        <v>592.71158184559488</v>
      </c>
      <c r="I167" s="78">
        <f>ABS('Annual Calculations'!$Q$18)*(1+$C$3)^I$176</f>
        <v>618.79089144680097</v>
      </c>
      <c r="J167" s="78">
        <f>ABS('Annual Calculations'!$Q$18)*(1+$C$3)^J$176</f>
        <v>646.0176906704603</v>
      </c>
      <c r="K167" s="78">
        <f>ABS('Annual Calculations'!$Q$18)*(1+$C$3)^K$176</f>
        <v>674.44246905996067</v>
      </c>
      <c r="L167" s="78">
        <f>ABS('Annual Calculations'!$Q$18)*(1+$C$3)^L$176</f>
        <v>704.11793769859889</v>
      </c>
      <c r="M167" s="78">
        <f>ABS('Annual Calculations'!$Q$18)*(1+$C$3)^M$176</f>
        <v>735.09912695733726</v>
      </c>
      <c r="N167" s="78">
        <f>ABS('Annual Calculations'!$Q$18)*(1+$C$3)^N$176</f>
        <v>767.44348854346015</v>
      </c>
      <c r="O167" s="78">
        <f>ABS('Annual Calculations'!$Q$18)*(1+$C$3)^O$176</f>
        <v>801.21100203937249</v>
      </c>
      <c r="P167" s="78">
        <f>ABS('Annual Calculations'!$Q$18)*(1+$C$3)^P$176</f>
        <v>836.46428612910483</v>
      </c>
      <c r="Q167" s="78">
        <f>ABS('Annual Calculations'!$Q$18)*(1+$C$3)^Q$176</f>
        <v>873.2687147187853</v>
      </c>
      <c r="R167" s="78">
        <f>ABS('Annual Calculations'!$Q$18)*(1+$C$3)^R$176</f>
        <v>911.69253816641196</v>
      </c>
      <c r="S167" s="78">
        <f>ABS('Annual Calculations'!$Q$18)*(1+$C$3)^S$176</f>
        <v>951.80700984573423</v>
      </c>
      <c r="T167" s="78">
        <f>ABS('Annual Calculations'!$Q$18)*(1+$C$3)^T$176</f>
        <v>993.68651827894644</v>
      </c>
      <c r="U167" s="78">
        <f>ABS('Annual Calculations'!$Q$18)*(1+$C$3)^U$176</f>
        <v>1037.4087250832199</v>
      </c>
      <c r="V167" s="78">
        <f>ABS('Annual Calculations'!$Q$18)*(1+$C$3)^V$176</f>
        <v>1083.0547089868819</v>
      </c>
      <c r="W167" s="78">
        <f>ABS('Annual Calculations'!$Q$18)*(1+$C$3)^W$176</f>
        <v>1130.7091161823048</v>
      </c>
      <c r="X167" s="78">
        <f>ABS('Annual Calculations'!$Q$18)*(1+$C$3)^X$176</f>
        <v>1180.4603172943262</v>
      </c>
      <c r="Y167" s="78">
        <f>ABS('Annual Calculations'!$Q$18)*(1+$C$3)^Y$176</f>
        <v>1232.4005712552764</v>
      </c>
      <c r="Z167" s="78">
        <f>ABS('Annual Calculations'!$Q$18)*(1+$C$3)^Z$176</f>
        <v>1286.6261963905088</v>
      </c>
      <c r="AA167" s="78">
        <f>ABS('Annual Calculations'!$Q$18)*(1+$C$3)^AA$176</f>
        <v>1343.2377490316912</v>
      </c>
      <c r="AB167" s="78">
        <f>ABS('Annual Calculations'!$Q$18)*(1+$C$3)^AB$176</f>
        <v>1402.3402099890855</v>
      </c>
      <c r="AC167" s="78">
        <f>ABS('Annual Calculations'!$Q$18)*(1+$C$3)^AC$176</f>
        <v>1464.0431792286054</v>
      </c>
      <c r="AD167" s="78">
        <f>ABS('Annual Calculations'!$Q$18)*(1+$C$3)^AD$176</f>
        <v>1528.461079114664</v>
      </c>
      <c r="AE167" s="78">
        <f>ABS('Annual Calculations'!$Q$18)*(1+$C$3)^AE$176</f>
        <v>1595.7133665957092</v>
      </c>
      <c r="AF167" s="78">
        <f>ABS('Annual Calculations'!$Q$18)*(1+$C$3)^AF$176</f>
        <v>1665.9247547259204</v>
      </c>
      <c r="AG167" s="78">
        <f>ABS('Annual Calculations'!$Q$18)*(1+$C$3)^AG$176</f>
        <v>1739.2254439338608</v>
      </c>
      <c r="AH167" s="78">
        <f>ABS('Annual Calculations'!$Q$18)*(1+$C$3)^AH$176</f>
        <v>1815.7513634669508</v>
      </c>
      <c r="AI167" s="78">
        <f>ABS('Annual Calculations'!$Q$18)*(1+$C$3)^AI$176</f>
        <v>1895.6444234594969</v>
      </c>
      <c r="AJ167" s="78">
        <f>ABS('Annual Calculations'!$Q$18)*(1+$C$3)^AJ$176</f>
        <v>1979.0527780917146</v>
      </c>
      <c r="AK167" s="78">
        <f>ABS('Annual Calculations'!$Q$18)*(1+$C$3)^AK$176</f>
        <v>2066.1311003277501</v>
      </c>
      <c r="AL167" s="78">
        <f>ABS('Annual Calculations'!$Q$18)*(1+$C$3)^AL$176</f>
        <v>2157.0408687421709</v>
      </c>
      <c r="AM167" s="78">
        <f>ABS('Annual Calculations'!$Q$18)*(1+$C$3)^AM$176</f>
        <v>2251.9506669668267</v>
      </c>
      <c r="AN167" s="78">
        <f>ABS('Annual Calculations'!$Q$18)*(1+$C$3)^AN$176</f>
        <v>2351.0364963133675</v>
      </c>
      <c r="AO167" s="78">
        <f>ABS('Annual Calculations'!$Q$18)*(1+$C$3)^AO$176</f>
        <v>2454.4821021511552</v>
      </c>
      <c r="AP167" s="78">
        <f>ABS('Annual Calculations'!$Q$18)*(1+$C$3)^AP$176</f>
        <v>2562.4793146458064</v>
      </c>
      <c r="AQ167" s="78">
        <f>ABS('Annual Calculations'!$Q$18)*(1+$C$3)^AQ$176</f>
        <v>2675.2284044902221</v>
      </c>
      <c r="AR167" s="78">
        <f>ABS('Annual Calculations'!$Q$18)*(1+$C$3)^AR$176</f>
        <v>2792.9384542877915</v>
      </c>
      <c r="AS167" s="78">
        <f>ABS('Annual Calculations'!$Q$18)*(1+$C$3)^AS$176</f>
        <v>2915.8277462764545</v>
      </c>
      <c r="AT167" s="78">
        <f>ABS('Annual Calculations'!$Q$18)*(1+$C$3)^AT$176</f>
        <v>3044.1241671126186</v>
      </c>
      <c r="AU167" s="78">
        <f>ABS('Annual Calculations'!$Q$18)*(1+$C$3)^AU$176</f>
        <v>3178.0656304655745</v>
      </c>
      <c r="AV167" s="78">
        <f>ABS('Annual Calculations'!$Q$18)*(1+$C$3)^AV$176</f>
        <v>3317.9005182060596</v>
      </c>
      <c r="AW167" s="78">
        <f>ABS('Annual Calculations'!$Q$18)*(1+$C$3)^AW$176</f>
        <v>3463.8881410071258</v>
      </c>
      <c r="AX167" s="78">
        <f>ABS('Annual Calculations'!$Q$18)*(1+$C$3)^AX$176</f>
        <v>3616.2992192114393</v>
      </c>
      <c r="AY167" s="78">
        <f>ABS('Annual Calculations'!$Q$18)*(1+$C$3)^AY$176</f>
        <v>3775.4163848567432</v>
      </c>
      <c r="AZ167" s="78">
        <f>ABS('Annual Calculations'!$Q$18)*(1+$C$3)^AZ$176</f>
        <v>3941.5347057904396</v>
      </c>
      <c r="BA167" s="78">
        <f>ABS('Annual Calculations'!$Q$18)*(1+$C$3)^BA$176</f>
        <v>4114.9622328452188</v>
      </c>
      <c r="BB167" s="78">
        <f>ABS('Annual Calculations'!$Q$18)*(1+$C$3)^BB$176</f>
        <v>4296.0205710904092</v>
      </c>
    </row>
    <row r="168" spans="1:54" x14ac:dyDescent="0.25">
      <c r="A168" s="183"/>
      <c r="B168" s="76" t="s">
        <v>357</v>
      </c>
      <c r="C168" s="77" t="s">
        <v>362</v>
      </c>
      <c r="D168" s="76">
        <v>0</v>
      </c>
      <c r="E168" s="78">
        <f>-'Annual Calculations'!$L$33*(1+$C$3)^E$176</f>
        <v>604.7106100000002</v>
      </c>
      <c r="F168" s="78">
        <f>-'Annual Calculations'!$L$33*(1+$C$3)^F$176</f>
        <v>631.31787684000017</v>
      </c>
      <c r="G168" s="78">
        <f>-'Annual Calculations'!$L$33*(1+$C$3)^G$176</f>
        <v>659.0958634209602</v>
      </c>
      <c r="H168" s="78">
        <f>-'Annual Calculations'!$L$33*(1+$C$3)^H$176</f>
        <v>688.09608141148237</v>
      </c>
      <c r="I168" s="78">
        <f>-'Annual Calculations'!$L$33*(1+$C$3)^I$176</f>
        <v>718.37230899358758</v>
      </c>
      <c r="J168" s="78">
        <f>-'Annual Calculations'!$L$33*(1+$C$3)^J$176</f>
        <v>749.9806905893056</v>
      </c>
      <c r="K168" s="78">
        <f>-'Annual Calculations'!$L$33*(1+$C$3)^K$176</f>
        <v>782.97984097523511</v>
      </c>
      <c r="L168" s="78">
        <f>-'Annual Calculations'!$L$33*(1+$C$3)^L$176</f>
        <v>817.43095397814534</v>
      </c>
      <c r="M168" s="78">
        <f>-'Annual Calculations'!$L$33*(1+$C$3)^M$176</f>
        <v>853.39791595318388</v>
      </c>
      <c r="N168" s="78">
        <f>-'Annual Calculations'!$L$33*(1+$C$3)^N$176</f>
        <v>890.94742425512391</v>
      </c>
      <c r="O168" s="78">
        <f>-'Annual Calculations'!$L$33*(1+$C$3)^O$176</f>
        <v>930.14911092234945</v>
      </c>
      <c r="P168" s="78">
        <f>-'Annual Calculations'!$L$33*(1+$C$3)^P$176</f>
        <v>971.07567180293279</v>
      </c>
      <c r="Q168" s="78">
        <f>-'Annual Calculations'!$L$33*(1+$C$3)^Q$176</f>
        <v>1013.8030013622617</v>
      </c>
      <c r="R168" s="78">
        <f>-'Annual Calculations'!$L$33*(1+$C$3)^R$176</f>
        <v>1058.4103334222013</v>
      </c>
      <c r="S168" s="78">
        <f>-'Annual Calculations'!$L$33*(1+$C$3)^S$176</f>
        <v>1104.9803880927784</v>
      </c>
      <c r="T168" s="78">
        <f>-'Annual Calculations'!$L$33*(1+$C$3)^T$176</f>
        <v>1153.5995251688605</v>
      </c>
      <c r="U168" s="78">
        <f>-'Annual Calculations'!$L$33*(1+$C$3)^U$176</f>
        <v>1204.3579042762904</v>
      </c>
      <c r="V168" s="78">
        <f>-'Annual Calculations'!$L$33*(1+$C$3)^V$176</f>
        <v>1257.3496520644474</v>
      </c>
      <c r="W168" s="78">
        <f>-'Annual Calculations'!$L$33*(1+$C$3)^W$176</f>
        <v>1312.673036755283</v>
      </c>
      <c r="X168" s="78">
        <f>-'Annual Calculations'!$L$33*(1+$C$3)^X$176</f>
        <v>1370.4306503725154</v>
      </c>
      <c r="Y168" s="78">
        <f>-'Annual Calculations'!$L$33*(1+$C$3)^Y$176</f>
        <v>1430.729598988906</v>
      </c>
      <c r="Z168" s="78">
        <f>-'Annual Calculations'!$L$33*(1+$C$3)^Z$176</f>
        <v>1493.6817013444181</v>
      </c>
      <c r="AA168" s="78">
        <f>-'Annual Calculations'!$L$33*(1+$C$3)^AA$176</f>
        <v>1559.4036962035725</v>
      </c>
      <c r="AB168" s="78">
        <f>-'Annual Calculations'!$L$33*(1+$C$3)^AB$176</f>
        <v>1628.0174588365298</v>
      </c>
      <c r="AC168" s="78">
        <f>-'Annual Calculations'!$L$33*(1+$C$3)^AC$176</f>
        <v>1699.650227025337</v>
      </c>
      <c r="AD168" s="78">
        <f>-'Annual Calculations'!$L$33*(1+$C$3)^AD$176</f>
        <v>1774.4348370144519</v>
      </c>
      <c r="AE168" s="78">
        <f>-'Annual Calculations'!$L$33*(1+$C$3)^AE$176</f>
        <v>1852.5099698430879</v>
      </c>
      <c r="AF168" s="78">
        <f>-'Annual Calculations'!$L$33*(1+$C$3)^AF$176</f>
        <v>1934.0204085161836</v>
      </c>
      <c r="AG168" s="78">
        <f>-'Annual Calculations'!$L$33*(1+$C$3)^AG$176</f>
        <v>2019.1173064908955</v>
      </c>
      <c r="AH168" s="78">
        <f>-'Annual Calculations'!$L$33*(1+$C$3)^AH$176</f>
        <v>2107.9584679764953</v>
      </c>
      <c r="AI168" s="78">
        <f>-'Annual Calculations'!$L$33*(1+$C$3)^AI$176</f>
        <v>2200.7086405674613</v>
      </c>
      <c r="AJ168" s="78">
        <f>-'Annual Calculations'!$L$33*(1+$C$3)^AJ$176</f>
        <v>2297.5398207524295</v>
      </c>
      <c r="AK168" s="78">
        <f>-'Annual Calculations'!$L$33*(1+$C$3)^AK$176</f>
        <v>2398.6315728655368</v>
      </c>
      <c r="AL168" s="78">
        <f>-'Annual Calculations'!$L$33*(1+$C$3)^AL$176</f>
        <v>2504.17136207162</v>
      </c>
      <c r="AM168" s="78">
        <f>-'Annual Calculations'!$L$33*(1+$C$3)^AM$176</f>
        <v>2614.3549020027713</v>
      </c>
      <c r="AN168" s="78">
        <f>-'Annual Calculations'!$L$33*(1+$C$3)^AN$176</f>
        <v>2729.3865176908935</v>
      </c>
      <c r="AO168" s="78">
        <f>-'Annual Calculations'!$L$33*(1+$C$3)^AO$176</f>
        <v>2849.4795244692928</v>
      </c>
      <c r="AP168" s="78">
        <f>-'Annual Calculations'!$L$33*(1+$C$3)^AP$176</f>
        <v>2974.8566235459416</v>
      </c>
      <c r="AQ168" s="78">
        <f>-'Annual Calculations'!$L$33*(1+$C$3)^AQ$176</f>
        <v>3105.7503149819636</v>
      </c>
      <c r="AR168" s="78">
        <f>-'Annual Calculations'!$L$33*(1+$C$3)^AR$176</f>
        <v>3242.4033288411692</v>
      </c>
      <c r="AS168" s="78">
        <f>-'Annual Calculations'!$L$33*(1+$C$3)^AS$176</f>
        <v>3385.0690753101812</v>
      </c>
      <c r="AT168" s="78">
        <f>-'Annual Calculations'!$L$33*(1+$C$3)^AT$176</f>
        <v>3534.0121146238293</v>
      </c>
      <c r="AU168" s="78">
        <f>-'Annual Calculations'!$L$33*(1+$C$3)^AU$176</f>
        <v>3689.5086476672782</v>
      </c>
      <c r="AV168" s="78">
        <f>-'Annual Calculations'!$L$33*(1+$C$3)^AV$176</f>
        <v>3851.8470281646382</v>
      </c>
      <c r="AW168" s="78">
        <f>-'Annual Calculations'!$L$33*(1+$C$3)^AW$176</f>
        <v>4021.3282974038821</v>
      </c>
      <c r="AX168" s="78">
        <f>-'Annual Calculations'!$L$33*(1+$C$3)^AX$176</f>
        <v>4198.2667424896526</v>
      </c>
      <c r="AY168" s="78">
        <f>-'Annual Calculations'!$L$33*(1+$C$3)^AY$176</f>
        <v>4382.990479159198</v>
      </c>
      <c r="AZ168" s="78">
        <f>-'Annual Calculations'!$L$33*(1+$C$3)^AZ$176</f>
        <v>4575.8420602422029</v>
      </c>
      <c r="BA168" s="78">
        <f>-'Annual Calculations'!$L$33*(1+$C$3)^BA$176</f>
        <v>4777.1791108928601</v>
      </c>
      <c r="BB168" s="78">
        <f>-'Annual Calculations'!$L$33*(1+$C$3)^BB$176</f>
        <v>4987.3749917721461</v>
      </c>
    </row>
    <row r="169" spans="1:54" x14ac:dyDescent="0.25">
      <c r="A169" s="183"/>
      <c r="B169" s="76" t="s">
        <v>358</v>
      </c>
      <c r="C169" s="77" t="s">
        <v>362</v>
      </c>
      <c r="D169" s="78">
        <f>SUM(D166:D168)</f>
        <v>-3428.2015999999994</v>
      </c>
      <c r="E169" s="78">
        <f>SUM(E166:E168)</f>
        <v>1125.595689706739</v>
      </c>
      <c r="F169" s="78">
        <f t="shared" ref="F169:BB169" si="201">SUM(F166:F168)</f>
        <v>1175.1219000538354</v>
      </c>
      <c r="G169" s="78">
        <f t="shared" si="201"/>
        <v>1226.8272636562044</v>
      </c>
      <c r="H169" s="78">
        <f t="shared" si="201"/>
        <v>1280.8076632570774</v>
      </c>
      <c r="I169" s="78">
        <f t="shared" si="201"/>
        <v>1321.6603161229359</v>
      </c>
      <c r="J169" s="78">
        <f t="shared" si="201"/>
        <v>1395.9983812597659</v>
      </c>
      <c r="K169" s="78">
        <f t="shared" si="201"/>
        <v>1457.4223100351958</v>
      </c>
      <c r="L169" s="78">
        <f t="shared" si="201"/>
        <v>1521.5488916767442</v>
      </c>
      <c r="M169" s="78">
        <f t="shared" si="201"/>
        <v>1588.497042910521</v>
      </c>
      <c r="N169" s="78">
        <f t="shared" si="201"/>
        <v>-1351.3467924822028</v>
      </c>
      <c r="O169" s="78">
        <f t="shared" si="201"/>
        <v>1731.3601129617218</v>
      </c>
      <c r="P169" s="78">
        <f t="shared" si="201"/>
        <v>1807.5399579320376</v>
      </c>
      <c r="Q169" s="78">
        <f t="shared" si="201"/>
        <v>1887.071716081047</v>
      </c>
      <c r="R169" s="78">
        <f t="shared" si="201"/>
        <v>1970.1028715886132</v>
      </c>
      <c r="S169" s="78">
        <f t="shared" si="201"/>
        <v>2032.941290682993</v>
      </c>
      <c r="T169" s="78">
        <f t="shared" si="201"/>
        <v>1419.9439076091433</v>
      </c>
      <c r="U169" s="78">
        <f t="shared" si="201"/>
        <v>2241.7666293595103</v>
      </c>
      <c r="V169" s="78">
        <f t="shared" si="201"/>
        <v>2340.404361051329</v>
      </c>
      <c r="W169" s="78">
        <f t="shared" si="201"/>
        <v>2443.3821529375878</v>
      </c>
      <c r="X169" s="78">
        <f t="shared" si="201"/>
        <v>-2078.6042063576306</v>
      </c>
      <c r="Y169" s="78">
        <f t="shared" si="201"/>
        <v>2663.1301702441824</v>
      </c>
      <c r="Z169" s="78">
        <f t="shared" si="201"/>
        <v>2780.3078977349269</v>
      </c>
      <c r="AA169" s="78">
        <f t="shared" si="201"/>
        <v>2902.6414452352637</v>
      </c>
      <c r="AB169" s="78">
        <f t="shared" si="201"/>
        <v>3030.3576688256153</v>
      </c>
      <c r="AC169" s="78">
        <f t="shared" si="201"/>
        <v>-9743.685129442445</v>
      </c>
      <c r="AD169" s="78">
        <f t="shared" si="201"/>
        <v>3302.8959161291159</v>
      </c>
      <c r="AE169" s="78">
        <f t="shared" si="201"/>
        <v>3448.2233364387971</v>
      </c>
      <c r="AF169" s="78">
        <f t="shared" si="201"/>
        <v>3599.9451632421042</v>
      </c>
      <c r="AG169" s="78">
        <f t="shared" si="201"/>
        <v>3758.3427504247566</v>
      </c>
      <c r="AH169" s="78">
        <f t="shared" si="201"/>
        <v>1715.7708052502439</v>
      </c>
      <c r="AI169" s="78">
        <f t="shared" si="201"/>
        <v>4096.3530640269582</v>
      </c>
      <c r="AJ169" s="78">
        <f t="shared" si="201"/>
        <v>2827.9984516197492</v>
      </c>
      <c r="AK169" s="78">
        <f t="shared" si="201"/>
        <v>4464.7626731932869</v>
      </c>
      <c r="AL169" s="78">
        <f t="shared" si="201"/>
        <v>4661.2122308137914</v>
      </c>
      <c r="AM169" s="78">
        <f t="shared" si="201"/>
        <v>4809.8862984839416</v>
      </c>
      <c r="AN169" s="78">
        <f t="shared" si="201"/>
        <v>5080.4230140042609</v>
      </c>
      <c r="AO169" s="78">
        <f t="shared" si="201"/>
        <v>5303.9616266204484</v>
      </c>
      <c r="AP169" s="78">
        <f t="shared" si="201"/>
        <v>5537.335938191748</v>
      </c>
      <c r="AQ169" s="78">
        <f t="shared" si="201"/>
        <v>5780.9787194721857</v>
      </c>
      <c r="AR169" s="78">
        <f t="shared" si="201"/>
        <v>-28708.71429341544</v>
      </c>
      <c r="AS169" s="78">
        <f t="shared" si="201"/>
        <v>6300.8968215866353</v>
      </c>
      <c r="AT169" s="78">
        <f t="shared" si="201"/>
        <v>6578.1362817364479</v>
      </c>
      <c r="AU169" s="78">
        <f t="shared" si="201"/>
        <v>6867.5742781328527</v>
      </c>
      <c r="AV169" s="78">
        <f t="shared" si="201"/>
        <v>7169.7475463706978</v>
      </c>
      <c r="AW169" s="78">
        <f t="shared" si="201"/>
        <v>7398.4338792607377</v>
      </c>
      <c r="AX169" s="78">
        <f t="shared" si="201"/>
        <v>7814.5659617010915</v>
      </c>
      <c r="AY169" s="78">
        <f t="shared" si="201"/>
        <v>8158.4068640159412</v>
      </c>
      <c r="AZ169" s="78">
        <f t="shared" si="201"/>
        <v>8517.376766032643</v>
      </c>
      <c r="BA169" s="78">
        <f t="shared" si="201"/>
        <v>8892.1413437380797</v>
      </c>
      <c r="BB169" s="78">
        <f t="shared" si="201"/>
        <v>9175.7651648402243</v>
      </c>
    </row>
    <row r="170" spans="1:54" x14ac:dyDescent="0.25">
      <c r="A170" s="183"/>
      <c r="B170" s="76" t="s">
        <v>359</v>
      </c>
      <c r="C170" s="77"/>
      <c r="D170" s="76">
        <f t="shared" ref="D170:AI170" si="202">(1+$C$2)^D$176</f>
        <v>1</v>
      </c>
      <c r="E170" s="79">
        <f t="shared" si="202"/>
        <v>1.1499999999999999</v>
      </c>
      <c r="F170" s="79">
        <f t="shared" si="202"/>
        <v>1.3224999999999998</v>
      </c>
      <c r="G170" s="79">
        <f t="shared" si="202"/>
        <v>1.5208749999999995</v>
      </c>
      <c r="H170" s="79">
        <f t="shared" si="202"/>
        <v>1.7490062499999994</v>
      </c>
      <c r="I170" s="79">
        <f t="shared" si="202"/>
        <v>2.0113571874999994</v>
      </c>
      <c r="J170" s="79">
        <f t="shared" si="202"/>
        <v>2.3130607656249991</v>
      </c>
      <c r="K170" s="79">
        <f t="shared" si="202"/>
        <v>2.6600198804687483</v>
      </c>
      <c r="L170" s="79">
        <f t="shared" si="202"/>
        <v>3.0590228625390603</v>
      </c>
      <c r="M170" s="79">
        <f t="shared" si="202"/>
        <v>3.5178762919199191</v>
      </c>
      <c r="N170" s="79">
        <f t="shared" si="202"/>
        <v>4.0455577357079067</v>
      </c>
      <c r="O170" s="79">
        <f t="shared" si="202"/>
        <v>4.6523913960640924</v>
      </c>
      <c r="P170" s="79">
        <f t="shared" si="202"/>
        <v>5.3502501054737053</v>
      </c>
      <c r="Q170" s="79">
        <f t="shared" si="202"/>
        <v>6.1527876212947614</v>
      </c>
      <c r="R170" s="79">
        <f t="shared" si="202"/>
        <v>7.0757057644889754</v>
      </c>
      <c r="S170" s="79">
        <f t="shared" si="202"/>
        <v>8.1370616291623197</v>
      </c>
      <c r="T170" s="79">
        <f t="shared" si="202"/>
        <v>9.3576208735366659</v>
      </c>
      <c r="U170" s="79">
        <f t="shared" si="202"/>
        <v>10.761264004567165</v>
      </c>
      <c r="V170" s="79">
        <f t="shared" si="202"/>
        <v>12.375453605252238</v>
      </c>
      <c r="W170" s="79">
        <f t="shared" si="202"/>
        <v>14.231771646040073</v>
      </c>
      <c r="X170" s="79">
        <f t="shared" si="202"/>
        <v>16.366537392946082</v>
      </c>
      <c r="Y170" s="79">
        <f t="shared" si="202"/>
        <v>18.821518001887995</v>
      </c>
      <c r="Z170" s="79">
        <f t="shared" si="202"/>
        <v>21.644745702171193</v>
      </c>
      <c r="AA170" s="79">
        <f t="shared" si="202"/>
        <v>24.891457557496867</v>
      </c>
      <c r="AB170" s="79">
        <f t="shared" si="202"/>
        <v>28.625176191121394</v>
      </c>
      <c r="AC170" s="79">
        <f t="shared" si="202"/>
        <v>32.9189526197896</v>
      </c>
      <c r="AD170" s="79">
        <f t="shared" si="202"/>
        <v>37.85679551275804</v>
      </c>
      <c r="AE170" s="79">
        <f t="shared" si="202"/>
        <v>43.535314839671742</v>
      </c>
      <c r="AF170" s="79">
        <f t="shared" si="202"/>
        <v>50.065612065622496</v>
      </c>
      <c r="AG170" s="79">
        <f t="shared" si="202"/>
        <v>57.575453875465868</v>
      </c>
      <c r="AH170" s="79">
        <f t="shared" si="202"/>
        <v>66.211771956785753</v>
      </c>
      <c r="AI170" s="79">
        <f t="shared" si="202"/>
        <v>76.143537750303594</v>
      </c>
      <c r="AJ170" s="79">
        <f t="shared" ref="AJ170:BB170" si="203">(1+$C$2)^AJ$176</f>
        <v>87.565068412849115</v>
      </c>
      <c r="AK170" s="79">
        <f t="shared" si="203"/>
        <v>100.69982867477647</v>
      </c>
      <c r="AL170" s="79">
        <f t="shared" si="203"/>
        <v>115.80480297599294</v>
      </c>
      <c r="AM170" s="79">
        <f t="shared" si="203"/>
        <v>133.17552342239185</v>
      </c>
      <c r="AN170" s="79">
        <f t="shared" si="203"/>
        <v>153.15185193575064</v>
      </c>
      <c r="AO170" s="79">
        <f t="shared" si="203"/>
        <v>176.12462972611323</v>
      </c>
      <c r="AP170" s="79">
        <f t="shared" si="203"/>
        <v>202.5433241850302</v>
      </c>
      <c r="AQ170" s="79">
        <f t="shared" si="203"/>
        <v>232.92482281278467</v>
      </c>
      <c r="AR170" s="79">
        <f t="shared" si="203"/>
        <v>267.86354623470237</v>
      </c>
      <c r="AS170" s="79">
        <f t="shared" si="203"/>
        <v>308.04307816990769</v>
      </c>
      <c r="AT170" s="79">
        <f t="shared" si="203"/>
        <v>354.24953989539381</v>
      </c>
      <c r="AU170" s="79">
        <f t="shared" si="203"/>
        <v>407.38697087970286</v>
      </c>
      <c r="AV170" s="79">
        <f t="shared" si="203"/>
        <v>468.49501651165821</v>
      </c>
      <c r="AW170" s="79">
        <f t="shared" si="203"/>
        <v>538.76926898840691</v>
      </c>
      <c r="AX170" s="79">
        <f t="shared" si="203"/>
        <v>619.58465933666798</v>
      </c>
      <c r="AY170" s="79">
        <f t="shared" si="203"/>
        <v>712.52235823716796</v>
      </c>
      <c r="AZ170" s="79">
        <f t="shared" si="203"/>
        <v>819.40071197274301</v>
      </c>
      <c r="BA170" s="79">
        <f t="shared" si="203"/>
        <v>942.31081876865449</v>
      </c>
      <c r="BB170" s="79">
        <f t="shared" si="203"/>
        <v>1083.6574415839525</v>
      </c>
    </row>
    <row r="171" spans="1:54" s="76" customFormat="1" x14ac:dyDescent="0.25">
      <c r="A171" s="183"/>
      <c r="B171" s="76" t="s">
        <v>360</v>
      </c>
      <c r="C171" s="77" t="s">
        <v>362</v>
      </c>
      <c r="D171" s="76">
        <f>D169/D170</f>
        <v>-3428.2015999999994</v>
      </c>
      <c r="E171" s="78">
        <f>E169/E170</f>
        <v>978.7788606145557</v>
      </c>
      <c r="F171" s="78">
        <f>F169/F170</f>
        <v>888.56098302747489</v>
      </c>
      <c r="G171" s="78">
        <f t="shared" ref="G171:BB171" si="204">G169/G170</f>
        <v>806.65884024407319</v>
      </c>
      <c r="H171" s="78">
        <f t="shared" si="204"/>
        <v>732.30593844766292</v>
      </c>
      <c r="I171" s="78">
        <f t="shared" si="204"/>
        <v>657.098761143307</v>
      </c>
      <c r="J171" s="78">
        <f t="shared" si="204"/>
        <v>603.52862406645897</v>
      </c>
      <c r="K171" s="78">
        <f t="shared" si="204"/>
        <v>547.8990291525073</v>
      </c>
      <c r="L171" s="78">
        <f t="shared" si="204"/>
        <v>497.39703168279794</v>
      </c>
      <c r="M171" s="78">
        <f t="shared" si="204"/>
        <v>451.55000093638358</v>
      </c>
      <c r="N171" s="78">
        <f t="shared" si="204"/>
        <v>-334.03225976843936</v>
      </c>
      <c r="O171" s="78">
        <f t="shared" si="204"/>
        <v>372.14412235962061</v>
      </c>
      <c r="P171" s="78">
        <f t="shared" si="204"/>
        <v>337.84214238560349</v>
      </c>
      <c r="Q171" s="78">
        <f t="shared" si="204"/>
        <v>306.7019101309304</v>
      </c>
      <c r="R171" s="78">
        <f t="shared" si="204"/>
        <v>278.43199493625337</v>
      </c>
      <c r="S171" s="78">
        <f t="shared" si="204"/>
        <v>249.83727337115877</v>
      </c>
      <c r="T171" s="78">
        <f t="shared" si="204"/>
        <v>151.74197873572137</v>
      </c>
      <c r="U171" s="78">
        <f t="shared" si="204"/>
        <v>208.31815188328127</v>
      </c>
      <c r="V171" s="78">
        <f t="shared" si="204"/>
        <v>189.11665266621367</v>
      </c>
      <c r="W171" s="78">
        <f t="shared" si="204"/>
        <v>171.68503076828441</v>
      </c>
      <c r="X171" s="78">
        <f t="shared" si="204"/>
        <v>-127.00329681545844</v>
      </c>
      <c r="Y171" s="78">
        <f t="shared" si="204"/>
        <v>141.49390978862823</v>
      </c>
      <c r="Z171" s="78">
        <f t="shared" si="204"/>
        <v>128.45186245158951</v>
      </c>
      <c r="AA171" s="78">
        <f t="shared" si="204"/>
        <v>116.61195165170388</v>
      </c>
      <c r="AB171" s="78">
        <f t="shared" si="204"/>
        <v>105.86337176032944</v>
      </c>
      <c r="AC171" s="78">
        <f t="shared" si="204"/>
        <v>-295.99013194559899</v>
      </c>
      <c r="AD171" s="78">
        <f t="shared" si="204"/>
        <v>87.247107722469906</v>
      </c>
      <c r="AE171" s="78">
        <f t="shared" si="204"/>
        <v>79.205200401963992</v>
      </c>
      <c r="AF171" s="78">
        <f t="shared" si="204"/>
        <v>71.904547147522109</v>
      </c>
      <c r="AG171" s="78">
        <f t="shared" si="204"/>
        <v>65.276823671315711</v>
      </c>
      <c r="AH171" s="78">
        <f t="shared" si="204"/>
        <v>25.913379970710814</v>
      </c>
      <c r="AI171" s="78">
        <f t="shared" si="204"/>
        <v>53.797777001904876</v>
      </c>
      <c r="AJ171" s="78">
        <f t="shared" si="204"/>
        <v>32.295965764411768</v>
      </c>
      <c r="AK171" s="78">
        <f t="shared" si="204"/>
        <v>44.337341303854977</v>
      </c>
      <c r="AL171" s="78">
        <f t="shared" si="204"/>
        <v>40.250595061934433</v>
      </c>
      <c r="AM171" s="78">
        <f t="shared" si="204"/>
        <v>36.116894267638507</v>
      </c>
      <c r="AN171" s="78">
        <f t="shared" si="204"/>
        <v>33.172455636615936</v>
      </c>
      <c r="AO171" s="78">
        <f t="shared" si="204"/>
        <v>30.114820595327863</v>
      </c>
      <c r="AP171" s="78">
        <f t="shared" si="204"/>
        <v>27.339019740454166</v>
      </c>
      <c r="AQ171" s="78">
        <f t="shared" si="204"/>
        <v>24.819075312203616</v>
      </c>
      <c r="AR171" s="78">
        <f t="shared" si="204"/>
        <v>-107.17663787016703</v>
      </c>
      <c r="AS171" s="78">
        <f t="shared" si="204"/>
        <v>20.454596347434375</v>
      </c>
      <c r="AT171" s="78">
        <f t="shared" si="204"/>
        <v>18.569216162366516</v>
      </c>
      <c r="AU171" s="78">
        <f t="shared" si="204"/>
        <v>16.857618846530997</v>
      </c>
      <c r="AV171" s="78">
        <f t="shared" si="204"/>
        <v>15.30378615285075</v>
      </c>
      <c r="AW171" s="78">
        <f t="shared" si="204"/>
        <v>13.732100743518716</v>
      </c>
      <c r="AX171" s="78">
        <f t="shared" si="204"/>
        <v>12.612587874702102</v>
      </c>
      <c r="AY171" s="78">
        <f t="shared" si="204"/>
        <v>11.450036296686088</v>
      </c>
      <c r="AZ171" s="78">
        <f t="shared" si="204"/>
        <v>10.394641646730678</v>
      </c>
      <c r="BA171" s="78">
        <f t="shared" si="204"/>
        <v>9.436526851466807</v>
      </c>
      <c r="BB171" s="78">
        <f t="shared" si="204"/>
        <v>8.4674038240610976</v>
      </c>
    </row>
    <row r="172" spans="1:54" s="76" customFormat="1" x14ac:dyDescent="0.25">
      <c r="A172" s="183"/>
      <c r="B172" s="76" t="s">
        <v>645</v>
      </c>
      <c r="C172" s="77" t="s">
        <v>362</v>
      </c>
      <c r="D172" s="76">
        <f>D171</f>
        <v>-3428.2015999999994</v>
      </c>
      <c r="E172" s="78">
        <f>E171+D172</f>
        <v>-2449.4227393854435</v>
      </c>
      <c r="F172" s="78">
        <f t="shared" ref="F172" si="205">F171+E172</f>
        <v>-1560.8617563579687</v>
      </c>
      <c r="G172" s="78">
        <f t="shared" ref="G172" si="206">G171+F172</f>
        <v>-754.20291611389553</v>
      </c>
      <c r="H172" s="78">
        <f t="shared" ref="H172" si="207">H171+G172</f>
        <v>-21.896977666232601</v>
      </c>
      <c r="I172" s="78">
        <f t="shared" ref="I172" si="208">I171+H172</f>
        <v>635.2017834770744</v>
      </c>
      <c r="J172" s="78">
        <f t="shared" ref="J172" si="209">J171+I172</f>
        <v>1238.7304075435334</v>
      </c>
      <c r="K172" s="78">
        <f t="shared" ref="K172" si="210">K171+J172</f>
        <v>1786.6294366960406</v>
      </c>
      <c r="L172" s="78">
        <f t="shared" ref="L172" si="211">L171+K172</f>
        <v>2284.0264683788387</v>
      </c>
      <c r="M172" s="78">
        <f t="shared" ref="M172" si="212">M171+L172</f>
        <v>2735.5764693152223</v>
      </c>
      <c r="N172" s="78">
        <f t="shared" ref="N172" si="213">N171+M172</f>
        <v>2401.5442095467829</v>
      </c>
      <c r="O172" s="78">
        <f t="shared" ref="O172" si="214">O171+N172</f>
        <v>2773.6883319064036</v>
      </c>
      <c r="P172" s="78">
        <f t="shared" ref="P172" si="215">P171+O172</f>
        <v>3111.5304742920071</v>
      </c>
      <c r="Q172" s="78">
        <f t="shared" ref="Q172" si="216">Q171+P172</f>
        <v>3418.2323844229377</v>
      </c>
      <c r="R172" s="78">
        <f t="shared" ref="R172" si="217">R171+Q172</f>
        <v>3696.6643793591911</v>
      </c>
      <c r="S172" s="78">
        <f t="shared" ref="S172" si="218">S171+R172</f>
        <v>3946.5016527303501</v>
      </c>
      <c r="T172" s="78">
        <f t="shared" ref="T172" si="219">T171+S172</f>
        <v>4098.2436314660717</v>
      </c>
      <c r="U172" s="78">
        <f t="shared" ref="U172" si="220">U171+T172</f>
        <v>4306.5617833493534</v>
      </c>
      <c r="V172" s="78">
        <f t="shared" ref="V172" si="221">V171+U172</f>
        <v>4495.6784360155671</v>
      </c>
      <c r="W172" s="78">
        <f t="shared" ref="W172" si="222">W171+V172</f>
        <v>4667.3634667838514</v>
      </c>
      <c r="X172" s="78">
        <f t="shared" ref="X172" si="223">X171+W172</f>
        <v>4540.3601699683932</v>
      </c>
      <c r="Y172" s="78">
        <f t="shared" ref="Y172" si="224">Y171+X172</f>
        <v>4681.8540797570213</v>
      </c>
      <c r="Z172" s="78">
        <f t="shared" ref="Z172" si="225">Z171+Y172</f>
        <v>4810.3059422086108</v>
      </c>
      <c r="AA172" s="78">
        <f t="shared" ref="AA172" si="226">AA171+Z172</f>
        <v>4926.9178938603145</v>
      </c>
      <c r="AB172" s="78">
        <f t="shared" ref="AB172" si="227">AB171+AA172</f>
        <v>5032.7812656206443</v>
      </c>
      <c r="AC172" s="78">
        <f t="shared" ref="AC172" si="228">AC171+AB172</f>
        <v>4736.7911336750449</v>
      </c>
      <c r="AD172" s="78">
        <f t="shared" ref="AD172" si="229">AD171+AC172</f>
        <v>4824.0382413975149</v>
      </c>
      <c r="AE172" s="78">
        <f t="shared" ref="AE172" si="230">AE171+AD172</f>
        <v>4903.2434417994791</v>
      </c>
      <c r="AF172" s="78">
        <f t="shared" ref="AF172" si="231">AF171+AE172</f>
        <v>4975.1479889470011</v>
      </c>
      <c r="AG172" s="78">
        <f t="shared" ref="AG172" si="232">AG171+AF172</f>
        <v>5040.4248126183165</v>
      </c>
      <c r="AH172" s="78">
        <f t="shared" ref="AH172" si="233">AH171+AG172</f>
        <v>5066.3381925890271</v>
      </c>
      <c r="AI172" s="78">
        <f t="shared" ref="AI172" si="234">AI171+AH172</f>
        <v>5120.1359695909323</v>
      </c>
      <c r="AJ172" s="78">
        <f t="shared" ref="AJ172" si="235">AJ171+AI172</f>
        <v>5152.4319353553437</v>
      </c>
      <c r="AK172" s="78">
        <f t="shared" ref="AK172" si="236">AK171+AJ172</f>
        <v>5196.769276659199</v>
      </c>
      <c r="AL172" s="78">
        <f t="shared" ref="AL172" si="237">AL171+AK172</f>
        <v>5237.0198717211333</v>
      </c>
      <c r="AM172" s="78">
        <f t="shared" ref="AM172" si="238">AM171+AL172</f>
        <v>5273.1367659887719</v>
      </c>
      <c r="AN172" s="78">
        <f t="shared" ref="AN172" si="239">AN171+AM172</f>
        <v>5306.3092216253881</v>
      </c>
      <c r="AO172" s="78">
        <f t="shared" ref="AO172" si="240">AO171+AN172</f>
        <v>5336.4240422207158</v>
      </c>
      <c r="AP172" s="78">
        <f t="shared" ref="AP172" si="241">AP171+AO172</f>
        <v>5363.76306196117</v>
      </c>
      <c r="AQ172" s="78">
        <f t="shared" ref="AQ172" si="242">AQ171+AP172</f>
        <v>5388.5821372733735</v>
      </c>
      <c r="AR172" s="78">
        <f t="shared" ref="AR172" si="243">AR171+AQ172</f>
        <v>5281.4054994032067</v>
      </c>
      <c r="AS172" s="78">
        <f t="shared" ref="AS172" si="244">AS171+AR172</f>
        <v>5301.8600957506414</v>
      </c>
      <c r="AT172" s="78">
        <f t="shared" ref="AT172" si="245">AT171+AS172</f>
        <v>5320.429311913008</v>
      </c>
      <c r="AU172" s="78">
        <f t="shared" ref="AU172" si="246">AU171+AT172</f>
        <v>5337.2869307595392</v>
      </c>
      <c r="AV172" s="78">
        <f t="shared" ref="AV172" si="247">AV171+AU172</f>
        <v>5352.5907169123902</v>
      </c>
      <c r="AW172" s="78">
        <f t="shared" ref="AW172" si="248">AW171+AV172</f>
        <v>5366.3228176559087</v>
      </c>
      <c r="AX172" s="78">
        <f t="shared" ref="AX172" si="249">AX171+AW172</f>
        <v>5378.9354055306112</v>
      </c>
      <c r="AY172" s="78">
        <f t="shared" ref="AY172" si="250">AY171+AX172</f>
        <v>5390.3854418272977</v>
      </c>
      <c r="AZ172" s="78">
        <f t="shared" ref="AZ172" si="251">AZ171+AY172</f>
        <v>5400.7800834740283</v>
      </c>
      <c r="BA172" s="78">
        <f t="shared" ref="BA172" si="252">BA171+AZ172</f>
        <v>5410.2166103254949</v>
      </c>
      <c r="BB172" s="78">
        <f t="shared" ref="BB172" si="253">BB171+BA172</f>
        <v>5418.6840141495559</v>
      </c>
    </row>
    <row r="173" spans="1:54" s="76" customFormat="1" x14ac:dyDescent="0.25">
      <c r="B173" s="80" t="s">
        <v>361</v>
      </c>
      <c r="C173" s="81" t="s">
        <v>362</v>
      </c>
      <c r="D173" s="92">
        <f>SUM(D171:BB171)</f>
        <v>5418.6840141495559</v>
      </c>
    </row>
    <row r="174" spans="1:54" s="76" customFormat="1" x14ac:dyDescent="0.25">
      <c r="B174"/>
      <c r="C174" s="70"/>
      <c r="D174"/>
      <c r="E174" s="71"/>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row>
    <row r="175" spans="1:54" s="76" customFormat="1" x14ac:dyDescent="0.25">
      <c r="B175" s="76" t="s">
        <v>646</v>
      </c>
      <c r="C175" s="134" t="s">
        <v>362</v>
      </c>
      <c r="D175" s="76">
        <f>D172*'General variables'!$B$11</f>
        <v>-27425.612799999995</v>
      </c>
      <c r="E175" s="76">
        <f>E172*'General variables'!$B$11</f>
        <v>-19595.381915083548</v>
      </c>
      <c r="F175" s="76">
        <f>F172*'General variables'!$B$11</f>
        <v>-12486.89405086375</v>
      </c>
      <c r="G175" s="76">
        <f>G172*'General variables'!$B$11</f>
        <v>-6033.6233289111642</v>
      </c>
      <c r="H175" s="76">
        <f>H172*'General variables'!$B$11</f>
        <v>-175.17582132986081</v>
      </c>
      <c r="I175" s="76">
        <f>I172*'General variables'!$B$11</f>
        <v>5081.6142678165952</v>
      </c>
      <c r="J175" s="76">
        <f>J172*'General variables'!$B$11</f>
        <v>9909.843260348267</v>
      </c>
      <c r="K175" s="76">
        <f>K172*'General variables'!$B$11</f>
        <v>14293.035493568324</v>
      </c>
      <c r="L175" s="76">
        <f>L172*'General variables'!$B$11</f>
        <v>18272.211747030709</v>
      </c>
      <c r="M175" s="76">
        <f>M172*'General variables'!$B$11</f>
        <v>21884.611754521778</v>
      </c>
      <c r="N175" s="76">
        <f>N172*'General variables'!$B$11</f>
        <v>19212.353676374263</v>
      </c>
      <c r="O175" s="76">
        <f>O172*'General variables'!$B$11</f>
        <v>22189.506655251229</v>
      </c>
      <c r="P175" s="76">
        <f>P172*'General variables'!$B$11</f>
        <v>24892.243794336056</v>
      </c>
      <c r="Q175" s="76">
        <f>Q172*'General variables'!$B$11</f>
        <v>27345.859075383501</v>
      </c>
      <c r="R175" s="76">
        <f>R172*'General variables'!$B$11</f>
        <v>29573.315034873529</v>
      </c>
      <c r="S175" s="76">
        <f>S172*'General variables'!$B$11</f>
        <v>31572.013221842801</v>
      </c>
      <c r="T175" s="76">
        <f>T172*'General variables'!$B$11</f>
        <v>32785.949051728574</v>
      </c>
      <c r="U175" s="76">
        <f>U172*'General variables'!$B$11</f>
        <v>34452.494266794827</v>
      </c>
      <c r="V175" s="76">
        <f>V172*'General variables'!$B$11</f>
        <v>35965.427488124536</v>
      </c>
      <c r="W175" s="76">
        <f>W172*'General variables'!$B$11</f>
        <v>37338.907734270811</v>
      </c>
      <c r="X175" s="76">
        <f>X172*'General variables'!$B$11</f>
        <v>36322.881359747145</v>
      </c>
      <c r="Y175" s="76">
        <f>Y172*'General variables'!$B$11</f>
        <v>37454.83263805617</v>
      </c>
      <c r="Z175" s="76">
        <f>Z172*'General variables'!$B$11</f>
        <v>38482.447537668886</v>
      </c>
      <c r="AA175" s="76">
        <f>AA172*'General variables'!$B$11</f>
        <v>39415.343150882516</v>
      </c>
      <c r="AB175" s="76">
        <f>AB172*'General variables'!$B$11</f>
        <v>40262.250124965154</v>
      </c>
      <c r="AC175" s="76">
        <f>AC172*'General variables'!$B$11</f>
        <v>37894.329069400359</v>
      </c>
      <c r="AD175" s="76">
        <f>AD172*'General variables'!$B$11</f>
        <v>38592.305931180119</v>
      </c>
      <c r="AE175" s="76">
        <f>AE172*'General variables'!$B$11</f>
        <v>39225.947534395833</v>
      </c>
      <c r="AF175" s="76">
        <f>AF172*'General variables'!$B$11</f>
        <v>39801.183911576009</v>
      </c>
      <c r="AG175" s="76">
        <f>AG172*'General variables'!$B$11</f>
        <v>40323.398500946532</v>
      </c>
      <c r="AH175" s="76">
        <f>AH172*'General variables'!$B$11</f>
        <v>40530.705540712217</v>
      </c>
      <c r="AI175" s="76">
        <f>AI172*'General variables'!$B$11</f>
        <v>40961.087756727458</v>
      </c>
      <c r="AJ175" s="76">
        <f>AJ172*'General variables'!$B$11</f>
        <v>41219.45548284275</v>
      </c>
      <c r="AK175" s="76">
        <f>AK172*'General variables'!$B$11</f>
        <v>41574.154213273592</v>
      </c>
      <c r="AL175" s="76">
        <f>AL172*'General variables'!$B$11</f>
        <v>41896.158973769067</v>
      </c>
      <c r="AM175" s="76">
        <f>AM172*'General variables'!$B$11</f>
        <v>42185.094127910175</v>
      </c>
      <c r="AN175" s="76">
        <f>AN172*'General variables'!$B$11</f>
        <v>42450.473773003105</v>
      </c>
      <c r="AO175" s="76">
        <f>AO172*'General variables'!$B$11</f>
        <v>42691.392337765727</v>
      </c>
      <c r="AP175" s="76">
        <f>AP172*'General variables'!$B$11</f>
        <v>42910.10449568936</v>
      </c>
      <c r="AQ175" s="76">
        <f>AQ172*'General variables'!$B$11</f>
        <v>43108.657098186988</v>
      </c>
      <c r="AR175" s="76">
        <f>AR172*'General variables'!$B$11</f>
        <v>42251.243995225654</v>
      </c>
      <c r="AS175" s="76">
        <f>AS172*'General variables'!$B$11</f>
        <v>42414.880766005132</v>
      </c>
      <c r="AT175" s="76">
        <f>AT172*'General variables'!$B$11</f>
        <v>42563.434495304064</v>
      </c>
      <c r="AU175" s="76">
        <f>AU172*'General variables'!$B$11</f>
        <v>42698.295446076314</v>
      </c>
      <c r="AV175" s="76">
        <f>AV172*'General variables'!$B$11</f>
        <v>42820.725735299122</v>
      </c>
      <c r="AW175" s="76">
        <f>AW172*'General variables'!$B$11</f>
        <v>42930.58254124727</v>
      </c>
      <c r="AX175" s="76">
        <f>AX172*'General variables'!$B$11</f>
        <v>43031.48324424489</v>
      </c>
      <c r="AY175" s="76">
        <f>AY172*'General variables'!$B$11</f>
        <v>43123.083534618381</v>
      </c>
      <c r="AZ175" s="76">
        <f>AZ172*'General variables'!$B$11</f>
        <v>43206.240667792226</v>
      </c>
      <c r="BA175" s="76">
        <f>BA172*'General variables'!$B$11</f>
        <v>43281.732882603959</v>
      </c>
      <c r="BB175" s="76">
        <f>BB172*'General variables'!$B$11</f>
        <v>43349.472113196447</v>
      </c>
    </row>
    <row r="176" spans="1:54" s="167" customFormat="1" x14ac:dyDescent="0.25">
      <c r="A176" s="154" t="s">
        <v>35</v>
      </c>
      <c r="B176" s="167" t="s">
        <v>355</v>
      </c>
      <c r="C176" s="168"/>
      <c r="D176" s="167">
        <v>0</v>
      </c>
      <c r="E176" s="167">
        <v>1</v>
      </c>
      <c r="F176" s="167">
        <v>2</v>
      </c>
      <c r="G176" s="167">
        <v>3</v>
      </c>
      <c r="H176" s="167">
        <v>4</v>
      </c>
      <c r="I176" s="167">
        <v>5</v>
      </c>
      <c r="J176" s="167">
        <v>6</v>
      </c>
      <c r="K176" s="167">
        <v>7</v>
      </c>
      <c r="L176" s="167">
        <v>8</v>
      </c>
      <c r="M176" s="167">
        <v>9</v>
      </c>
      <c r="N176" s="167">
        <v>10</v>
      </c>
      <c r="O176" s="167">
        <v>11</v>
      </c>
      <c r="P176" s="167">
        <v>12</v>
      </c>
      <c r="Q176" s="167">
        <v>13</v>
      </c>
      <c r="R176" s="167">
        <v>14</v>
      </c>
      <c r="S176" s="167">
        <v>15</v>
      </c>
      <c r="T176" s="167">
        <v>16</v>
      </c>
      <c r="U176" s="167">
        <v>17</v>
      </c>
      <c r="V176" s="167">
        <v>18</v>
      </c>
      <c r="W176" s="167">
        <v>19</v>
      </c>
      <c r="X176" s="167">
        <v>20</v>
      </c>
      <c r="Y176" s="167">
        <v>21</v>
      </c>
      <c r="Z176" s="167">
        <v>22</v>
      </c>
      <c r="AA176" s="167">
        <v>23</v>
      </c>
      <c r="AB176" s="167">
        <v>24</v>
      </c>
      <c r="AC176" s="167">
        <v>25</v>
      </c>
      <c r="AD176" s="167">
        <v>26</v>
      </c>
      <c r="AE176" s="167">
        <v>27</v>
      </c>
      <c r="AF176" s="167">
        <v>28</v>
      </c>
      <c r="AG176" s="167">
        <v>29</v>
      </c>
      <c r="AH176" s="167">
        <v>30</v>
      </c>
      <c r="AI176" s="167">
        <v>31</v>
      </c>
      <c r="AJ176" s="167">
        <v>32</v>
      </c>
      <c r="AK176" s="167">
        <v>33</v>
      </c>
      <c r="AL176" s="167">
        <v>34</v>
      </c>
      <c r="AM176" s="167">
        <v>35</v>
      </c>
      <c r="AN176" s="167">
        <v>36</v>
      </c>
      <c r="AO176" s="167">
        <v>37</v>
      </c>
      <c r="AP176" s="167">
        <v>38</v>
      </c>
      <c r="AQ176" s="167">
        <v>39</v>
      </c>
      <c r="AR176" s="167">
        <v>40</v>
      </c>
      <c r="AS176" s="167">
        <v>41</v>
      </c>
      <c r="AT176" s="167">
        <v>42</v>
      </c>
      <c r="AU176" s="167">
        <v>43</v>
      </c>
      <c r="AV176" s="167">
        <v>44</v>
      </c>
      <c r="AW176" s="167">
        <v>45</v>
      </c>
      <c r="AX176" s="167">
        <v>46</v>
      </c>
      <c r="AY176" s="167">
        <v>47</v>
      </c>
      <c r="AZ176" s="167">
        <v>48</v>
      </c>
      <c r="BA176" s="167">
        <v>49</v>
      </c>
      <c r="BB176" s="167">
        <v>50</v>
      </c>
    </row>
  </sheetData>
  <mergeCells count="20">
    <mergeCell ref="A47:A54"/>
    <mergeCell ref="A7:A14"/>
    <mergeCell ref="A15:A22"/>
    <mergeCell ref="A23:A30"/>
    <mergeCell ref="A31:A38"/>
    <mergeCell ref="A39:A46"/>
    <mergeCell ref="A155:A161"/>
    <mergeCell ref="A55:A62"/>
    <mergeCell ref="A87:A94"/>
    <mergeCell ref="A166:A172"/>
    <mergeCell ref="A111:A118"/>
    <mergeCell ref="A119:A126"/>
    <mergeCell ref="A127:A134"/>
    <mergeCell ref="A135:A141"/>
    <mergeCell ref="A145:A151"/>
    <mergeCell ref="A63:A70"/>
    <mergeCell ref="A71:A78"/>
    <mergeCell ref="A79:A86"/>
    <mergeCell ref="A95:A102"/>
    <mergeCell ref="A103:A110"/>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13"/>
  <sheetViews>
    <sheetView zoomScale="80" zoomScaleNormal="80" workbookViewId="0"/>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2" width="26.140625" customWidth="1"/>
    <col min="13" max="13" width="11.5703125" customWidth="1"/>
  </cols>
  <sheetData>
    <row r="1" spans="1:12" s="8" customFormat="1" x14ac:dyDescent="0.25">
      <c r="A1" s="8" t="s">
        <v>83</v>
      </c>
      <c r="B1" s="9" t="s">
        <v>340</v>
      </c>
    </row>
    <row r="2" spans="1:12" ht="18" x14ac:dyDescent="0.35">
      <c r="A2" t="s">
        <v>85</v>
      </c>
      <c r="B2" t="s">
        <v>86</v>
      </c>
      <c r="C2" t="s">
        <v>87</v>
      </c>
      <c r="D2" t="s">
        <v>8</v>
      </c>
      <c r="E2" t="s">
        <v>10</v>
      </c>
      <c r="F2" t="s">
        <v>11</v>
      </c>
      <c r="G2" t="s">
        <v>27</v>
      </c>
      <c r="H2" t="s">
        <v>580</v>
      </c>
      <c r="I2" t="s">
        <v>581</v>
      </c>
      <c r="J2" t="s">
        <v>582</v>
      </c>
      <c r="K2" t="s">
        <v>141</v>
      </c>
      <c r="L2" t="s">
        <v>26</v>
      </c>
    </row>
    <row r="3" spans="1:12" x14ac:dyDescent="0.25">
      <c r="A3" t="s">
        <v>98</v>
      </c>
      <c r="B3" s="2">
        <v>1</v>
      </c>
      <c r="C3">
        <v>1</v>
      </c>
      <c r="D3" t="s">
        <v>97</v>
      </c>
      <c r="E3" s="158">
        <v>24.5</v>
      </c>
      <c r="F3" s="158">
        <f>Table46911131517[[#This Row],[IEE (GJ)]]</f>
        <v>24.5</v>
      </c>
      <c r="G3" s="2">
        <f>Table46911131517[[#This Row],[REE (GJ/50 years)]]+Table46911131517[[#This Row],[IEE (GJ)]]</f>
        <v>49</v>
      </c>
      <c r="H3" s="2">
        <v>1863</v>
      </c>
      <c r="I3" s="2">
        <v>1863</v>
      </c>
      <c r="J3" s="2">
        <f>Table46911131517[[#This Row],[REGHG (kgCO2e)]]+Table46911131517[[#This Row],[IEGHG (kgCO2e)]]</f>
        <v>3726</v>
      </c>
      <c r="L3" s="2"/>
    </row>
    <row r="4" spans="1:12" x14ac:dyDescent="0.25">
      <c r="A4" t="s">
        <v>99</v>
      </c>
      <c r="B4" s="2">
        <v>1</v>
      </c>
      <c r="C4">
        <v>1</v>
      </c>
      <c r="D4" t="s">
        <v>97</v>
      </c>
      <c r="E4" s="2"/>
      <c r="F4" s="2"/>
      <c r="G4" s="2"/>
      <c r="H4" s="2"/>
      <c r="I4" s="2"/>
      <c r="J4" s="2"/>
      <c r="K4" s="12"/>
      <c r="L4" s="2"/>
    </row>
    <row r="5" spans="1:12" x14ac:dyDescent="0.25">
      <c r="A5" t="s">
        <v>149</v>
      </c>
      <c r="B5" s="2"/>
      <c r="E5" s="2"/>
      <c r="F5" s="2"/>
      <c r="G5" s="2"/>
      <c r="H5" s="2"/>
      <c r="I5" s="2"/>
      <c r="J5" s="2"/>
      <c r="K5" s="13">
        <v>534.74</v>
      </c>
      <c r="L5" s="2">
        <f>Table46911131517[[#This Row],[Delivered  energy (GJ/50 years)]]*'General variables'!$B$9*-1</f>
        <v>-2032.0119999999999</v>
      </c>
    </row>
    <row r="6" spans="1:12" x14ac:dyDescent="0.25">
      <c r="A6" t="s">
        <v>134</v>
      </c>
      <c r="B6" s="2"/>
      <c r="E6" s="2"/>
      <c r="F6" s="2"/>
      <c r="G6" s="2"/>
      <c r="H6" s="2"/>
      <c r="I6" s="2"/>
      <c r="J6" s="2"/>
      <c r="K6" s="13">
        <v>58.55</v>
      </c>
      <c r="L6" s="2">
        <f>Table46911131517[[#This Row],[Delivered  energy (GJ/50 years)]]*'General variables'!$B$9</f>
        <v>222.48999999999998</v>
      </c>
    </row>
    <row r="7" spans="1:12" x14ac:dyDescent="0.25">
      <c r="A7" s="7" t="s">
        <v>303</v>
      </c>
      <c r="B7" s="2"/>
      <c r="E7" s="45"/>
      <c r="F7" s="45"/>
      <c r="G7" s="45"/>
      <c r="H7" s="45"/>
      <c r="I7" s="45"/>
      <c r="J7" s="45"/>
      <c r="K7" s="13">
        <f>B10*B11*365.25/1000*3.6/1000*50</f>
        <v>8.2181250000000006</v>
      </c>
      <c r="L7" s="2">
        <f>Table46911131517[[#This Row],[Delivered  energy (GJ/50 years)]]*'General variables'!$B$9</f>
        <v>31.228875000000002</v>
      </c>
    </row>
    <row r="8" spans="1:12" x14ac:dyDescent="0.25">
      <c r="F8" t="s">
        <v>94</v>
      </c>
      <c r="G8" s="6">
        <f>G3+G4</f>
        <v>49</v>
      </c>
      <c r="H8" s="6"/>
      <c r="I8" s="6"/>
      <c r="J8" s="6"/>
      <c r="L8" s="6">
        <f>SUM(L5:L7)</f>
        <v>-1778.2931249999999</v>
      </c>
    </row>
    <row r="9" spans="1:12" x14ac:dyDescent="0.25">
      <c r="F9" t="s">
        <v>100</v>
      </c>
      <c r="G9" s="6">
        <f>G8+L8</f>
        <v>-1729.2931249999999</v>
      </c>
      <c r="H9" s="6"/>
      <c r="I9" s="6"/>
      <c r="J9" s="6"/>
    </row>
    <row r="10" spans="1:12" x14ac:dyDescent="0.25">
      <c r="A10" s="23" t="s">
        <v>304</v>
      </c>
      <c r="B10" s="46">
        <v>125</v>
      </c>
      <c r="C10" s="26" t="s">
        <v>305</v>
      </c>
    </row>
    <row r="11" spans="1:12" x14ac:dyDescent="0.25">
      <c r="A11" s="29" t="s">
        <v>306</v>
      </c>
      <c r="B11" s="47">
        <v>1</v>
      </c>
      <c r="C11" s="31" t="s">
        <v>307</v>
      </c>
    </row>
    <row r="12" spans="1:12" x14ac:dyDescent="0.25">
      <c r="A12" t="s">
        <v>88</v>
      </c>
      <c r="B12" s="7"/>
    </row>
    <row r="13" spans="1:12" x14ac:dyDescent="0.25">
      <c r="B13" s="7"/>
    </row>
    <row r="15" spans="1:12" x14ac:dyDescent="0.25">
      <c r="A15" s="95" t="s">
        <v>414</v>
      </c>
      <c r="B15" s="95"/>
      <c r="C15" s="95"/>
      <c r="D15" s="95"/>
      <c r="E15" s="95"/>
      <c r="F15" s="95"/>
      <c r="G15" s="95"/>
      <c r="H15" s="95"/>
      <c r="I15" s="95"/>
      <c r="J15" s="95"/>
      <c r="K15" s="95"/>
    </row>
    <row r="16" spans="1:12" x14ac:dyDescent="0.25">
      <c r="A16" s="95" t="s">
        <v>216</v>
      </c>
      <c r="B16" s="103"/>
      <c r="C16" s="95"/>
      <c r="D16" s="95"/>
      <c r="E16" s="95"/>
      <c r="F16" s="95"/>
      <c r="G16" s="95"/>
      <c r="H16" s="95"/>
      <c r="I16" s="95"/>
      <c r="J16" s="95"/>
      <c r="K16" s="95"/>
    </row>
    <row r="17" spans="1:11" x14ac:dyDescent="0.25">
      <c r="A17" s="95" t="s">
        <v>425</v>
      </c>
      <c r="B17" s="95">
        <v>1200</v>
      </c>
      <c r="C17" s="95" t="s">
        <v>207</v>
      </c>
      <c r="D17" s="95" t="s">
        <v>208</v>
      </c>
      <c r="E17" s="95"/>
      <c r="F17" s="95" t="s">
        <v>415</v>
      </c>
      <c r="G17" s="95"/>
      <c r="H17" s="95"/>
      <c r="I17" s="95"/>
      <c r="J17" s="95"/>
      <c r="K17" s="95"/>
    </row>
    <row r="18" spans="1:11" x14ac:dyDescent="0.25">
      <c r="A18" s="95" t="s">
        <v>206</v>
      </c>
      <c r="B18" s="95">
        <v>700</v>
      </c>
      <c r="C18" s="95" t="s">
        <v>207</v>
      </c>
      <c r="D18" s="95"/>
      <c r="E18" s="95"/>
      <c r="F18" s="95" t="s">
        <v>416</v>
      </c>
      <c r="G18" s="95"/>
      <c r="H18" s="95"/>
      <c r="I18" s="95"/>
      <c r="J18" s="95"/>
      <c r="K18" s="95"/>
    </row>
    <row r="19" spans="1:11" x14ac:dyDescent="0.25">
      <c r="A19" s="95" t="s">
        <v>209</v>
      </c>
      <c r="B19" s="95">
        <v>200</v>
      </c>
      <c r="C19" s="95" t="s">
        <v>207</v>
      </c>
      <c r="D19" s="95" t="s">
        <v>210</v>
      </c>
      <c r="E19" s="95"/>
      <c r="F19" s="95" t="s">
        <v>417</v>
      </c>
      <c r="G19" s="95"/>
      <c r="H19" s="95"/>
      <c r="I19" s="95"/>
      <c r="J19" s="95"/>
      <c r="K19" s="95"/>
    </row>
    <row r="20" spans="1:11" x14ac:dyDescent="0.25">
      <c r="A20" s="95" t="s">
        <v>426</v>
      </c>
      <c r="B20" s="95">
        <v>200</v>
      </c>
      <c r="C20" s="95" t="s">
        <v>207</v>
      </c>
      <c r="D20" s="95"/>
      <c r="E20" s="95"/>
      <c r="F20" s="95" t="s">
        <v>418</v>
      </c>
      <c r="G20" s="95"/>
      <c r="H20" s="95"/>
      <c r="I20" s="95"/>
      <c r="J20" s="95"/>
      <c r="K20" s="95"/>
    </row>
    <row r="21" spans="1:11" x14ac:dyDescent="0.25">
      <c r="A21" s="104" t="s">
        <v>212</v>
      </c>
      <c r="B21" s="95">
        <f>SUM(B17:B20)</f>
        <v>2300</v>
      </c>
      <c r="C21" s="95" t="s">
        <v>207</v>
      </c>
      <c r="D21" s="95"/>
      <c r="E21" s="95"/>
      <c r="F21" s="95" t="s">
        <v>419</v>
      </c>
      <c r="G21" s="95"/>
      <c r="H21" s="95"/>
      <c r="I21" s="95"/>
      <c r="J21" s="95"/>
      <c r="K21" s="95"/>
    </row>
    <row r="22" spans="1:11" x14ac:dyDescent="0.25">
      <c r="A22" s="95"/>
      <c r="B22" s="95"/>
      <c r="C22" s="95"/>
      <c r="D22" s="95"/>
      <c r="E22" s="95"/>
      <c r="F22" s="95" t="s">
        <v>420</v>
      </c>
      <c r="G22" s="95"/>
      <c r="H22" s="95"/>
      <c r="I22" s="95"/>
      <c r="J22" s="95"/>
      <c r="K22" s="95"/>
    </row>
    <row r="23" spans="1:11" x14ac:dyDescent="0.25">
      <c r="A23" s="95" t="s">
        <v>427</v>
      </c>
      <c r="B23" s="95">
        <v>-250</v>
      </c>
      <c r="C23" s="95" t="s">
        <v>207</v>
      </c>
      <c r="D23" s="95"/>
      <c r="E23" s="95"/>
      <c r="F23" s="95" t="s">
        <v>421</v>
      </c>
      <c r="G23" s="95"/>
      <c r="H23" s="95"/>
      <c r="I23" s="95"/>
      <c r="J23" s="95"/>
      <c r="K23" s="95"/>
    </row>
    <row r="24" spans="1:11" x14ac:dyDescent="0.25">
      <c r="A24" s="95" t="s">
        <v>428</v>
      </c>
      <c r="B24" s="95"/>
      <c r="C24" s="95"/>
      <c r="D24" s="95"/>
      <c r="E24" s="95"/>
      <c r="F24" s="95" t="s">
        <v>422</v>
      </c>
      <c r="G24" s="95"/>
      <c r="H24" s="95"/>
      <c r="I24" s="95"/>
      <c r="J24" s="95"/>
      <c r="K24" s="95"/>
    </row>
    <row r="25" spans="1:11" x14ac:dyDescent="0.25">
      <c r="A25" s="105" t="s">
        <v>429</v>
      </c>
      <c r="B25" s="97">
        <f>B21+B23</f>
        <v>2050</v>
      </c>
      <c r="C25" s="97" t="s">
        <v>207</v>
      </c>
      <c r="D25" s="95"/>
      <c r="E25" s="95"/>
      <c r="F25" s="95" t="s">
        <v>423</v>
      </c>
      <c r="G25" s="95"/>
      <c r="H25" s="95"/>
      <c r="I25" s="95"/>
      <c r="J25" s="95"/>
      <c r="K25" s="95"/>
    </row>
    <row r="26" spans="1:11" x14ac:dyDescent="0.25">
      <c r="A26" s="95"/>
      <c r="B26" s="95"/>
      <c r="C26" s="95"/>
      <c r="D26" s="95"/>
      <c r="E26" s="95"/>
      <c r="F26" s="95" t="s">
        <v>424</v>
      </c>
      <c r="G26" s="95"/>
      <c r="H26" s="95"/>
      <c r="I26" s="95"/>
      <c r="J26" s="95"/>
      <c r="K26" s="95"/>
    </row>
    <row r="27" spans="1:11" x14ac:dyDescent="0.25">
      <c r="A27" s="95"/>
      <c r="B27" s="95"/>
      <c r="C27" s="95"/>
      <c r="D27" s="95"/>
      <c r="E27" s="95"/>
      <c r="F27" s="95"/>
      <c r="G27" s="95"/>
      <c r="H27" s="95"/>
      <c r="I27" s="95"/>
      <c r="J27" s="95"/>
      <c r="K27" s="95"/>
    </row>
    <row r="28" spans="1:11" x14ac:dyDescent="0.25">
      <c r="A28" s="95" t="s">
        <v>430</v>
      </c>
      <c r="B28" s="95"/>
      <c r="C28" s="95"/>
      <c r="D28" s="95"/>
      <c r="E28" s="95"/>
      <c r="F28" s="95"/>
      <c r="G28" s="95"/>
      <c r="H28" s="95"/>
      <c r="I28" s="95"/>
      <c r="J28" s="95"/>
      <c r="K28" s="95"/>
    </row>
    <row r="29" spans="1:11" x14ac:dyDescent="0.25">
      <c r="A29" s="95" t="s">
        <v>425</v>
      </c>
      <c r="B29" s="95">
        <v>1200</v>
      </c>
      <c r="C29" s="95" t="s">
        <v>207</v>
      </c>
      <c r="D29" s="95" t="s">
        <v>208</v>
      </c>
      <c r="E29" s="95"/>
      <c r="F29" s="95"/>
      <c r="G29" s="95"/>
      <c r="H29" s="95"/>
      <c r="I29" s="95"/>
      <c r="J29" s="95"/>
      <c r="K29" s="95"/>
    </row>
    <row r="30" spans="1:11" x14ac:dyDescent="0.25">
      <c r="A30" s="95" t="s">
        <v>206</v>
      </c>
      <c r="B30" s="95">
        <v>700</v>
      </c>
      <c r="C30" s="95" t="s">
        <v>207</v>
      </c>
      <c r="D30" s="95"/>
      <c r="E30" s="95"/>
      <c r="F30" s="95"/>
      <c r="G30" s="95"/>
      <c r="H30" s="95"/>
      <c r="I30" s="95"/>
      <c r="J30" s="95"/>
      <c r="K30" s="95"/>
    </row>
    <row r="31" spans="1:11" x14ac:dyDescent="0.25">
      <c r="A31" s="95" t="s">
        <v>426</v>
      </c>
      <c r="B31" s="95">
        <v>200</v>
      </c>
      <c r="C31" s="95" t="s">
        <v>207</v>
      </c>
      <c r="D31" s="95"/>
      <c r="E31" s="95"/>
      <c r="F31" s="95"/>
      <c r="G31" s="95"/>
      <c r="H31" s="95"/>
      <c r="I31" s="95"/>
      <c r="J31" s="95"/>
      <c r="K31" s="95"/>
    </row>
    <row r="32" spans="1:11" x14ac:dyDescent="0.25">
      <c r="A32" s="104" t="s">
        <v>212</v>
      </c>
      <c r="B32" s="95">
        <f>SUM(B29:B31)</f>
        <v>2100</v>
      </c>
      <c r="C32" s="95" t="s">
        <v>207</v>
      </c>
      <c r="D32" s="95"/>
      <c r="E32" s="95"/>
      <c r="F32" s="95"/>
      <c r="G32" s="95"/>
      <c r="H32" s="95"/>
      <c r="I32" s="95"/>
      <c r="J32" s="95"/>
      <c r="K32" s="95"/>
    </row>
    <row r="33" spans="1:11" x14ac:dyDescent="0.25">
      <c r="A33" s="95"/>
      <c r="B33" s="95"/>
      <c r="C33" s="95"/>
      <c r="D33" s="95"/>
      <c r="E33" s="95"/>
      <c r="F33" s="95"/>
      <c r="G33" s="95"/>
      <c r="H33" s="95"/>
      <c r="I33" s="95"/>
      <c r="J33" s="95"/>
      <c r="K33" s="95"/>
    </row>
    <row r="34" spans="1:11" x14ac:dyDescent="0.25">
      <c r="A34" s="95" t="s">
        <v>431</v>
      </c>
      <c r="B34" s="95">
        <v>-250</v>
      </c>
      <c r="C34" s="95" t="s">
        <v>207</v>
      </c>
      <c r="D34" s="95"/>
      <c r="E34" s="95"/>
      <c r="F34" s="95"/>
      <c r="G34" s="95"/>
      <c r="H34" s="95"/>
      <c r="I34" s="95"/>
      <c r="J34" s="95"/>
      <c r="K34" s="95"/>
    </row>
    <row r="35" spans="1:11" x14ac:dyDescent="0.25">
      <c r="A35" s="95" t="s">
        <v>432</v>
      </c>
      <c r="B35" s="95"/>
      <c r="C35" s="95"/>
      <c r="D35" s="95"/>
      <c r="E35" s="95"/>
      <c r="F35" s="95"/>
      <c r="G35" s="95"/>
      <c r="H35" s="95"/>
      <c r="I35" s="95"/>
      <c r="J35" s="95"/>
      <c r="K35" s="95"/>
    </row>
    <row r="36" spans="1:11" x14ac:dyDescent="0.25">
      <c r="A36" s="105" t="s">
        <v>429</v>
      </c>
      <c r="B36" s="97">
        <f>B32+B34</f>
        <v>1850</v>
      </c>
      <c r="C36" s="97" t="s">
        <v>207</v>
      </c>
      <c r="D36" s="95"/>
      <c r="E36" s="95"/>
      <c r="F36" s="95"/>
      <c r="G36" s="95"/>
      <c r="H36" s="95"/>
      <c r="I36" s="95"/>
      <c r="J36" s="95"/>
      <c r="K36" s="95"/>
    </row>
    <row r="39" spans="1:11" x14ac:dyDescent="0.25">
      <c r="A39" t="s">
        <v>203</v>
      </c>
      <c r="B39" s="7"/>
    </row>
    <row r="40" spans="1:11" x14ac:dyDescent="0.25">
      <c r="A40" t="s">
        <v>292</v>
      </c>
      <c r="B40" s="7"/>
    </row>
    <row r="41" spans="1:11" x14ac:dyDescent="0.25">
      <c r="A41" t="s">
        <v>204</v>
      </c>
      <c r="B41" s="7"/>
    </row>
    <row r="42" spans="1:11" x14ac:dyDescent="0.25">
      <c r="B42" s="7"/>
    </row>
    <row r="43" spans="1:11" x14ac:dyDescent="0.25">
      <c r="A43" t="s">
        <v>216</v>
      </c>
      <c r="B43" s="7"/>
    </row>
    <row r="44" spans="1:11" x14ac:dyDescent="0.25">
      <c r="A44" t="s">
        <v>205</v>
      </c>
      <c r="B44">
        <v>2000</v>
      </c>
      <c r="C44" t="s">
        <v>207</v>
      </c>
      <c r="D44" t="s">
        <v>208</v>
      </c>
    </row>
    <row r="45" spans="1:11" x14ac:dyDescent="0.25">
      <c r="A45" t="s">
        <v>206</v>
      </c>
      <c r="B45">
        <v>700</v>
      </c>
      <c r="C45" t="s">
        <v>207</v>
      </c>
    </row>
    <row r="46" spans="1:11" x14ac:dyDescent="0.25">
      <c r="A46" t="s">
        <v>209</v>
      </c>
      <c r="B46">
        <v>200</v>
      </c>
      <c r="C46" t="s">
        <v>207</v>
      </c>
      <c r="D46" t="s">
        <v>210</v>
      </c>
    </row>
    <row r="47" spans="1:11" x14ac:dyDescent="0.25">
      <c r="A47" t="s">
        <v>211</v>
      </c>
      <c r="B47">
        <v>200</v>
      </c>
      <c r="C47" t="s">
        <v>207</v>
      </c>
    </row>
    <row r="48" spans="1:11" x14ac:dyDescent="0.25">
      <c r="A48" s="35" t="s">
        <v>212</v>
      </c>
      <c r="B48">
        <f>SUM(B44:B47)</f>
        <v>3100</v>
      </c>
      <c r="C48" t="s">
        <v>207</v>
      </c>
    </row>
    <row r="50" spans="1:6" x14ac:dyDescent="0.25">
      <c r="A50" t="s">
        <v>215</v>
      </c>
    </row>
    <row r="51" spans="1:6" x14ac:dyDescent="0.25">
      <c r="A51" t="s">
        <v>214</v>
      </c>
    </row>
    <row r="52" spans="1:6" x14ac:dyDescent="0.25">
      <c r="A52" t="s">
        <v>213</v>
      </c>
    </row>
    <row r="53" spans="1:6" x14ac:dyDescent="0.25">
      <c r="A53" t="s">
        <v>219</v>
      </c>
    </row>
    <row r="54" spans="1:6" x14ac:dyDescent="0.25">
      <c r="A54" t="s">
        <v>220</v>
      </c>
    </row>
    <row r="55" spans="1:6" x14ac:dyDescent="0.25">
      <c r="A55" t="s">
        <v>221</v>
      </c>
    </row>
    <row r="57" spans="1:6" x14ac:dyDescent="0.25">
      <c r="A57" t="s">
        <v>333</v>
      </c>
      <c r="D57">
        <v>3.5000000000000003E-2</v>
      </c>
      <c r="E57" t="s">
        <v>332</v>
      </c>
      <c r="F57" t="s">
        <v>334</v>
      </c>
    </row>
    <row r="58" spans="1:6" x14ac:dyDescent="0.25">
      <c r="A58" t="s">
        <v>336</v>
      </c>
      <c r="D58">
        <v>270</v>
      </c>
      <c r="E58" t="s">
        <v>338</v>
      </c>
      <c r="F58" t="s">
        <v>337</v>
      </c>
    </row>
    <row r="59" spans="1:6" x14ac:dyDescent="0.25">
      <c r="A59" t="s">
        <v>217</v>
      </c>
      <c r="D59">
        <v>1.23</v>
      </c>
      <c r="E59" t="s">
        <v>218</v>
      </c>
    </row>
    <row r="61" spans="1:6" x14ac:dyDescent="0.25">
      <c r="A61" t="s">
        <v>241</v>
      </c>
    </row>
    <row r="62" spans="1:6" x14ac:dyDescent="0.25">
      <c r="A62" t="s">
        <v>222</v>
      </c>
      <c r="B62" s="36">
        <v>2.5547445255474453E-2</v>
      </c>
      <c r="C62" t="s">
        <v>227</v>
      </c>
      <c r="D62" s="36"/>
    </row>
    <row r="63" spans="1:6" x14ac:dyDescent="0.25">
      <c r="A63" t="s">
        <v>223</v>
      </c>
      <c r="B63" s="36">
        <v>4.014598540145986E-2</v>
      </c>
      <c r="C63" t="s">
        <v>227</v>
      </c>
      <c r="D63" s="36"/>
    </row>
    <row r="64" spans="1:6" x14ac:dyDescent="0.25">
      <c r="A64" t="s">
        <v>224</v>
      </c>
      <c r="B64" s="36">
        <v>5.8394160583941604E-2</v>
      </c>
      <c r="C64" t="s">
        <v>227</v>
      </c>
      <c r="D64" s="36"/>
    </row>
    <row r="65" spans="1:4" x14ac:dyDescent="0.25">
      <c r="A65" t="s">
        <v>225</v>
      </c>
      <c r="B65" s="36">
        <v>8.7591240875912413E-2</v>
      </c>
      <c r="C65" t="s">
        <v>227</v>
      </c>
      <c r="D65" s="36"/>
    </row>
    <row r="66" spans="1:4" x14ac:dyDescent="0.25">
      <c r="A66" t="s">
        <v>226</v>
      </c>
      <c r="B66" s="36">
        <v>0.14598540145985403</v>
      </c>
      <c r="C66" t="s">
        <v>227</v>
      </c>
      <c r="D66" s="36"/>
    </row>
    <row r="67" spans="1:4" x14ac:dyDescent="0.25">
      <c r="A67" t="s">
        <v>257</v>
      </c>
    </row>
    <row r="69" spans="1:4" x14ac:dyDescent="0.25">
      <c r="A69" t="s">
        <v>242</v>
      </c>
    </row>
    <row r="70" spans="1:4" x14ac:dyDescent="0.25">
      <c r="A70" t="s">
        <v>243</v>
      </c>
    </row>
    <row r="71" spans="1:4" x14ac:dyDescent="0.25">
      <c r="A71" t="s">
        <v>244</v>
      </c>
    </row>
    <row r="73" spans="1:4" x14ac:dyDescent="0.25">
      <c r="A73" s="39">
        <v>41640</v>
      </c>
      <c r="B73">
        <v>66</v>
      </c>
      <c r="C73" t="s">
        <v>240</v>
      </c>
    </row>
    <row r="74" spans="1:4" x14ac:dyDescent="0.25">
      <c r="A74" s="39">
        <v>41671</v>
      </c>
      <c r="B74">
        <v>67</v>
      </c>
      <c r="C74" t="s">
        <v>240</v>
      </c>
    </row>
    <row r="75" spans="1:4" x14ac:dyDescent="0.25">
      <c r="A75" s="39">
        <v>41699</v>
      </c>
      <c r="B75">
        <v>67</v>
      </c>
      <c r="C75" t="s">
        <v>240</v>
      </c>
    </row>
    <row r="76" spans="1:4" x14ac:dyDescent="0.25">
      <c r="A76" s="39">
        <v>41730</v>
      </c>
      <c r="B76">
        <v>47</v>
      </c>
      <c r="C76" t="s">
        <v>240</v>
      </c>
    </row>
    <row r="77" spans="1:4" x14ac:dyDescent="0.25">
      <c r="A77" s="39">
        <v>41760</v>
      </c>
      <c r="B77">
        <v>47</v>
      </c>
      <c r="C77" t="s">
        <v>240</v>
      </c>
    </row>
    <row r="78" spans="1:4" x14ac:dyDescent="0.25">
      <c r="A78" s="39">
        <v>41791</v>
      </c>
      <c r="B78">
        <v>84</v>
      </c>
      <c r="C78" t="s">
        <v>240</v>
      </c>
    </row>
    <row r="79" spans="1:4" x14ac:dyDescent="0.25">
      <c r="A79" s="39">
        <v>41821</v>
      </c>
      <c r="B79">
        <v>93</v>
      </c>
      <c r="C79" t="s">
        <v>240</v>
      </c>
    </row>
    <row r="80" spans="1:4" x14ac:dyDescent="0.25">
      <c r="A80" s="39">
        <v>41852</v>
      </c>
      <c r="B80">
        <v>97</v>
      </c>
      <c r="C80" t="s">
        <v>240</v>
      </c>
    </row>
    <row r="81" spans="1:5" x14ac:dyDescent="0.25">
      <c r="A81" s="39">
        <v>74755</v>
      </c>
      <c r="B81">
        <v>90</v>
      </c>
      <c r="C81" t="s">
        <v>240</v>
      </c>
    </row>
    <row r="82" spans="1:5" x14ac:dyDescent="0.25">
      <c r="A82" s="39">
        <v>41913</v>
      </c>
      <c r="B82">
        <v>90</v>
      </c>
      <c r="C82" t="s">
        <v>240</v>
      </c>
    </row>
    <row r="83" spans="1:5" x14ac:dyDescent="0.25">
      <c r="A83" s="39">
        <v>74816</v>
      </c>
      <c r="B83">
        <v>66</v>
      </c>
      <c r="C83" t="s">
        <v>240</v>
      </c>
    </row>
    <row r="84" spans="1:5" x14ac:dyDescent="0.25">
      <c r="A84" s="39">
        <v>41974</v>
      </c>
      <c r="B84">
        <v>57</v>
      </c>
      <c r="C84" t="s">
        <v>240</v>
      </c>
    </row>
    <row r="86" spans="1:5" x14ac:dyDescent="0.25">
      <c r="A86" s="35" t="s">
        <v>238</v>
      </c>
      <c r="B86" s="41">
        <f>AVERAGE(B73:B84)</f>
        <v>72.583333333333329</v>
      </c>
      <c r="C86" t="s">
        <v>240</v>
      </c>
    </row>
    <row r="87" spans="1:5" x14ac:dyDescent="0.25">
      <c r="A87" s="35" t="s">
        <v>239</v>
      </c>
      <c r="B87" s="36">
        <f>B86/264</f>
        <v>0.27493686868686867</v>
      </c>
      <c r="C87" t="s">
        <v>227</v>
      </c>
    </row>
    <row r="89" spans="1:5" x14ac:dyDescent="0.25">
      <c r="A89" t="s">
        <v>245</v>
      </c>
    </row>
    <row r="90" spans="1:5" x14ac:dyDescent="0.25">
      <c r="A90" t="s">
        <v>246</v>
      </c>
    </row>
    <row r="91" spans="1:5" x14ac:dyDescent="0.25">
      <c r="A91" t="s">
        <v>247</v>
      </c>
    </row>
    <row r="93" spans="1:5" x14ac:dyDescent="0.25">
      <c r="A93" t="s">
        <v>248</v>
      </c>
      <c r="B93" t="s">
        <v>149</v>
      </c>
      <c r="C93" t="s">
        <v>134</v>
      </c>
      <c r="D93" t="s">
        <v>147</v>
      </c>
      <c r="E93" t="s">
        <v>129</v>
      </c>
    </row>
    <row r="94" spans="1:5" x14ac:dyDescent="0.25">
      <c r="A94" s="48" t="s">
        <v>249</v>
      </c>
      <c r="B94" s="48">
        <v>534.74</v>
      </c>
      <c r="C94" s="48">
        <v>8.2200000000000006</v>
      </c>
      <c r="D94" s="48">
        <v>0</v>
      </c>
      <c r="E94" s="48">
        <v>0</v>
      </c>
    </row>
    <row r="95" spans="1:5" x14ac:dyDescent="0.25">
      <c r="A95" s="48" t="s">
        <v>250</v>
      </c>
      <c r="B95" s="49">
        <f>B94/600</f>
        <v>0.89123333333333332</v>
      </c>
      <c r="C95" s="49">
        <f>C94/600</f>
        <v>1.37E-2</v>
      </c>
      <c r="D95" s="49">
        <f t="shared" ref="D95:E95" si="0">D94/600</f>
        <v>0</v>
      </c>
      <c r="E95" s="49">
        <f t="shared" si="0"/>
        <v>0</v>
      </c>
    </row>
    <row r="96" spans="1:5" x14ac:dyDescent="0.25">
      <c r="A96" s="48" t="s">
        <v>251</v>
      </c>
      <c r="B96" s="50">
        <f>(B95/3.6)*1000</f>
        <v>247.56481481481478</v>
      </c>
      <c r="C96" s="50">
        <f>(C95/3.6)*1000</f>
        <v>3.8055555555555554</v>
      </c>
      <c r="D96" s="50">
        <f t="shared" ref="D96:E96" si="1">(D95/3.6)*1000</f>
        <v>0</v>
      </c>
      <c r="E96" s="50">
        <f t="shared" si="1"/>
        <v>0</v>
      </c>
    </row>
    <row r="97" spans="1:5" x14ac:dyDescent="0.25">
      <c r="A97" s="48" t="s">
        <v>252</v>
      </c>
      <c r="B97" s="50">
        <f>B96*0.25</f>
        <v>61.891203703703695</v>
      </c>
      <c r="C97" s="50">
        <f>C96*0.25</f>
        <v>0.95138888888888884</v>
      </c>
      <c r="D97" s="50">
        <f t="shared" ref="D97:E97" si="2">D96*0.25</f>
        <v>0</v>
      </c>
      <c r="E97" s="50">
        <f t="shared" si="2"/>
        <v>0</v>
      </c>
    </row>
    <row r="98" spans="1:5" x14ac:dyDescent="0.25">
      <c r="A98" s="48" t="s">
        <v>255</v>
      </c>
      <c r="B98" s="50">
        <f>B97*$B$87</f>
        <v>17.016173745557424</v>
      </c>
      <c r="C98" s="50">
        <f>C97*$B$87</f>
        <v>0.26157188201459031</v>
      </c>
      <c r="D98" s="50">
        <f t="shared" ref="D98:E98" si="3">D97*$B$87</f>
        <v>0</v>
      </c>
      <c r="E98" s="50">
        <f t="shared" si="3"/>
        <v>0</v>
      </c>
    </row>
    <row r="99" spans="1:5" x14ac:dyDescent="0.25">
      <c r="A99" s="48" t="s">
        <v>253</v>
      </c>
      <c r="B99" s="50">
        <f>B96-B97</f>
        <v>185.67361111111109</v>
      </c>
      <c r="C99" s="50">
        <f>C96-C97</f>
        <v>2.8541666666666665</v>
      </c>
      <c r="D99" s="50">
        <f t="shared" ref="D99:E99" si="4">D96-D97</f>
        <v>0</v>
      </c>
      <c r="E99" s="50">
        <f t="shared" si="4"/>
        <v>0</v>
      </c>
    </row>
    <row r="100" spans="1:5" x14ac:dyDescent="0.25">
      <c r="A100" s="48" t="s">
        <v>254</v>
      </c>
      <c r="B100" s="50">
        <f>IF(B99&lt;=100,B99*$B$62,IF(B99&lt;=300,100*$B$62+(B99-100)*$B$63,IF(B99&lt;=400,100*$B$62+200*$B$63+(B99-300)*$B$64,IF(B99&lt;=500,100*$B$62+200*$B$63+100*$B$64+(B99-400)*$B$65,100*$B$62+200*$B$63+100*$B$64+100*$B$65+(B99-500)*$B$66))))</f>
        <v>5.9941960665044602</v>
      </c>
      <c r="C100" s="50">
        <f>IF(C99&lt;=100,C99*$B$62,IF(C99&lt;=300,100*$B$62+(C99-100)*$B$63,IF(C99&lt;=400,100*$B$62+200*$B$63+(C99-300)*$B$64,IF(C99&lt;=500,100*$B$62+200*$B$63+100*$B$64+(C99-400)*$B$65,100*$B$62+200*$B$63+100*$B$64+100*$B$65+(C99-500)*$B$66))))</f>
        <v>7.2916666666666657E-2</v>
      </c>
      <c r="D100" s="50">
        <f t="shared" ref="D100:E100" si="5">IF(D99&lt;=100,D99*$B$62,IF(D99&lt;=300,100*$B$62+(D99-100)*$B$63,IF(D99&lt;=400,100*$B$62+200*$B$63+(D99-300)*$B$64,IF(D99&lt;=500,100*$B$62+200*$B$63+100*$B$64+(D99-400)*$B$65,100*$B$62+200*$B$63+100*$B$64+100*$B$65+(D99-500)*$B$66))))</f>
        <v>0</v>
      </c>
      <c r="E100" s="50">
        <f t="shared" si="5"/>
        <v>0</v>
      </c>
    </row>
    <row r="101" spans="1:5" x14ac:dyDescent="0.25">
      <c r="A101" s="48" t="s">
        <v>258</v>
      </c>
      <c r="B101" s="50">
        <v>7.33</v>
      </c>
      <c r="C101" s="50">
        <v>7.33</v>
      </c>
      <c r="D101" s="50">
        <v>7.33</v>
      </c>
      <c r="E101" s="50">
        <v>7.33</v>
      </c>
    </row>
    <row r="102" spans="1:5" x14ac:dyDescent="0.25">
      <c r="A102" s="51" t="s">
        <v>256</v>
      </c>
      <c r="B102" s="52">
        <f>B98+B100+B101</f>
        <v>30.340369812061887</v>
      </c>
      <c r="C102" s="52">
        <f>C98+C100+C101</f>
        <v>7.6644885486812573</v>
      </c>
      <c r="D102" s="52">
        <f t="shared" ref="D102:E102" si="6">D98+D100+D101</f>
        <v>7.33</v>
      </c>
      <c r="E102" s="52">
        <f t="shared" si="6"/>
        <v>7.33</v>
      </c>
    </row>
    <row r="103" spans="1:5" x14ac:dyDescent="0.25">
      <c r="A103" t="s">
        <v>249</v>
      </c>
      <c r="B103" s="40">
        <v>0</v>
      </c>
      <c r="C103" s="40">
        <v>58.55</v>
      </c>
      <c r="D103" s="40">
        <v>654</v>
      </c>
      <c r="E103" s="40">
        <v>523.17999999999995</v>
      </c>
    </row>
    <row r="104" spans="1:5" x14ac:dyDescent="0.25">
      <c r="A104" t="s">
        <v>250</v>
      </c>
      <c r="B104" s="36">
        <f>B103/600</f>
        <v>0</v>
      </c>
      <c r="C104" s="36">
        <f>C103/600</f>
        <v>9.7583333333333327E-2</v>
      </c>
      <c r="D104" s="36">
        <f t="shared" ref="D104:E104" si="7">D103/600</f>
        <v>1.0900000000000001</v>
      </c>
      <c r="E104" s="36">
        <f t="shared" si="7"/>
        <v>0.87196666666666656</v>
      </c>
    </row>
    <row r="105" spans="1:5" x14ac:dyDescent="0.25">
      <c r="A105" t="s">
        <v>251</v>
      </c>
      <c r="B105" s="40">
        <f>(B104/3.6)*1000</f>
        <v>0</v>
      </c>
      <c r="C105" s="40">
        <f>(C104/3.6)*1000</f>
        <v>27.106481481481477</v>
      </c>
      <c r="D105" s="40">
        <f t="shared" ref="D105:E105" si="8">(D104/3.6)*1000</f>
        <v>302.77777777777783</v>
      </c>
      <c r="E105" s="40">
        <f t="shared" si="8"/>
        <v>242.21296296296293</v>
      </c>
    </row>
    <row r="106" spans="1:5" x14ac:dyDescent="0.25">
      <c r="A106" t="s">
        <v>331</v>
      </c>
      <c r="B106" s="40">
        <f>B105*$D$57</f>
        <v>0</v>
      </c>
      <c r="C106" s="40">
        <f>C105*$D$57</f>
        <v>0.94872685185185179</v>
      </c>
      <c r="D106" s="40">
        <f t="shared" ref="D106:E106" si="9">D105*$D$57</f>
        <v>10.597222222222225</v>
      </c>
      <c r="E106" s="40">
        <f t="shared" si="9"/>
        <v>8.4774537037037039</v>
      </c>
    </row>
    <row r="107" spans="1:5" x14ac:dyDescent="0.25">
      <c r="A107" t="s">
        <v>339</v>
      </c>
      <c r="B107" s="40">
        <f>(B106*1000)/$D$58</f>
        <v>0</v>
      </c>
      <c r="C107" s="40">
        <f>(C106*1000)/$D$58</f>
        <v>3.5138031550068587</v>
      </c>
      <c r="D107" s="40">
        <f t="shared" ref="D107:E107" si="10">(D106*1000)/$D$58</f>
        <v>39.248971193415649</v>
      </c>
      <c r="E107" s="40">
        <f t="shared" si="10"/>
        <v>31.39797668038409</v>
      </c>
    </row>
    <row r="108" spans="1:5" x14ac:dyDescent="0.25">
      <c r="A108" s="22" t="s">
        <v>335</v>
      </c>
      <c r="B108" s="53">
        <f>B107*$D$59</f>
        <v>0</v>
      </c>
      <c r="C108" s="53">
        <f>C107*$D$59</f>
        <v>4.3219778806584364</v>
      </c>
      <c r="D108" s="53">
        <f t="shared" ref="D108:E108" si="11">D107*$D$59</f>
        <v>48.276234567901248</v>
      </c>
      <c r="E108" s="53">
        <f t="shared" si="11"/>
        <v>38.619511316872433</v>
      </c>
    </row>
    <row r="109" spans="1:5" x14ac:dyDescent="0.25">
      <c r="B109" s="40"/>
      <c r="C109" s="40"/>
    </row>
    <row r="111" spans="1:5" x14ac:dyDescent="0.25">
      <c r="A111" s="7"/>
    </row>
    <row r="112" spans="1:5" x14ac:dyDescent="0.25">
      <c r="A112" s="32"/>
    </row>
    <row r="113" spans="1:1" x14ac:dyDescent="0.25">
      <c r="A113" s="32"/>
    </row>
  </sheetData>
  <conditionalFormatting sqref="L8 G8:J9">
    <cfRule type="cellIs" dxfId="155" priority="5" operator="lessThan">
      <formula>0</formula>
    </cfRule>
    <cfRule type="cellIs" dxfId="154" priority="6"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2"/>
  <sheetViews>
    <sheetView zoomScale="80" zoomScaleNormal="80" workbookViewId="0"/>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2" width="26.28515625" customWidth="1"/>
  </cols>
  <sheetData>
    <row r="1" spans="1:12" s="8" customFormat="1" x14ac:dyDescent="0.25">
      <c r="A1" s="8" t="s">
        <v>83</v>
      </c>
      <c r="B1" s="9" t="s">
        <v>315</v>
      </c>
    </row>
    <row r="2" spans="1:12" ht="18" x14ac:dyDescent="0.35">
      <c r="A2" t="s">
        <v>85</v>
      </c>
      <c r="B2" t="s">
        <v>86</v>
      </c>
      <c r="C2" t="s">
        <v>87</v>
      </c>
      <c r="D2" t="s">
        <v>8</v>
      </c>
      <c r="E2" t="s">
        <v>10</v>
      </c>
      <c r="F2" t="s">
        <v>11</v>
      </c>
      <c r="G2" t="s">
        <v>27</v>
      </c>
      <c r="H2" t="s">
        <v>580</v>
      </c>
      <c r="I2" t="s">
        <v>581</v>
      </c>
      <c r="J2" t="s">
        <v>582</v>
      </c>
      <c r="K2" t="s">
        <v>103</v>
      </c>
      <c r="L2" t="s">
        <v>26</v>
      </c>
    </row>
    <row r="3" spans="1:12" x14ac:dyDescent="0.25">
      <c r="A3" t="s">
        <v>308</v>
      </c>
      <c r="B3" s="2">
        <v>10</v>
      </c>
      <c r="E3" s="2" t="s">
        <v>101</v>
      </c>
      <c r="F3" s="2" t="str">
        <f>Table4691113151718[[#This Row],[IEE (GJ)]]</f>
        <v>ASSUME 0 EE</v>
      </c>
      <c r="G3" s="2">
        <v>0</v>
      </c>
      <c r="H3" s="2"/>
      <c r="I3" s="2"/>
      <c r="J3" s="2"/>
      <c r="K3" s="13">
        <f>27.58</f>
        <v>27.58</v>
      </c>
      <c r="L3">
        <f>Table4691113151718[[#This Row],[Delivered Lighting energy (GJ/50 years)]]*'General variables'!$B$9</f>
        <v>104.80399999999999</v>
      </c>
    </row>
    <row r="4" spans="1:12" x14ac:dyDescent="0.25">
      <c r="B4" s="2"/>
      <c r="E4" s="2"/>
      <c r="F4" s="2">
        <f>Table4691113151718[[#This Row],[IEE (GJ)]]</f>
        <v>0</v>
      </c>
      <c r="G4" s="2">
        <f>Table4691113151718[[#This Row],[REE (GJ/50 years)]]+Table4691113151718[[#This Row],[IEE (GJ)]]</f>
        <v>0</v>
      </c>
      <c r="H4" s="2"/>
      <c r="I4" s="2"/>
      <c r="J4" s="2"/>
    </row>
    <row r="5" spans="1:12" x14ac:dyDescent="0.25">
      <c r="A5" t="s">
        <v>102</v>
      </c>
      <c r="B5" s="2">
        <v>10</v>
      </c>
      <c r="E5" s="2" t="str">
        <f>E3</f>
        <v>ASSUME 0 EE</v>
      </c>
      <c r="F5" s="2" t="str">
        <f>Table4691113151718[[#This Row],[IEE (GJ)]]</f>
        <v>ASSUME 0 EE</v>
      </c>
      <c r="G5" s="2"/>
      <c r="H5" s="2"/>
      <c r="I5" s="2"/>
      <c r="J5" s="2"/>
      <c r="K5" s="13">
        <f>-47.29</f>
        <v>-47.29</v>
      </c>
      <c r="L5">
        <f>Table4691113151718[[#This Row],[Delivered Lighting energy (GJ/50 years)]]*'General variables'!$B$9</f>
        <v>-179.702</v>
      </c>
    </row>
    <row r="6" spans="1:12" x14ac:dyDescent="0.25">
      <c r="A6" s="3"/>
      <c r="B6" s="4"/>
      <c r="D6" s="3"/>
      <c r="E6" s="4"/>
      <c r="F6" s="2">
        <f>Table4691113151718[[#This Row],[IEE (GJ)]]</f>
        <v>0</v>
      </c>
      <c r="G6" s="4"/>
      <c r="H6" s="4"/>
      <c r="I6" s="4"/>
      <c r="J6" s="4"/>
      <c r="K6" s="3"/>
      <c r="L6" s="3"/>
    </row>
    <row r="7" spans="1:12" x14ac:dyDescent="0.25">
      <c r="A7" s="3"/>
      <c r="B7" s="4"/>
      <c r="D7" s="3"/>
      <c r="E7" s="4"/>
      <c r="F7" s="2">
        <f>Table4691113151718[[#This Row],[IEE (GJ)]]</f>
        <v>0</v>
      </c>
      <c r="G7" s="4">
        <f>Table4691113151718[[#This Row],[REE (GJ/50 years)]]+Table4691113151718[[#This Row],[IEE (GJ)]]</f>
        <v>0</v>
      </c>
      <c r="H7" s="4"/>
      <c r="I7" s="4"/>
      <c r="J7" s="4"/>
      <c r="K7" s="3"/>
      <c r="L7" s="3"/>
    </row>
    <row r="8" spans="1:12" x14ac:dyDescent="0.25">
      <c r="A8" s="3"/>
      <c r="B8" s="4"/>
      <c r="C8" s="3"/>
      <c r="D8" s="3"/>
      <c r="E8" s="4">
        <f>28.4+5.9</f>
        <v>34.299999999999997</v>
      </c>
      <c r="F8" s="4">
        <f>Table4691113151718[[#This Row],[IEE (GJ)]]</f>
        <v>34.299999999999997</v>
      </c>
      <c r="G8" s="4">
        <f>Table4691113151718[[#This Row],[REE (GJ/50 years)]]+Table4691113151718[[#This Row],[IEE (GJ)]]</f>
        <v>68.599999999999994</v>
      </c>
      <c r="H8" s="4"/>
      <c r="I8" s="4"/>
      <c r="J8" s="4"/>
      <c r="K8" s="3"/>
      <c r="L8" s="3"/>
    </row>
    <row r="9" spans="1:12" x14ac:dyDescent="0.25">
      <c r="G9" t="s">
        <v>94</v>
      </c>
      <c r="K9" s="6">
        <f>G3+G4</f>
        <v>0</v>
      </c>
      <c r="L9" s="6">
        <f>L3+L5</f>
        <v>-74.89800000000001</v>
      </c>
    </row>
    <row r="10" spans="1:12" x14ac:dyDescent="0.25">
      <c r="G10" t="s">
        <v>100</v>
      </c>
      <c r="K10" s="6">
        <f>K9+L9</f>
        <v>-74.89800000000001</v>
      </c>
    </row>
    <row r="12" spans="1:12" x14ac:dyDescent="0.25">
      <c r="B12" s="7"/>
    </row>
    <row r="13" spans="1:12" x14ac:dyDescent="0.25">
      <c r="A13" t="s">
        <v>88</v>
      </c>
      <c r="B13" s="7"/>
    </row>
    <row r="14" spans="1:12" x14ac:dyDescent="0.25">
      <c r="B14" s="7"/>
    </row>
    <row r="15" spans="1:12" x14ac:dyDescent="0.25">
      <c r="B15" s="7"/>
    </row>
    <row r="16" spans="1:12" x14ac:dyDescent="0.25">
      <c r="B16" s="7"/>
    </row>
    <row r="17" spans="1:6" x14ac:dyDescent="0.25">
      <c r="A17" t="s">
        <v>216</v>
      </c>
      <c r="B17" s="7"/>
    </row>
    <row r="18" spans="1:6" x14ac:dyDescent="0.25">
      <c r="A18" t="s">
        <v>228</v>
      </c>
      <c r="B18">
        <v>2.75</v>
      </c>
      <c r="C18" t="s">
        <v>207</v>
      </c>
    </row>
    <row r="19" spans="1:6" x14ac:dyDescent="0.25">
      <c r="A19" t="s">
        <v>229</v>
      </c>
      <c r="B19">
        <v>8.5</v>
      </c>
      <c r="C19" t="s">
        <v>207</v>
      </c>
      <c r="D19" t="s">
        <v>230</v>
      </c>
    </row>
    <row r="20" spans="1:6" x14ac:dyDescent="0.25">
      <c r="A20" s="83" t="s">
        <v>399</v>
      </c>
      <c r="B20" s="83">
        <v>4</v>
      </c>
      <c r="C20" s="83" t="s">
        <v>207</v>
      </c>
      <c r="D20" s="83"/>
      <c r="E20" s="83"/>
      <c r="F20" s="83"/>
    </row>
    <row r="21" spans="1:6" x14ac:dyDescent="0.25">
      <c r="A21" s="83" t="s">
        <v>400</v>
      </c>
      <c r="B21" s="83"/>
      <c r="C21" s="83"/>
      <c r="D21" s="83"/>
      <c r="E21" s="83"/>
      <c r="F21" s="83"/>
    </row>
    <row r="23" spans="1:6" x14ac:dyDescent="0.25">
      <c r="A23" t="s">
        <v>248</v>
      </c>
      <c r="B23" t="s">
        <v>1</v>
      </c>
      <c r="C23" t="s">
        <v>2</v>
      </c>
    </row>
    <row r="24" spans="1:6" x14ac:dyDescent="0.25">
      <c r="A24" s="48" t="s">
        <v>249</v>
      </c>
      <c r="B24" s="48">
        <v>47.29</v>
      </c>
      <c r="C24" s="48">
        <v>27.58</v>
      </c>
    </row>
    <row r="25" spans="1:6" x14ac:dyDescent="0.25">
      <c r="A25" s="48" t="s">
        <v>250</v>
      </c>
      <c r="B25" s="49">
        <f>B24/600</f>
        <v>7.881666666666666E-2</v>
      </c>
      <c r="C25" s="49">
        <f>C24/600</f>
        <v>4.5966666666666663E-2</v>
      </c>
    </row>
    <row r="26" spans="1:6" x14ac:dyDescent="0.25">
      <c r="A26" s="48" t="s">
        <v>251</v>
      </c>
      <c r="B26" s="50">
        <f>(B25/3.6)*1000</f>
        <v>21.893518518518515</v>
      </c>
      <c r="C26" s="50">
        <f>(C25/3.6)*1000</f>
        <v>12.768518518518517</v>
      </c>
    </row>
    <row r="27" spans="1:6" x14ac:dyDescent="0.25">
      <c r="A27" s="48" t="s">
        <v>252</v>
      </c>
      <c r="B27" s="50">
        <f>B26*0.25</f>
        <v>5.4733796296296289</v>
      </c>
      <c r="C27" s="50">
        <f>C26*0.25</f>
        <v>3.1921296296296293</v>
      </c>
    </row>
    <row r="28" spans="1:6" x14ac:dyDescent="0.25">
      <c r="A28" s="48" t="s">
        <v>255</v>
      </c>
      <c r="B28" s="50">
        <f>B27*SOLAR_COLL!$B$87</f>
        <v>1.5048338565048631</v>
      </c>
      <c r="C28" s="50">
        <f>C27*SOLAR_COLL!$B$87</f>
        <v>0.87763412481294412</v>
      </c>
    </row>
    <row r="29" spans="1:6" x14ac:dyDescent="0.25">
      <c r="A29" s="48" t="s">
        <v>253</v>
      </c>
      <c r="B29" s="50">
        <f>B26-B27</f>
        <v>16.420138888888886</v>
      </c>
      <c r="C29" s="50">
        <f>C26-C27</f>
        <v>9.5763888888888875</v>
      </c>
    </row>
    <row r="30" spans="1:6" x14ac:dyDescent="0.25">
      <c r="A30" s="48" t="s">
        <v>254</v>
      </c>
      <c r="B30" s="50">
        <f>IF(B29&lt;=100,B29*SOLAR_COLL!$B$62,IF(B29&lt;=300,100*SOLAR_COLL!$B$62+(B29-100)*SOLAR_COLL!$B$63,IF(B29&lt;=400,100*SOLAR_COLL!$B$62+200*SOLAR_COLL!$B$63+(B29-300)*SOLAR_COLL!$B$64,IF(B29&lt;=500,100*SOLAR_COLL!$B$62+200*SOLAR_COLL!$B$63+100*SOLAR_COLL!$B$64+(B29-400)*SOLAR_COLL!$B$65,100*SOLAR_COLL!$B$62+200*SOLAR_COLL!$B$63+100*SOLAR_COLL!$B$64+100*SOLAR_COLL!$B$65+(B29-500)*SOLAR_COLL!$B$66))))</f>
        <v>0.41949259935117589</v>
      </c>
      <c r="C30" s="50">
        <f>IF(C29&lt;=100,C29*SOLAR_COLL!$B$62,IF(C29&lt;=300,100*SOLAR_COLL!$B$62+(C29-100)*SOLAR_COLL!$B$63,IF(C29&lt;=400,100*SOLAR_COLL!$B$62+200*SOLAR_COLL!$B$63+(C29-300)*SOLAR_COLL!$B$64,IF(C29&lt;=500,100*SOLAR_COLL!$B$62+200*SOLAR_COLL!$B$63+100*SOLAR_COLL!$B$64+(C29-400)*SOLAR_COLL!$B$65,100*SOLAR_COLL!$B$62+200*SOLAR_COLL!$B$63+100*SOLAR_COLL!$B$64+100*SOLAR_COLL!$B$65+(C29-500)*SOLAR_COLL!$B$66))))</f>
        <v>0.24465227088402267</v>
      </c>
    </row>
    <row r="31" spans="1:6" x14ac:dyDescent="0.25">
      <c r="A31" s="48" t="s">
        <v>258</v>
      </c>
      <c r="B31" s="50">
        <v>7.33</v>
      </c>
      <c r="C31" s="50">
        <v>7.33</v>
      </c>
    </row>
    <row r="32" spans="1:6" x14ac:dyDescent="0.25">
      <c r="A32" s="51" t="s">
        <v>256</v>
      </c>
      <c r="B32" s="52">
        <f>B28+B30+B31</f>
        <v>9.2543264558560381</v>
      </c>
      <c r="C32" s="52">
        <f>C28+C30+C31</f>
        <v>8.4522863956969676</v>
      </c>
    </row>
  </sheetData>
  <conditionalFormatting sqref="L9 K9:K10">
    <cfRule type="cellIs" dxfId="145" priority="1" operator="lessThan">
      <formula>0</formula>
    </cfRule>
    <cfRule type="cellIs" dxfId="144" priority="2"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1"/>
  <sheetViews>
    <sheetView zoomScale="80" zoomScaleNormal="80" workbookViewId="0"/>
  </sheetViews>
  <sheetFormatPr defaultRowHeight="15" x14ac:dyDescent="0.25"/>
  <cols>
    <col min="1" max="1" width="60.140625" bestFit="1" customWidth="1"/>
    <col min="2" max="3" width="19.42578125" customWidth="1"/>
    <col min="4" max="4" width="16.7109375" bestFit="1" customWidth="1"/>
    <col min="5" max="5" width="20.28515625" customWidth="1"/>
    <col min="6" max="6" width="19.42578125" customWidth="1"/>
    <col min="7" max="7" width="20.140625" customWidth="1"/>
    <col min="8" max="8" width="29.7109375" customWidth="1"/>
    <col min="9" max="9" width="27.28515625" customWidth="1"/>
    <col min="10" max="10" width="11.5703125" customWidth="1"/>
  </cols>
  <sheetData>
    <row r="1" spans="1:9" s="8" customFormat="1" x14ac:dyDescent="0.25">
      <c r="A1" s="8" t="s">
        <v>83</v>
      </c>
      <c r="B1" s="9" t="s">
        <v>133</v>
      </c>
      <c r="C1" s="9"/>
    </row>
    <row r="2" spans="1:9" x14ac:dyDescent="0.25">
      <c r="A2" t="s">
        <v>85</v>
      </c>
      <c r="B2" t="s">
        <v>86</v>
      </c>
      <c r="C2" t="s">
        <v>87</v>
      </c>
      <c r="D2" t="s">
        <v>8</v>
      </c>
      <c r="E2" t="s">
        <v>10</v>
      </c>
      <c r="F2" t="s">
        <v>11</v>
      </c>
      <c r="G2" t="s">
        <v>27</v>
      </c>
      <c r="H2" t="s">
        <v>124</v>
      </c>
      <c r="I2" t="s">
        <v>26</v>
      </c>
    </row>
    <row r="3" spans="1:9" x14ac:dyDescent="0.25">
      <c r="A3" t="s">
        <v>113</v>
      </c>
      <c r="B3" s="2"/>
      <c r="E3" s="2"/>
      <c r="F3" s="2"/>
      <c r="G3" s="2">
        <v>0</v>
      </c>
      <c r="H3" s="13">
        <v>0</v>
      </c>
    </row>
    <row r="4" spans="1:9" x14ac:dyDescent="0.25">
      <c r="A4" t="s">
        <v>153</v>
      </c>
      <c r="B4" s="2"/>
      <c r="E4" s="2">
        <f>28.4+5.9</f>
        <v>34.299999999999997</v>
      </c>
      <c r="F4" s="2">
        <f>Table469111315171819[[#This Row],[IEE (GJ)]]</f>
        <v>34.299999999999997</v>
      </c>
      <c r="G4" s="2">
        <f>Table469111315171819[[#This Row],[REE (GJ/50 years)]]+Table469111315171819[[#This Row],[IEE (GJ)]]</f>
        <v>68.599999999999994</v>
      </c>
      <c r="H4" s="12">
        <v>-219</v>
      </c>
      <c r="I4">
        <f>Table469111315171819[[#This Row],[Delivered energy (GJ/50 years)]]*'General variables'!$B$10</f>
        <v>-240.9</v>
      </c>
    </row>
    <row r="5" spans="1:9" x14ac:dyDescent="0.25">
      <c r="A5" t="s">
        <v>154</v>
      </c>
      <c r="B5" s="2"/>
      <c r="E5" s="2">
        <f>28.4+5.9</f>
        <v>34.299999999999997</v>
      </c>
      <c r="F5" s="2">
        <f>Table469111315171819[[#This Row],[IEE (GJ)]]</f>
        <v>34.299999999999997</v>
      </c>
      <c r="G5" s="2">
        <f>Table469111315171819[[#This Row],[REE (GJ/50 years)]]+Table469111315171819[[#This Row],[IEE (GJ)]]</f>
        <v>68.599999999999994</v>
      </c>
      <c r="H5" s="13">
        <v>-302.89473684210526</v>
      </c>
      <c r="I5">
        <f>Table469111315171819[[#This Row],[Delivered energy (GJ/50 years)]]*'General variables'!$B$9</f>
        <v>-1151</v>
      </c>
    </row>
    <row r="6" spans="1:9" x14ac:dyDescent="0.25">
      <c r="A6" t="s">
        <v>123</v>
      </c>
      <c r="B6" s="2"/>
      <c r="E6" s="2">
        <f>E3</f>
        <v>0</v>
      </c>
      <c r="F6" s="2">
        <f>Table469111315171819[[#This Row],[IEE (GJ)]]</f>
        <v>0</v>
      </c>
      <c r="G6" s="2">
        <v>0</v>
      </c>
      <c r="H6" s="12">
        <v>175.18181818181816</v>
      </c>
      <c r="I6">
        <f>Table469111315171819[[#This Row],[Delivered energy (GJ/50 years)]]*'General variables'!$B$10</f>
        <v>192.7</v>
      </c>
    </row>
    <row r="7" spans="1:9" x14ac:dyDescent="0.25">
      <c r="A7" t="s">
        <v>122</v>
      </c>
      <c r="B7" s="2"/>
      <c r="E7" s="2"/>
      <c r="F7" s="2"/>
      <c r="G7" s="2"/>
      <c r="H7" s="13">
        <v>128.21052631578948</v>
      </c>
      <c r="I7">
        <f>Table469111315171819[[#This Row],[Delivered energy (GJ/50 years)]]*'General variables'!$B$9</f>
        <v>487.2</v>
      </c>
    </row>
    <row r="8" spans="1:9" x14ac:dyDescent="0.25">
      <c r="A8" s="3"/>
      <c r="B8" s="4"/>
      <c r="D8" s="3"/>
      <c r="E8" s="4"/>
      <c r="F8" s="2">
        <f>Table469111315171819[[#This Row],[IEE (GJ)]]</f>
        <v>0</v>
      </c>
      <c r="G8" s="4"/>
      <c r="H8" s="19"/>
      <c r="I8" s="3"/>
    </row>
    <row r="9" spans="1:9" x14ac:dyDescent="0.25">
      <c r="A9" s="3"/>
      <c r="B9" s="4"/>
      <c r="D9" s="3"/>
      <c r="E9" s="4"/>
      <c r="F9" s="2">
        <f>Table469111315171819[[#This Row],[IEE (GJ)]]</f>
        <v>0</v>
      </c>
      <c r="G9" s="4">
        <f>Table469111315171819[[#This Row],[REE (GJ/50 years)]]+Table469111315171819[[#This Row],[IEE (GJ)]]</f>
        <v>0</v>
      </c>
      <c r="H9" s="19"/>
      <c r="I9" s="3"/>
    </row>
    <row r="10" spans="1:9" x14ac:dyDescent="0.25">
      <c r="A10" s="3"/>
      <c r="B10" s="4"/>
      <c r="C10" s="3"/>
      <c r="D10" s="3"/>
      <c r="E10" s="4"/>
      <c r="F10" s="4"/>
      <c r="G10" s="4">
        <f>Table469111315171819[[#This Row],[REE (GJ/50 years)]]+Table469111315171819[[#This Row],[IEE (GJ)]]</f>
        <v>0</v>
      </c>
      <c r="H10" s="19"/>
      <c r="I10" s="3"/>
    </row>
    <row r="11" spans="1:9" x14ac:dyDescent="0.25">
      <c r="H11" t="s">
        <v>100</v>
      </c>
      <c r="I11" s="6">
        <f>SUM(I4:I7)</f>
        <v>-712</v>
      </c>
    </row>
    <row r="13" spans="1:9" ht="60" customHeight="1" x14ac:dyDescent="0.25">
      <c r="A13" s="14" t="s">
        <v>104</v>
      </c>
      <c r="B13" s="14" t="s">
        <v>155</v>
      </c>
      <c r="C13" s="14" t="s">
        <v>112</v>
      </c>
      <c r="D13" s="14" t="s">
        <v>105</v>
      </c>
      <c r="E13" s="14" t="s">
        <v>106</v>
      </c>
      <c r="F13" s="14" t="s">
        <v>156</v>
      </c>
      <c r="G13" s="14" t="s">
        <v>114</v>
      </c>
      <c r="H13" s="16" t="s">
        <v>116</v>
      </c>
      <c r="I13" s="16" t="s">
        <v>115</v>
      </c>
    </row>
    <row r="14" spans="1:9" x14ac:dyDescent="0.25">
      <c r="A14" s="14" t="s">
        <v>107</v>
      </c>
      <c r="B14" s="14">
        <v>300</v>
      </c>
      <c r="C14" s="14">
        <v>80</v>
      </c>
      <c r="D14" s="14">
        <v>6</v>
      </c>
      <c r="E14" s="14">
        <v>1</v>
      </c>
      <c r="F14" s="15">
        <f t="shared" ref="F14:F20" si="0">B14*D14*E14*3.6/1000*365</f>
        <v>2365.2000000000003</v>
      </c>
      <c r="G14">
        <f>151*3.6</f>
        <v>543.6</v>
      </c>
      <c r="H14" s="1" t="s">
        <v>117</v>
      </c>
      <c r="I14" s="54">
        <f>(F14-G14)/F14</f>
        <v>0.77016742770167435</v>
      </c>
    </row>
    <row r="15" spans="1:9" x14ac:dyDescent="0.25">
      <c r="A15" s="14" t="s">
        <v>108</v>
      </c>
      <c r="B15" s="14">
        <v>1800</v>
      </c>
      <c r="C15" s="14">
        <v>2300</v>
      </c>
      <c r="D15" s="14">
        <v>0.65</v>
      </c>
      <c r="E15" s="14">
        <v>1</v>
      </c>
      <c r="F15" s="15">
        <f t="shared" si="0"/>
        <v>1537.3799999999999</v>
      </c>
      <c r="G15">
        <f>189*3.6</f>
        <v>680.4</v>
      </c>
      <c r="H15" s="1" t="s">
        <v>118</v>
      </c>
      <c r="I15" s="54">
        <f t="shared" ref="I15:I20" si="1">(F15-G15)/F15</f>
        <v>0.55742887249736561</v>
      </c>
    </row>
    <row r="16" spans="1:9" x14ac:dyDescent="0.25">
      <c r="A16" s="14" t="s">
        <v>119</v>
      </c>
      <c r="B16" s="14">
        <v>200</v>
      </c>
      <c r="C16" s="14">
        <v>45</v>
      </c>
      <c r="D16" s="14">
        <v>2</v>
      </c>
      <c r="E16" s="14">
        <v>2</v>
      </c>
      <c r="F16" s="15">
        <f t="shared" si="0"/>
        <v>1051.2</v>
      </c>
      <c r="G16">
        <f>C16*D16*E16*3.6/1000*365</f>
        <v>236.52</v>
      </c>
      <c r="H16" s="1" t="s">
        <v>121</v>
      </c>
      <c r="I16" s="54">
        <f t="shared" si="1"/>
        <v>0.77500000000000002</v>
      </c>
    </row>
    <row r="17" spans="1:9" x14ac:dyDescent="0.25">
      <c r="A17" s="14" t="s">
        <v>109</v>
      </c>
      <c r="B17" s="14">
        <v>5</v>
      </c>
      <c r="C17" s="14"/>
      <c r="D17" s="14">
        <v>24</v>
      </c>
      <c r="E17" s="14">
        <v>1</v>
      </c>
      <c r="F17" s="15">
        <f t="shared" si="0"/>
        <v>157.68</v>
      </c>
      <c r="G17" s="18">
        <f>F17</f>
        <v>157.68</v>
      </c>
      <c r="H17" t="s">
        <v>157</v>
      </c>
      <c r="I17" s="54">
        <f t="shared" si="1"/>
        <v>0</v>
      </c>
    </row>
    <row r="18" spans="1:9" x14ac:dyDescent="0.25">
      <c r="A18" s="14" t="s">
        <v>110</v>
      </c>
      <c r="B18" s="14">
        <v>30</v>
      </c>
      <c r="C18" s="14"/>
      <c r="D18" s="14">
        <v>2</v>
      </c>
      <c r="E18" s="14">
        <v>2</v>
      </c>
      <c r="F18" s="15">
        <f>B18*D18*E18*3.6/1000*365</f>
        <v>157.68</v>
      </c>
      <c r="G18" s="18">
        <f>F18</f>
        <v>157.68</v>
      </c>
      <c r="H18" t="s">
        <v>157</v>
      </c>
      <c r="I18" s="54">
        <f t="shared" si="1"/>
        <v>0</v>
      </c>
    </row>
    <row r="19" spans="1:9" x14ac:dyDescent="0.25">
      <c r="A19" s="16" t="s">
        <v>23</v>
      </c>
      <c r="B19" s="16">
        <v>100</v>
      </c>
      <c r="C19" s="16"/>
      <c r="D19" s="16">
        <v>6</v>
      </c>
      <c r="E19" s="16">
        <v>1</v>
      </c>
      <c r="F19" s="17">
        <f>B19*D19*E19*3.6/1000*365</f>
        <v>788.40000000000009</v>
      </c>
      <c r="G19" s="18">
        <f>F19</f>
        <v>788.40000000000009</v>
      </c>
      <c r="H19" t="s">
        <v>157</v>
      </c>
      <c r="I19" s="54">
        <f t="shared" si="1"/>
        <v>0</v>
      </c>
    </row>
    <row r="20" spans="1:9" x14ac:dyDescent="0.25">
      <c r="A20" s="14" t="s">
        <v>111</v>
      </c>
      <c r="B20" s="14">
        <v>3000</v>
      </c>
      <c r="C20" s="14"/>
      <c r="D20" s="14">
        <v>1</v>
      </c>
      <c r="E20" s="14">
        <v>1</v>
      </c>
      <c r="F20" s="15">
        <f t="shared" si="0"/>
        <v>3942.0000000000005</v>
      </c>
      <c r="G20">
        <f>F20*0.8</f>
        <v>3153.6000000000004</v>
      </c>
      <c r="H20" t="s">
        <v>120</v>
      </c>
      <c r="I20" s="54">
        <f t="shared" si="1"/>
        <v>0.2</v>
      </c>
    </row>
    <row r="21" spans="1:9" x14ac:dyDescent="0.25">
      <c r="A21" s="16" t="s">
        <v>94</v>
      </c>
      <c r="F21" s="18"/>
      <c r="G21" s="18"/>
    </row>
    <row r="22" spans="1:9" x14ac:dyDescent="0.25">
      <c r="B22" s="7"/>
      <c r="C22" s="7"/>
    </row>
    <row r="23" spans="1:9" x14ac:dyDescent="0.25">
      <c r="A23" t="s">
        <v>88</v>
      </c>
      <c r="B23" s="7"/>
      <c r="C23" s="7"/>
    </row>
    <row r="24" spans="1:9" x14ac:dyDescent="0.25">
      <c r="B24" s="7"/>
      <c r="C24" s="7"/>
      <c r="H24" s="18">
        <f>SUM(G14:G19)</f>
        <v>2564.2800000000002</v>
      </c>
      <c r="I24" t="s">
        <v>139</v>
      </c>
    </row>
    <row r="25" spans="1:9" ht="28.5" x14ac:dyDescent="0.45">
      <c r="B25" s="55"/>
      <c r="C25" s="7"/>
    </row>
    <row r="26" spans="1:9" x14ac:dyDescent="0.25">
      <c r="A26" t="s">
        <v>259</v>
      </c>
      <c r="B26" s="7"/>
      <c r="C26" s="7"/>
    </row>
    <row r="27" spans="1:9" x14ac:dyDescent="0.25">
      <c r="A27" t="s">
        <v>260</v>
      </c>
      <c r="B27" s="7"/>
      <c r="C27" s="7"/>
    </row>
    <row r="28" spans="1:9" x14ac:dyDescent="0.25">
      <c r="A28" t="s">
        <v>262</v>
      </c>
      <c r="B28" s="37">
        <v>1239</v>
      </c>
      <c r="C28" s="37" t="s">
        <v>207</v>
      </c>
    </row>
    <row r="29" spans="1:9" x14ac:dyDescent="0.25">
      <c r="A29" t="s">
        <v>261</v>
      </c>
      <c r="B29" s="37">
        <v>1250</v>
      </c>
      <c r="C29" s="37" t="s">
        <v>207</v>
      </c>
    </row>
    <row r="30" spans="1:9" x14ac:dyDescent="0.25">
      <c r="A30" t="s">
        <v>263</v>
      </c>
      <c r="B30" s="37">
        <v>600</v>
      </c>
      <c r="C30" s="37" t="s">
        <v>207</v>
      </c>
    </row>
    <row r="32" spans="1:9" x14ac:dyDescent="0.25">
      <c r="A32" t="s">
        <v>264</v>
      </c>
    </row>
    <row r="33" spans="1:3" x14ac:dyDescent="0.25">
      <c r="A33" t="s">
        <v>265</v>
      </c>
      <c r="B33" s="37">
        <v>529</v>
      </c>
      <c r="C33" s="37" t="s">
        <v>207</v>
      </c>
    </row>
    <row r="34" spans="1:3" x14ac:dyDescent="0.25">
      <c r="A34" t="s">
        <v>266</v>
      </c>
      <c r="B34" s="37">
        <v>469</v>
      </c>
      <c r="C34" s="37" t="s">
        <v>207</v>
      </c>
    </row>
    <row r="35" spans="1:3" x14ac:dyDescent="0.25">
      <c r="A35" t="s">
        <v>267</v>
      </c>
      <c r="B35" s="37">
        <v>469</v>
      </c>
      <c r="C35" s="37" t="s">
        <v>207</v>
      </c>
    </row>
    <row r="37" spans="1:3" x14ac:dyDescent="0.25">
      <c r="A37" t="s">
        <v>268</v>
      </c>
    </row>
    <row r="38" spans="1:3" x14ac:dyDescent="0.25">
      <c r="A38" t="s">
        <v>269</v>
      </c>
      <c r="B38" s="37">
        <v>499</v>
      </c>
      <c r="C38" s="37" t="s">
        <v>207</v>
      </c>
    </row>
    <row r="39" spans="1:3" x14ac:dyDescent="0.25">
      <c r="A39" t="s">
        <v>270</v>
      </c>
      <c r="B39" s="37">
        <v>349</v>
      </c>
      <c r="C39" s="37" t="s">
        <v>207</v>
      </c>
    </row>
    <row r="41" spans="1:3" x14ac:dyDescent="0.25">
      <c r="A41" s="7"/>
    </row>
  </sheetData>
  <conditionalFormatting sqref="I11">
    <cfRule type="cellIs" dxfId="136" priority="1" operator="lessThan">
      <formula>0</formula>
    </cfRule>
    <cfRule type="cellIs" dxfId="135" priority="2" operator="greaterThan">
      <formula>0</formula>
    </cfRule>
  </conditionalFormatting>
  <hyperlinks>
    <hyperlink ref="H14" r:id="rId1" xr:uid="{00000000-0004-0000-0900-000001000000}"/>
    <hyperlink ref="H15" r:id="rId2" display="Based on Bosch" xr:uid="{00000000-0004-0000-0900-000002000000}"/>
    <hyperlink ref="H16" r:id="rId3" xr:uid="{00000000-0004-0000-0900-000003000000}"/>
  </hyperlinks>
  <pageMargins left="0.7" right="0.7" top="0.75" bottom="0.75" header="0.3" footer="0.3"/>
  <pageSetup paperSize="9" orientation="portrait" r:id="rId4"/>
  <legacyDrawing r:id="rId5"/>
  <tableParts count="1">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4"/>
  <sheetViews>
    <sheetView zoomScale="80" zoomScaleNormal="80" workbookViewId="0"/>
  </sheetViews>
  <sheetFormatPr defaultRowHeight="15" x14ac:dyDescent="0.25"/>
  <cols>
    <col min="1" max="1" width="87" bestFit="1"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39.5703125" bestFit="1" customWidth="1"/>
    <col min="9" max="9" width="26.28515625" customWidth="1"/>
    <col min="10" max="10" width="11.5703125" customWidth="1"/>
  </cols>
  <sheetData>
    <row r="1" spans="1:9" s="8" customFormat="1" x14ac:dyDescent="0.25">
      <c r="A1" s="8" t="s">
        <v>83</v>
      </c>
      <c r="B1" s="9" t="s">
        <v>313</v>
      </c>
    </row>
    <row r="2" spans="1:9" x14ac:dyDescent="0.25">
      <c r="A2" t="s">
        <v>85</v>
      </c>
      <c r="B2" t="s">
        <v>86</v>
      </c>
      <c r="C2" t="s">
        <v>87</v>
      </c>
      <c r="D2" t="s">
        <v>8</v>
      </c>
      <c r="E2" t="s">
        <v>10</v>
      </c>
      <c r="F2" t="s">
        <v>11</v>
      </c>
      <c r="G2" t="s">
        <v>27</v>
      </c>
      <c r="H2" t="s">
        <v>125</v>
      </c>
      <c r="I2" t="s">
        <v>26</v>
      </c>
    </row>
    <row r="3" spans="1:9" x14ac:dyDescent="0.25">
      <c r="A3" t="s">
        <v>158</v>
      </c>
      <c r="B3" s="2">
        <v>1</v>
      </c>
      <c r="D3" t="s">
        <v>97</v>
      </c>
      <c r="E3" s="2" t="s">
        <v>101</v>
      </c>
      <c r="F3" s="2" t="str">
        <f>Table469111315171820[[#This Row],[IEE (GJ)]]</f>
        <v>ASSUME 0 EE</v>
      </c>
      <c r="G3" s="2">
        <v>0</v>
      </c>
      <c r="H3" s="13">
        <v>-297.10526315789474</v>
      </c>
      <c r="I3">
        <f>Table469111315171820[[#This Row],[Delivered cooling energy (GJ/50 years)]]*'General variables'!$B$9</f>
        <v>-1129</v>
      </c>
    </row>
    <row r="4" spans="1:9" x14ac:dyDescent="0.25">
      <c r="A4" t="s">
        <v>310</v>
      </c>
      <c r="B4" s="2">
        <v>1</v>
      </c>
      <c r="D4" t="s">
        <v>97</v>
      </c>
      <c r="E4" s="2"/>
      <c r="F4" s="2">
        <f>Table469111315171820[[#This Row],[IEE (GJ)]]</f>
        <v>0</v>
      </c>
      <c r="G4" s="2">
        <f>Table469111315171820[[#This Row],[REE (GJ/50 years)]]+Table469111315171820[[#This Row],[IEE (GJ)]]</f>
        <v>0</v>
      </c>
      <c r="H4" s="13">
        <v>124.78947368421053</v>
      </c>
      <c r="I4">
        <f>Table469111315171820[[#This Row],[Delivered cooling energy (GJ/50 years)]]*'General variables'!$B$9</f>
        <v>474.2</v>
      </c>
    </row>
    <row r="5" spans="1:9" x14ac:dyDescent="0.25">
      <c r="B5" s="2"/>
      <c r="E5" s="2"/>
      <c r="F5" s="2"/>
      <c r="G5" s="2"/>
    </row>
    <row r="6" spans="1:9" x14ac:dyDescent="0.25">
      <c r="A6" s="3"/>
      <c r="B6" s="4"/>
      <c r="D6" s="3"/>
      <c r="E6" s="4"/>
      <c r="F6" s="2"/>
      <c r="G6" s="4"/>
      <c r="H6" s="3"/>
      <c r="I6" s="3"/>
    </row>
    <row r="7" spans="1:9" x14ac:dyDescent="0.25">
      <c r="A7" s="3"/>
      <c r="B7" s="4"/>
      <c r="D7" s="3"/>
      <c r="E7" s="4"/>
      <c r="F7" s="2">
        <f>Table469111315171820[[#This Row],[IEE (GJ)]]</f>
        <v>0</v>
      </c>
      <c r="G7" s="4">
        <f>Table469111315171820[[#This Row],[REE (GJ/50 years)]]+Table469111315171820[[#This Row],[IEE (GJ)]]</f>
        <v>0</v>
      </c>
      <c r="H7" s="3"/>
      <c r="I7" s="3"/>
    </row>
    <row r="8" spans="1:9" x14ac:dyDescent="0.25">
      <c r="A8" s="3"/>
      <c r="B8" s="4"/>
      <c r="C8" s="3"/>
      <c r="D8" s="3"/>
      <c r="E8" s="4"/>
      <c r="F8" s="4"/>
      <c r="G8" s="4"/>
      <c r="H8" s="3"/>
      <c r="I8" s="3"/>
    </row>
    <row r="9" spans="1:9" x14ac:dyDescent="0.25">
      <c r="G9" t="s">
        <v>94</v>
      </c>
      <c r="H9" s="6"/>
      <c r="I9" s="6">
        <f>I3+I4</f>
        <v>-654.79999999999995</v>
      </c>
    </row>
    <row r="10" spans="1:9" x14ac:dyDescent="0.25">
      <c r="H10" s="6"/>
    </row>
    <row r="11" spans="1:9" x14ac:dyDescent="0.25">
      <c r="A11" s="1" t="s">
        <v>126</v>
      </c>
      <c r="B11" s="7"/>
    </row>
    <row r="12" spans="1:9" x14ac:dyDescent="0.25">
      <c r="A12" s="1" t="s">
        <v>309</v>
      </c>
      <c r="B12" s="7"/>
    </row>
    <row r="13" spans="1:9" x14ac:dyDescent="0.25">
      <c r="A13" t="s">
        <v>88</v>
      </c>
      <c r="B13" s="7"/>
    </row>
    <row r="14" spans="1:9" x14ac:dyDescent="0.25">
      <c r="B14" s="33"/>
    </row>
    <row r="15" spans="1:9" x14ac:dyDescent="0.25">
      <c r="B15" s="7"/>
    </row>
    <row r="16" spans="1:9" x14ac:dyDescent="0.25">
      <c r="A16" t="s">
        <v>277</v>
      </c>
      <c r="B16" s="7"/>
    </row>
    <row r="17" spans="1:8" x14ac:dyDescent="0.25">
      <c r="A17" t="s">
        <v>271</v>
      </c>
      <c r="B17" s="37">
        <v>300</v>
      </c>
      <c r="C17" t="s">
        <v>207</v>
      </c>
      <c r="D17" t="s">
        <v>272</v>
      </c>
    </row>
    <row r="18" spans="1:8" x14ac:dyDescent="0.25">
      <c r="A18" t="s">
        <v>273</v>
      </c>
      <c r="B18" s="37"/>
      <c r="H18" s="20"/>
    </row>
    <row r="19" spans="1:8" x14ac:dyDescent="0.25">
      <c r="A19" t="s">
        <v>274</v>
      </c>
      <c r="B19" s="37"/>
    </row>
    <row r="20" spans="1:8" x14ac:dyDescent="0.25">
      <c r="B20" s="37"/>
    </row>
    <row r="21" spans="1:8" x14ac:dyDescent="0.25">
      <c r="A21" t="s">
        <v>275</v>
      </c>
      <c r="B21" s="37">
        <v>375</v>
      </c>
      <c r="C21" t="s">
        <v>207</v>
      </c>
      <c r="D21" t="s">
        <v>272</v>
      </c>
    </row>
    <row r="22" spans="1:8" x14ac:dyDescent="0.25">
      <c r="A22" t="s">
        <v>273</v>
      </c>
      <c r="B22" s="38"/>
    </row>
    <row r="23" spans="1:8" x14ac:dyDescent="0.25">
      <c r="A23" t="s">
        <v>276</v>
      </c>
      <c r="B23" s="38"/>
    </row>
    <row r="24" spans="1:8" x14ac:dyDescent="0.25">
      <c r="B24" s="38"/>
    </row>
    <row r="25" spans="1:8" x14ac:dyDescent="0.25">
      <c r="A25" t="s">
        <v>278</v>
      </c>
      <c r="B25" s="38"/>
    </row>
    <row r="26" spans="1:8" x14ac:dyDescent="0.25">
      <c r="A26" t="s">
        <v>279</v>
      </c>
      <c r="B26" s="38">
        <v>379</v>
      </c>
      <c r="C26" t="s">
        <v>207</v>
      </c>
      <c r="D26" t="s">
        <v>272</v>
      </c>
    </row>
    <row r="27" spans="1:8" x14ac:dyDescent="0.25">
      <c r="A27" t="s">
        <v>283</v>
      </c>
      <c r="B27" s="38"/>
    </row>
    <row r="28" spans="1:8" x14ac:dyDescent="0.25">
      <c r="A28" t="s">
        <v>311</v>
      </c>
      <c r="B28" s="38"/>
    </row>
    <row r="29" spans="1:8" x14ac:dyDescent="0.25">
      <c r="B29" s="38"/>
    </row>
    <row r="30" spans="1:8" x14ac:dyDescent="0.25">
      <c r="A30" t="s">
        <v>280</v>
      </c>
      <c r="B30" s="38">
        <v>464</v>
      </c>
      <c r="C30" t="s">
        <v>207</v>
      </c>
      <c r="D30" t="s">
        <v>272</v>
      </c>
    </row>
    <row r="31" spans="1:8" x14ac:dyDescent="0.25">
      <c r="A31" t="s">
        <v>281</v>
      </c>
      <c r="B31" s="38"/>
    </row>
    <row r="32" spans="1:8" x14ac:dyDescent="0.25">
      <c r="A32" t="s">
        <v>282</v>
      </c>
    </row>
    <row r="34" spans="1:1" x14ac:dyDescent="0.25">
      <c r="A34" t="s">
        <v>284</v>
      </c>
    </row>
  </sheetData>
  <conditionalFormatting sqref="I9 H9:H10">
    <cfRule type="cellIs" dxfId="129" priority="1" operator="lessThan">
      <formula>0</formula>
    </cfRule>
    <cfRule type="cellIs" dxfId="128" priority="2" operator="greaterThan">
      <formula>0</formula>
    </cfRule>
  </conditionalFormatting>
  <hyperlinks>
    <hyperlink ref="A11" r:id="rId1" display="EER (COP) based on Topten.eu" xr:uid="{00000000-0004-0000-0A00-000001000000}"/>
    <hyperlink ref="A12" r:id="rId2" xr:uid="{00000000-0004-0000-0A00-000002000000}"/>
  </hyperlinks>
  <pageMargins left="0.7" right="0.7" top="0.75" bottom="0.75" header="0.3" footer="0.3"/>
  <pageSetup paperSize="9" orientation="portrait"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8"/>
  <sheetViews>
    <sheetView zoomScale="80" zoomScaleNormal="80" workbookViewId="0">
      <selection activeCell="K7" sqref="K7"/>
    </sheetView>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39.5703125" bestFit="1" customWidth="1"/>
    <col min="12" max="12" width="26.28515625" customWidth="1"/>
  </cols>
  <sheetData>
    <row r="1" spans="1:12" s="8" customFormat="1" x14ac:dyDescent="0.25">
      <c r="A1" s="8" t="s">
        <v>83</v>
      </c>
      <c r="B1" s="9" t="s">
        <v>127</v>
      </c>
    </row>
    <row r="2" spans="1:12" ht="18" x14ac:dyDescent="0.35">
      <c r="A2" t="s">
        <v>85</v>
      </c>
      <c r="B2" t="s">
        <v>86</v>
      </c>
      <c r="C2" t="s">
        <v>87</v>
      </c>
      <c r="D2" t="s">
        <v>8</v>
      </c>
      <c r="E2" t="s">
        <v>10</v>
      </c>
      <c r="F2" t="s">
        <v>11</v>
      </c>
      <c r="G2" t="s">
        <v>27</v>
      </c>
      <c r="H2" t="s">
        <v>580</v>
      </c>
      <c r="I2" t="s">
        <v>581</v>
      </c>
      <c r="J2" t="s">
        <v>582</v>
      </c>
      <c r="K2" t="s">
        <v>124</v>
      </c>
      <c r="L2" t="s">
        <v>26</v>
      </c>
    </row>
    <row r="3" spans="1:12" x14ac:dyDescent="0.25">
      <c r="A3" s="83" t="s">
        <v>597</v>
      </c>
      <c r="B3" s="2">
        <v>15</v>
      </c>
      <c r="D3" t="s">
        <v>18</v>
      </c>
      <c r="E3" s="2">
        <f>Table46911131517182021[[#This Row],[Specified qtty]]*3.7168</f>
        <v>55.752000000000002</v>
      </c>
      <c r="F3" s="2">
        <v>0</v>
      </c>
      <c r="G3" s="2">
        <f>Table46911131517182021[[#This Row],[IEE (GJ)]]+Table46911131517182021[[#This Row],[REE (GJ/50 years)]]</f>
        <v>55.752000000000002</v>
      </c>
      <c r="H3" s="2">
        <f>191.802263*Table46911131517182021[[#This Row],[Specified qtty]]</f>
        <v>2877.0339450000001</v>
      </c>
      <c r="I3" s="2">
        <v>0</v>
      </c>
      <c r="J3" s="2">
        <f>Table46911131517182021[[#This Row],[REGHG (kgCO2e)]]+Table46911131517182021[[#This Row],[IEGHG (kgCO2e)]]</f>
        <v>2877.0339450000001</v>
      </c>
      <c r="K3" s="13"/>
    </row>
    <row r="4" spans="1:12" x14ac:dyDescent="0.25">
      <c r="A4" t="s">
        <v>147</v>
      </c>
      <c r="B4" s="2"/>
      <c r="E4" s="2"/>
      <c r="F4" s="2">
        <f>Table46911131517182021[[#This Row],[IEE (GJ)]]</f>
        <v>0</v>
      </c>
      <c r="G4" s="2">
        <f>Table46911131517182021[[#This Row],[REE (GJ/50 years)]]+Table46911131517182021[[#This Row],[IEE (GJ)]]</f>
        <v>0</v>
      </c>
      <c r="H4" s="2"/>
      <c r="I4" s="2"/>
      <c r="J4" s="2"/>
      <c r="K4" s="12">
        <v>-653.99999999999989</v>
      </c>
      <c r="L4">
        <f>Table46911131517182021[[#This Row],[Delivered energy (GJ/50 years)]]*'General variables'!$B$10</f>
        <v>-719.4</v>
      </c>
    </row>
    <row r="5" spans="1:12" x14ac:dyDescent="0.25">
      <c r="A5" t="s">
        <v>148</v>
      </c>
      <c r="B5" s="2"/>
      <c r="E5" s="2"/>
      <c r="F5" s="2"/>
      <c r="G5" s="2"/>
      <c r="H5" s="2"/>
      <c r="I5" s="2"/>
      <c r="J5" s="2"/>
      <c r="K5" s="13">
        <v>-297.10526315789474</v>
      </c>
      <c r="L5">
        <f>Table46911131517182021[[#This Row],[Delivered energy (GJ/50 years)]]*'General variables'!$B$9</f>
        <v>-1129</v>
      </c>
    </row>
    <row r="6" spans="1:12" x14ac:dyDescent="0.25">
      <c r="A6" s="3" t="s">
        <v>129</v>
      </c>
      <c r="B6" s="4"/>
      <c r="D6" s="3"/>
      <c r="E6" s="4"/>
      <c r="F6" s="2"/>
      <c r="G6" s="4"/>
      <c r="H6" s="4"/>
      <c r="I6" s="4"/>
      <c r="J6" s="4"/>
      <c r="K6" s="12">
        <v>351.19799999999987</v>
      </c>
      <c r="L6" s="3">
        <f>Table46911131517182021[[#This Row],[Delivered energy (GJ/50 years)]]*'General variables'!$B$10</f>
        <v>386.31779999999986</v>
      </c>
    </row>
    <row r="7" spans="1:12" x14ac:dyDescent="0.25">
      <c r="A7" s="3" t="s">
        <v>130</v>
      </c>
      <c r="B7" s="4"/>
      <c r="D7" s="3"/>
      <c r="E7" s="4"/>
      <c r="F7" s="2"/>
      <c r="G7" s="4"/>
      <c r="H7" s="4"/>
      <c r="I7" s="4"/>
      <c r="J7" s="4"/>
      <c r="K7" s="13">
        <v>159.24842105263158</v>
      </c>
      <c r="L7" s="3">
        <f>Table46911131517182021[[#This Row],[Delivered energy (GJ/50 years)]]*'General variables'!$B$9</f>
        <v>605.14400000000001</v>
      </c>
    </row>
    <row r="8" spans="1:12" x14ac:dyDescent="0.25">
      <c r="A8" s="3"/>
      <c r="B8" s="4"/>
      <c r="C8" s="3"/>
      <c r="D8" s="3"/>
      <c r="E8" s="4">
        <f>Table46911131517182021[[#This Row],[Specified qtty]]*3.7168</f>
        <v>0</v>
      </c>
      <c r="F8" s="4"/>
      <c r="G8" s="4"/>
      <c r="H8" s="4"/>
      <c r="I8" s="4"/>
      <c r="J8" s="4"/>
      <c r="K8" s="19"/>
      <c r="L8" s="3"/>
    </row>
    <row r="9" spans="1:12" x14ac:dyDescent="0.25">
      <c r="F9" t="s">
        <v>94</v>
      </c>
      <c r="G9" s="6">
        <f>SUM(Table46911131517182021[LCEE (GJ/50 years)])</f>
        <v>55.752000000000002</v>
      </c>
      <c r="H9" s="6"/>
      <c r="I9" s="6"/>
      <c r="J9" s="6"/>
      <c r="K9" s="6"/>
      <c r="L9" s="6">
        <f>SUM(Table46911131517182021[Primary OPE (GJ/50 years)])</f>
        <v>-856.93820000000028</v>
      </c>
    </row>
    <row r="10" spans="1:12" x14ac:dyDescent="0.25">
      <c r="F10" t="s">
        <v>100</v>
      </c>
      <c r="G10" s="6">
        <f>G9+L9</f>
        <v>-801.18620000000033</v>
      </c>
      <c r="H10" s="6"/>
      <c r="I10" s="6"/>
      <c r="J10" s="6"/>
      <c r="K10" s="6"/>
    </row>
    <row r="11" spans="1:12" x14ac:dyDescent="0.25">
      <c r="A11" s="1"/>
      <c r="B11" s="7" t="s">
        <v>958</v>
      </c>
    </row>
    <row r="12" spans="1:12" x14ac:dyDescent="0.25">
      <c r="A12" t="s">
        <v>88</v>
      </c>
      <c r="B12" s="7"/>
    </row>
    <row r="13" spans="1:12" x14ac:dyDescent="0.25">
      <c r="B13" s="7"/>
    </row>
    <row r="14" spans="1:12" x14ac:dyDescent="0.25">
      <c r="B14" s="7"/>
    </row>
    <row r="15" spans="1:12" x14ac:dyDescent="0.25">
      <c r="A15" t="s">
        <v>232</v>
      </c>
      <c r="B15" s="7"/>
    </row>
    <row r="16" spans="1:12" x14ac:dyDescent="0.25">
      <c r="A16" s="83" t="s">
        <v>398</v>
      </c>
      <c r="B16" s="159">
        <v>730</v>
      </c>
      <c r="C16" s="83" t="s">
        <v>231</v>
      </c>
    </row>
    <row r="17" spans="1:11" x14ac:dyDescent="0.25">
      <c r="A17" t="s">
        <v>233</v>
      </c>
      <c r="B17" s="37">
        <v>66</v>
      </c>
      <c r="C17" t="s">
        <v>231</v>
      </c>
      <c r="K17" s="20"/>
    </row>
    <row r="18" spans="1:11" x14ac:dyDescent="0.25">
      <c r="A18" t="s">
        <v>234</v>
      </c>
      <c r="B18" s="37">
        <v>35</v>
      </c>
      <c r="C18" t="s">
        <v>231</v>
      </c>
      <c r="D18" t="s">
        <v>235</v>
      </c>
    </row>
    <row r="19" spans="1:11" x14ac:dyDescent="0.25">
      <c r="B19" s="37"/>
      <c r="D19" t="s">
        <v>236</v>
      </c>
    </row>
    <row r="20" spans="1:11" x14ac:dyDescent="0.25">
      <c r="B20" s="37" t="s">
        <v>870</v>
      </c>
    </row>
    <row r="21" spans="1:11" x14ac:dyDescent="0.25">
      <c r="B21" s="38"/>
    </row>
    <row r="22" spans="1:11" x14ac:dyDescent="0.25">
      <c r="B22" s="38"/>
    </row>
    <row r="23" spans="1:11" x14ac:dyDescent="0.25">
      <c r="B23" s="38"/>
    </row>
    <row r="24" spans="1:11" x14ac:dyDescent="0.25">
      <c r="B24" s="38"/>
    </row>
    <row r="25" spans="1:11" x14ac:dyDescent="0.25">
      <c r="B25" s="38"/>
    </row>
    <row r="26" spans="1:11" x14ac:dyDescent="0.25">
      <c r="B26" s="38"/>
    </row>
    <row r="27" spans="1:11" x14ac:dyDescent="0.25">
      <c r="B27" s="38"/>
    </row>
    <row r="28" spans="1:11" x14ac:dyDescent="0.25">
      <c r="B28" s="38"/>
    </row>
  </sheetData>
  <conditionalFormatting sqref="L9 K9:K10">
    <cfRule type="cellIs" dxfId="123" priority="5" operator="lessThan">
      <formula>0</formula>
    </cfRule>
    <cfRule type="cellIs" dxfId="122" priority="6" operator="greaterThan">
      <formula>0</formula>
    </cfRule>
  </conditionalFormatting>
  <conditionalFormatting sqref="G9:J9">
    <cfRule type="cellIs" dxfId="121" priority="3" operator="lessThan">
      <formula>0</formula>
    </cfRule>
    <cfRule type="cellIs" dxfId="120" priority="4" operator="greaterThan">
      <formula>0</formula>
    </cfRule>
  </conditionalFormatting>
  <conditionalFormatting sqref="G10:J10">
    <cfRule type="cellIs" dxfId="119" priority="1" operator="lessThan">
      <formula>0</formula>
    </cfRule>
    <cfRule type="cellIs" dxfId="118" priority="2" operator="greaterThan">
      <formula>0</formula>
    </cfRule>
  </conditionalFormatting>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40"/>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4" customWidth="1"/>
    <col min="5" max="5" width="19.42578125" customWidth="1"/>
    <col min="6" max="6" width="20.140625" customWidth="1"/>
    <col min="7" max="10" width="29.7109375" customWidth="1"/>
    <col min="11" max="11" width="27.28515625" customWidth="1"/>
    <col min="12" max="13" width="26.140625" customWidth="1"/>
    <col min="14" max="14" width="34.140625" bestFit="1" customWidth="1"/>
    <col min="15" max="15" width="11.5703125" customWidth="1"/>
  </cols>
  <sheetData>
    <row r="1" spans="1:13" s="8" customFormat="1" x14ac:dyDescent="0.25">
      <c r="A1" s="8" t="s">
        <v>83</v>
      </c>
      <c r="B1" s="9" t="s">
        <v>860</v>
      </c>
    </row>
    <row r="2" spans="1:13" ht="18" x14ac:dyDescent="0.35">
      <c r="A2" t="s">
        <v>85</v>
      </c>
      <c r="B2" t="s">
        <v>86</v>
      </c>
      <c r="C2" t="s">
        <v>87</v>
      </c>
      <c r="D2" t="s">
        <v>8</v>
      </c>
      <c r="E2" t="s">
        <v>10</v>
      </c>
      <c r="F2" t="s">
        <v>11</v>
      </c>
      <c r="G2" t="s">
        <v>27</v>
      </c>
      <c r="H2" t="s">
        <v>580</v>
      </c>
      <c r="I2" t="s">
        <v>581</v>
      </c>
      <c r="J2" t="s">
        <v>582</v>
      </c>
      <c r="K2" t="s">
        <v>141</v>
      </c>
      <c r="L2" t="s">
        <v>26</v>
      </c>
      <c r="M2" t="s">
        <v>586</v>
      </c>
    </row>
    <row r="3" spans="1:13" x14ac:dyDescent="0.25">
      <c r="A3" t="s">
        <v>167</v>
      </c>
      <c r="B3" s="2">
        <f>E58</f>
        <v>6.5881249999999998</v>
      </c>
      <c r="C3">
        <f>Table4691113151716[[#This Row],[Specified qtty]]</f>
        <v>6.5881249999999998</v>
      </c>
      <c r="D3" t="s">
        <v>183</v>
      </c>
      <c r="E3" s="2">
        <f>111.445/3*Table4691113151716[[#This Row],[Delivered qtty]]</f>
        <v>244.73786354166666</v>
      </c>
      <c r="F3" s="2">
        <f>Table4691113151716[[#This Row],[IEE (GJ)]]</f>
        <v>244.73786354166666</v>
      </c>
      <c r="G3" s="2">
        <f>Table4691113151716[[#This Row],[REE (GJ/50 years)]]+Table4691113151716[[#This Row],[IEE (GJ)]]</f>
        <v>489.47572708333331</v>
      </c>
      <c r="H3" s="2">
        <f>8660.9748359499/3*Table4691113151716[[#This Row],[Delivered qtty]]</f>
        <v>19019.861613697478</v>
      </c>
      <c r="I3" s="2">
        <f>Table4691113151716[[#This Row],[IEGHG (kgCO2e)]]</f>
        <v>19019.861613697478</v>
      </c>
      <c r="J3" s="2">
        <f t="shared" ref="J3:J8" si="0">I3+H3</f>
        <v>38039.723227394956</v>
      </c>
      <c r="K3" s="13"/>
      <c r="L3" s="2">
        <f>Table4691113151716[[#This Row],[Delivered  energy (GJ/50 years)]]*'General variables'!$B$9</f>
        <v>0</v>
      </c>
      <c r="M3" s="2">
        <f>Table4691113151716[[#This Row],[Primary OPE (GJ/50 years)]]*'General variables'!$B$13</f>
        <v>0</v>
      </c>
    </row>
    <row r="4" spans="1:13" x14ac:dyDescent="0.25">
      <c r="A4" t="s">
        <v>202</v>
      </c>
      <c r="B4" s="2">
        <v>1</v>
      </c>
      <c r="C4">
        <v>1</v>
      </c>
      <c r="E4" s="5"/>
      <c r="F4" s="5"/>
      <c r="G4" s="5"/>
      <c r="H4" s="5"/>
      <c r="I4" s="5">
        <f>Table4691113151716[[#This Row],[IEGHG (kgCO2e)]]</f>
        <v>0</v>
      </c>
      <c r="J4" s="5">
        <f t="shared" si="0"/>
        <v>0</v>
      </c>
      <c r="K4" s="34"/>
      <c r="L4" s="5">
        <f>Table4691113151716[[#This Row],[Delivered  energy (GJ/50 years)]]*'General variables'!$B$9</f>
        <v>0</v>
      </c>
      <c r="M4" s="5">
        <f>Table4691113151716[[#This Row],[Primary OPE (GJ/50 years)]]*'General variables'!$B$13</f>
        <v>0</v>
      </c>
    </row>
    <row r="5" spans="1:13" x14ac:dyDescent="0.25">
      <c r="A5" t="s">
        <v>171</v>
      </c>
      <c r="B5" s="2">
        <v>1</v>
      </c>
      <c r="C5">
        <v>1</v>
      </c>
      <c r="D5" t="s">
        <v>97</v>
      </c>
      <c r="E5" s="2">
        <v>6.15</v>
      </c>
      <c r="F5" s="2">
        <f>Table4691113151716[[#This Row],[IEE (GJ)]]*4</f>
        <v>24.6</v>
      </c>
      <c r="G5" s="2">
        <f>Table4691113151716[[#This Row],[REE (GJ/50 years)]]+Table4691113151716[[#This Row],[IEE (GJ)]]</f>
        <v>30.75</v>
      </c>
      <c r="H5" s="2">
        <f>0.469641556*1.5*B37*B3*1000</f>
        <v>696.1628871275625</v>
      </c>
      <c r="I5" s="2">
        <f>Table4691113151716[[#This Row],[IEGHG (kgCO2e)]]*4</f>
        <v>2784.65154851025</v>
      </c>
      <c r="J5" s="2">
        <f t="shared" si="0"/>
        <v>3480.8144356378125</v>
      </c>
      <c r="K5" s="12"/>
      <c r="L5" s="2">
        <f>Table4691113151716[[#This Row],[Delivered  energy (GJ/50 years)]]*'General variables'!$B$9</f>
        <v>0</v>
      </c>
      <c r="M5" s="2">
        <f>Table4691113151716[[#This Row],[Primary OPE (GJ/50 years)]]*'General variables'!$B$13</f>
        <v>0</v>
      </c>
    </row>
    <row r="6" spans="1:13" x14ac:dyDescent="0.25">
      <c r="A6" s="1" t="s">
        <v>172</v>
      </c>
      <c r="B6" s="5">
        <v>24</v>
      </c>
      <c r="C6">
        <v>24</v>
      </c>
      <c r="D6" t="s">
        <v>97</v>
      </c>
      <c r="E6" s="2">
        <f>1.57*Table4691113151716[[#This Row],[Delivered qtty]]</f>
        <v>37.68</v>
      </c>
      <c r="F6" s="2">
        <f>Table4691113151716[[#This Row],[IEE (GJ)]]*4</f>
        <v>150.72</v>
      </c>
      <c r="G6" s="2">
        <f>Table4691113151716[[#This Row],[REE (GJ/50 years)]]+Table4691113151716[[#This Row],[IEE (GJ)]]</f>
        <v>188.4</v>
      </c>
      <c r="H6" s="2">
        <f>0.469641556*1.5*$B$23</f>
        <v>4057.7030438400002</v>
      </c>
      <c r="I6" s="2">
        <f>Table4691113151716[[#This Row],[IEGHG (kgCO2e)]]*4</f>
        <v>16230.812175360001</v>
      </c>
      <c r="J6" s="2">
        <f t="shared" si="0"/>
        <v>20288.515219200002</v>
      </c>
      <c r="K6" s="12"/>
      <c r="L6" s="2">
        <f>Table4691113151716[[#This Row],[Delivered  energy (GJ/50 years)]]*'General variables'!$B$9</f>
        <v>0</v>
      </c>
      <c r="M6" s="2">
        <f>Table4691113151716[[#This Row],[Primary OPE (GJ/50 years)]]*'General variables'!$B$13</f>
        <v>0</v>
      </c>
    </row>
    <row r="7" spans="1:13" x14ac:dyDescent="0.25">
      <c r="A7" t="s">
        <v>170</v>
      </c>
      <c r="B7" s="2"/>
      <c r="E7" s="2"/>
      <c r="F7" s="2"/>
      <c r="G7" s="2"/>
      <c r="H7" s="2">
        <f>0.469641556*Table4691113151716[[#This Row],[Delivered qtty]]*B26*1.5*1000</f>
        <v>0</v>
      </c>
      <c r="I7" s="2">
        <f>Table4691113151716[[#This Row],[IEGHG (kgCO2e)]]</f>
        <v>0</v>
      </c>
      <c r="J7" s="2">
        <f t="shared" si="0"/>
        <v>0</v>
      </c>
      <c r="K7" s="13">
        <f>ALL_OPE!H25+ALL_OPE!H26+ALL_OPE!H27+ALL_OPE!H29</f>
        <v>-1182.0263157894738</v>
      </c>
      <c r="L7" s="2">
        <f>Table4691113151716[[#This Row],[Delivered  energy (GJ/50 years)]]*'General variables'!$B$9</f>
        <v>-4491.7</v>
      </c>
      <c r="M7" s="2">
        <f>Table4691113151716[[#This Row],[Primary OPE (GJ/50 years)]]*'General variables'!$B$13</f>
        <v>-324401.80325</v>
      </c>
    </row>
    <row r="8" spans="1:13" x14ac:dyDescent="0.25">
      <c r="A8" t="s">
        <v>596</v>
      </c>
      <c r="B8" s="2"/>
      <c r="E8" s="2"/>
      <c r="F8" s="2"/>
      <c r="G8" s="2"/>
      <c r="H8" s="2">
        <f>0.469641556*Table4691113151716[[#This Row],[Delivered qtty]]*B27*1.5*1000</f>
        <v>0</v>
      </c>
      <c r="I8" s="2">
        <f>Table4691113151716[[#This Row],[IEGHG (kgCO2e)]]</f>
        <v>0</v>
      </c>
      <c r="J8" s="2">
        <f t="shared" si="0"/>
        <v>0</v>
      </c>
      <c r="K8" s="13">
        <f>-(B95-B98)*3.6/1000*50</f>
        <v>-168.01931421052629</v>
      </c>
      <c r="L8" s="2">
        <f>Table4691113151716[[#This Row],[Delivered  energy (GJ/50 years)]]*'General variables'!$B$9</f>
        <v>-638.47339399999987</v>
      </c>
      <c r="M8" s="2">
        <f>Table4691113151716[[#This Row],[Primary OPE (GJ/50 years)]]*'General variables'!$B$13</f>
        <v>-46112.144698164986</v>
      </c>
    </row>
    <row r="9" spans="1:13" x14ac:dyDescent="0.25">
      <c r="F9" t="s">
        <v>94</v>
      </c>
      <c r="G9" s="6">
        <f>G3+G5+G6</f>
        <v>708.62572708333335</v>
      </c>
      <c r="H9" s="6"/>
      <c r="I9" s="6"/>
      <c r="J9" s="6">
        <f>SUM(Table4691113151716[LCEGHG (kgCO2e)])</f>
        <v>61809.052882232769</v>
      </c>
      <c r="L9" s="6">
        <f>SUM(L7:L8)</f>
        <v>-5130.1733939999995</v>
      </c>
      <c r="M9" s="6">
        <f>SUM(Table4691113151716[LCOGHG (kgCO2e/50 years)])</f>
        <v>-370513.94794816501</v>
      </c>
    </row>
    <row r="10" spans="1:13" x14ac:dyDescent="0.25">
      <c r="F10" t="s">
        <v>100</v>
      </c>
      <c r="G10" s="6">
        <f>G9+L9</f>
        <v>-4421.5476669166665</v>
      </c>
      <c r="H10" s="6"/>
      <c r="I10" s="6"/>
      <c r="J10" s="6">
        <f>J9+M9</f>
        <v>-308704.89506593224</v>
      </c>
    </row>
    <row r="11" spans="1:13" x14ac:dyDescent="0.25">
      <c r="K11" s="13"/>
    </row>
    <row r="12" spans="1:13" x14ac:dyDescent="0.25">
      <c r="B12" s="7"/>
    </row>
    <row r="13" spans="1:13" x14ac:dyDescent="0.25">
      <c r="A13" t="s">
        <v>88</v>
      </c>
      <c r="B13" s="7"/>
    </row>
    <row r="14" spans="1:13" x14ac:dyDescent="0.25">
      <c r="B14" s="7"/>
      <c r="G14" s="91">
        <f>G9/3.6*1000/50/6.25</f>
        <v>629.8895351851852</v>
      </c>
      <c r="H14" s="87" t="s">
        <v>550</v>
      </c>
      <c r="I14" s="91"/>
      <c r="J14" s="91"/>
      <c r="L14" s="87"/>
      <c r="M14" s="87"/>
    </row>
    <row r="15" spans="1:13" x14ac:dyDescent="0.25">
      <c r="B15" s="7"/>
      <c r="G15" s="91">
        <f>B95/6.25</f>
        <v>1200.0405599999999</v>
      </c>
      <c r="H15" s="87" t="s">
        <v>609</v>
      </c>
      <c r="I15" s="91"/>
      <c r="J15" s="91"/>
      <c r="L15" s="87"/>
      <c r="M15" s="87"/>
    </row>
    <row r="16" spans="1:13" x14ac:dyDescent="0.25">
      <c r="B16" s="7"/>
      <c r="G16">
        <f>J9/6.25</f>
        <v>9889.4484611572425</v>
      </c>
      <c r="H16" t="s">
        <v>607</v>
      </c>
      <c r="L16" s="83"/>
    </row>
    <row r="17" spans="1:10" x14ac:dyDescent="0.25">
      <c r="B17" s="7"/>
      <c r="G17">
        <f>G15*'General variables'!B13</f>
        <v>86669.929344599994</v>
      </c>
      <c r="H17" t="s">
        <v>608</v>
      </c>
    </row>
    <row r="18" spans="1:10" x14ac:dyDescent="0.25">
      <c r="A18" s="106" t="s">
        <v>433</v>
      </c>
      <c r="B18" s="103"/>
      <c r="C18" s="95"/>
      <c r="D18" s="95"/>
      <c r="E18" s="95"/>
      <c r="F18" s="95"/>
      <c r="G18" s="95"/>
      <c r="H18" s="95"/>
      <c r="I18" s="95"/>
      <c r="J18" s="95"/>
    </row>
    <row r="19" spans="1:10" x14ac:dyDescent="0.25">
      <c r="A19" s="97" t="s">
        <v>448</v>
      </c>
      <c r="B19" s="103"/>
      <c r="C19" s="95"/>
      <c r="D19" s="95"/>
      <c r="E19" s="95"/>
      <c r="F19" s="95"/>
      <c r="G19" s="95"/>
      <c r="H19" s="95"/>
      <c r="I19" s="95"/>
      <c r="J19" s="95"/>
    </row>
    <row r="20" spans="1:10" x14ac:dyDescent="0.25">
      <c r="A20" s="107" t="s">
        <v>523</v>
      </c>
      <c r="B20" s="95">
        <v>0.24</v>
      </c>
      <c r="C20" s="95" t="s">
        <v>296</v>
      </c>
      <c r="D20" s="95" t="s">
        <v>444</v>
      </c>
      <c r="E20" s="95"/>
      <c r="F20" s="95"/>
      <c r="G20" s="95"/>
      <c r="H20" s="95"/>
      <c r="I20" s="95"/>
      <c r="J20" s="95"/>
    </row>
    <row r="21" spans="1:10" x14ac:dyDescent="0.25">
      <c r="A21" s="107" t="s">
        <v>434</v>
      </c>
      <c r="B21" s="95">
        <v>6.3E-2</v>
      </c>
      <c r="C21" s="95" t="s">
        <v>296</v>
      </c>
      <c r="D21" s="95" t="s">
        <v>444</v>
      </c>
      <c r="E21" s="95"/>
      <c r="F21" s="95"/>
      <c r="G21" s="95"/>
      <c r="H21" s="95"/>
      <c r="I21" s="95"/>
      <c r="J21" s="95"/>
    </row>
    <row r="22" spans="1:10" x14ac:dyDescent="0.25">
      <c r="A22" s="108" t="s">
        <v>449</v>
      </c>
      <c r="B22" s="97">
        <f>(B20+B21)</f>
        <v>0.30299999999999999</v>
      </c>
      <c r="C22" s="97" t="s">
        <v>296</v>
      </c>
      <c r="D22" s="95" t="s">
        <v>444</v>
      </c>
      <c r="E22" s="95"/>
      <c r="F22" s="95"/>
      <c r="G22" s="95"/>
      <c r="H22" s="95"/>
      <c r="I22" s="95"/>
      <c r="J22" s="95"/>
    </row>
    <row r="23" spans="1:10" x14ac:dyDescent="0.25">
      <c r="A23" s="108" t="s">
        <v>450</v>
      </c>
      <c r="B23" s="97">
        <f>24*240</f>
        <v>5760</v>
      </c>
      <c r="C23" s="97" t="s">
        <v>207</v>
      </c>
      <c r="D23" s="95" t="s">
        <v>554</v>
      </c>
      <c r="E23" s="95"/>
      <c r="F23" s="95"/>
      <c r="G23" s="95"/>
      <c r="H23" s="95"/>
      <c r="I23" s="95"/>
      <c r="J23" s="95"/>
    </row>
    <row r="24" spans="1:10" x14ac:dyDescent="0.25">
      <c r="A24" s="109" t="s">
        <v>553</v>
      </c>
      <c r="B24" s="97"/>
      <c r="C24" s="97"/>
      <c r="D24" s="95"/>
      <c r="E24" s="95"/>
      <c r="F24" s="95"/>
      <c r="G24" s="95"/>
      <c r="H24" s="95"/>
      <c r="I24" s="95"/>
      <c r="J24" s="95"/>
    </row>
    <row r="25" spans="1:10" x14ac:dyDescent="0.25">
      <c r="A25" s="108" t="s">
        <v>451</v>
      </c>
      <c r="B25" s="97"/>
      <c r="C25" s="97"/>
      <c r="D25" s="95"/>
      <c r="E25" s="95"/>
      <c r="F25" s="95"/>
      <c r="G25" s="95"/>
      <c r="H25" s="95"/>
      <c r="I25" s="95"/>
      <c r="J25" s="95"/>
    </row>
    <row r="26" spans="1:10" x14ac:dyDescent="0.25">
      <c r="A26" s="110" t="s">
        <v>445</v>
      </c>
      <c r="B26" s="97"/>
      <c r="C26" s="97"/>
      <c r="D26" s="95"/>
      <c r="E26" s="95"/>
      <c r="F26" s="95"/>
      <c r="G26" s="95"/>
      <c r="H26" s="95"/>
      <c r="I26" s="95"/>
      <c r="J26" s="95"/>
    </row>
    <row r="27" spans="1:10" x14ac:dyDescent="0.25">
      <c r="A27" s="107" t="s">
        <v>435</v>
      </c>
      <c r="B27" s="111">
        <v>0.05</v>
      </c>
      <c r="C27" s="95"/>
      <c r="D27" s="95"/>
      <c r="E27" s="95"/>
      <c r="F27" s="95"/>
      <c r="G27" s="95"/>
      <c r="H27" s="95"/>
      <c r="I27" s="95"/>
      <c r="J27" s="95"/>
    </row>
    <row r="28" spans="1:10" x14ac:dyDescent="0.25">
      <c r="A28" s="107" t="s">
        <v>436</v>
      </c>
      <c r="B28" s="111">
        <v>0.11</v>
      </c>
      <c r="C28" s="95"/>
      <c r="D28" s="95"/>
      <c r="E28" s="95"/>
      <c r="F28" s="95"/>
      <c r="G28" s="95"/>
      <c r="H28" s="95"/>
      <c r="I28" s="95"/>
      <c r="J28" s="95"/>
    </row>
    <row r="29" spans="1:10" x14ac:dyDescent="0.25">
      <c r="A29" s="107" t="s">
        <v>437</v>
      </c>
      <c r="B29" s="95">
        <v>140</v>
      </c>
      <c r="C29" s="95" t="s">
        <v>207</v>
      </c>
      <c r="D29" s="95" t="s">
        <v>438</v>
      </c>
      <c r="E29" s="95"/>
      <c r="F29" s="95"/>
      <c r="G29" s="95"/>
      <c r="H29" s="95"/>
      <c r="I29" s="95"/>
      <c r="J29" s="95"/>
    </row>
    <row r="30" spans="1:10" x14ac:dyDescent="0.25">
      <c r="A30" s="107" t="s">
        <v>439</v>
      </c>
      <c r="B30" s="95">
        <v>500</v>
      </c>
      <c r="C30" s="95" t="s">
        <v>207</v>
      </c>
      <c r="D30" s="95" t="s">
        <v>438</v>
      </c>
      <c r="E30" s="95"/>
      <c r="F30" s="95"/>
      <c r="G30" s="95"/>
      <c r="H30" s="95"/>
      <c r="I30" s="95"/>
      <c r="J30" s="95"/>
    </row>
    <row r="31" spans="1:10" x14ac:dyDescent="0.25">
      <c r="A31" s="107" t="s">
        <v>440</v>
      </c>
      <c r="B31" s="95">
        <v>1000</v>
      </c>
      <c r="C31" s="95" t="s">
        <v>207</v>
      </c>
      <c r="D31" s="95" t="s">
        <v>443</v>
      </c>
      <c r="E31" s="95"/>
      <c r="F31" s="95"/>
      <c r="G31" s="95"/>
      <c r="H31" s="95"/>
      <c r="I31" s="95"/>
      <c r="J31" s="95"/>
    </row>
    <row r="32" spans="1:10" x14ac:dyDescent="0.25">
      <c r="A32" s="107" t="s">
        <v>441</v>
      </c>
      <c r="B32" s="95">
        <v>600</v>
      </c>
      <c r="C32" s="95" t="s">
        <v>207</v>
      </c>
      <c r="D32" s="95" t="s">
        <v>442</v>
      </c>
      <c r="E32" s="95"/>
      <c r="F32" s="95"/>
      <c r="G32" s="95"/>
      <c r="H32" s="95"/>
      <c r="I32" s="95"/>
      <c r="J32" s="95"/>
    </row>
    <row r="33" spans="1:10" x14ac:dyDescent="0.25">
      <c r="A33" s="108" t="s">
        <v>452</v>
      </c>
      <c r="B33" s="112">
        <f>B22*(1+B27)*B28</f>
        <v>3.49965E-2</v>
      </c>
      <c r="C33" s="97" t="s">
        <v>296</v>
      </c>
      <c r="D33" s="95"/>
      <c r="E33" s="95"/>
      <c r="F33" s="95"/>
      <c r="G33" s="95"/>
      <c r="H33" s="95"/>
      <c r="I33" s="95"/>
      <c r="J33" s="95"/>
    </row>
    <row r="34" spans="1:10" x14ac:dyDescent="0.25">
      <c r="A34" s="108" t="s">
        <v>710</v>
      </c>
      <c r="B34" s="97">
        <f>SUM($B$29:$B$32)+((($B$53+South_Facade_PV!$B$32)/24)*$B$23)*(1+$B$27)*$B$28</f>
        <v>9558.08</v>
      </c>
      <c r="C34" s="97" t="s">
        <v>207</v>
      </c>
      <c r="D34" s="95" t="s">
        <v>446</v>
      </c>
      <c r="E34" s="95"/>
      <c r="F34" s="95"/>
      <c r="G34" s="95"/>
      <c r="H34" s="95"/>
      <c r="I34" s="95"/>
      <c r="J34" s="95"/>
    </row>
    <row r="35" spans="1:10" x14ac:dyDescent="0.25">
      <c r="A35" s="108" t="s">
        <v>711</v>
      </c>
      <c r="B35" s="97">
        <f>SUM($B$29:$B$32)+((($B$53+South_Facade_PV_5S!$B$27)/24)*$B$23)*(1+$B$27)*$B$28</f>
        <v>9558.08</v>
      </c>
      <c r="C35" s="97" t="s">
        <v>207</v>
      </c>
      <c r="D35" s="95" t="s">
        <v>446</v>
      </c>
      <c r="E35" s="95"/>
      <c r="F35" s="95"/>
      <c r="G35" s="95"/>
      <c r="H35" s="95"/>
      <c r="I35" s="95"/>
      <c r="J35" s="95"/>
    </row>
    <row r="36" spans="1:10" x14ac:dyDescent="0.25">
      <c r="A36" s="108" t="s">
        <v>712</v>
      </c>
      <c r="B36" s="97">
        <f>SUM($B$29:$B$32)+((($B$53+South_Facade_PV_10S!$B$27)/24)*$B$23)*(1+$B$27)*$B$28</f>
        <v>12219.2</v>
      </c>
      <c r="C36" s="97" t="s">
        <v>207</v>
      </c>
      <c r="D36" s="95" t="s">
        <v>446</v>
      </c>
      <c r="E36" s="95"/>
      <c r="F36" s="95"/>
      <c r="G36" s="95"/>
      <c r="H36" s="95"/>
      <c r="I36" s="95"/>
      <c r="J36" s="95"/>
    </row>
    <row r="37" spans="1:10" x14ac:dyDescent="0.25">
      <c r="A37" s="97" t="s">
        <v>453</v>
      </c>
      <c r="B37" s="97">
        <v>0.15</v>
      </c>
      <c r="C37" s="97" t="s">
        <v>296</v>
      </c>
      <c r="D37" s="95" t="s">
        <v>457</v>
      </c>
      <c r="E37" s="95"/>
      <c r="F37" s="95"/>
      <c r="G37" s="95"/>
      <c r="H37" s="95"/>
      <c r="I37" s="95"/>
      <c r="J37" s="95"/>
    </row>
    <row r="38" spans="1:10" x14ac:dyDescent="0.25">
      <c r="A38" s="97" t="s">
        <v>454</v>
      </c>
      <c r="B38" s="97">
        <v>0.15</v>
      </c>
      <c r="C38" s="97" t="s">
        <v>296</v>
      </c>
      <c r="D38" s="95" t="s">
        <v>447</v>
      </c>
      <c r="E38" s="95"/>
      <c r="F38" s="95"/>
      <c r="G38" s="95"/>
      <c r="H38" s="95"/>
      <c r="I38" s="95"/>
      <c r="J38" s="95"/>
    </row>
    <row r="39" spans="1:10" x14ac:dyDescent="0.25">
      <c r="A39" s="97" t="s">
        <v>455</v>
      </c>
      <c r="B39" s="97">
        <v>0.1</v>
      </c>
      <c r="C39" s="97" t="s">
        <v>296</v>
      </c>
      <c r="D39" s="95" t="s">
        <v>447</v>
      </c>
      <c r="E39" s="95"/>
      <c r="F39" s="95"/>
      <c r="G39" s="95"/>
      <c r="H39" s="95"/>
      <c r="I39" s="95"/>
      <c r="J39" s="95"/>
    </row>
    <row r="40" spans="1:10" x14ac:dyDescent="0.25">
      <c r="A40" s="108"/>
      <c r="B40" s="95"/>
      <c r="C40" s="95"/>
      <c r="D40" s="95"/>
      <c r="E40" s="95"/>
      <c r="F40" s="95"/>
      <c r="G40" s="95"/>
      <c r="H40" s="95"/>
      <c r="I40" s="95"/>
      <c r="J40" s="95"/>
    </row>
    <row r="41" spans="1:10" x14ac:dyDescent="0.25">
      <c r="A41" s="105" t="s">
        <v>456</v>
      </c>
      <c r="B41" s="112">
        <f>B22+B33+B37+B38+B39</f>
        <v>0.73799649999999994</v>
      </c>
      <c r="C41" s="97" t="s">
        <v>296</v>
      </c>
      <c r="D41" s="95"/>
      <c r="E41" s="95"/>
      <c r="F41" s="95"/>
      <c r="G41" s="95"/>
      <c r="H41" s="95"/>
      <c r="I41" s="95"/>
      <c r="J41" s="95"/>
    </row>
    <row r="42" spans="1:10" x14ac:dyDescent="0.25">
      <c r="A42" s="105" t="s">
        <v>687</v>
      </c>
      <c r="B42" s="97">
        <f>(($B$53+South_Facade_PV!$B$32)/24)*$B$23+$B$34</f>
        <v>72918.080000000002</v>
      </c>
      <c r="C42" s="97" t="s">
        <v>207</v>
      </c>
      <c r="D42" s="95" t="s">
        <v>446</v>
      </c>
      <c r="E42" s="95"/>
      <c r="F42" s="95"/>
      <c r="G42" s="95"/>
      <c r="H42" s="95">
        <f>11*B23+B34</f>
        <v>72918.080000000002</v>
      </c>
      <c r="I42" s="95"/>
      <c r="J42" s="95"/>
    </row>
    <row r="43" spans="1:10" x14ac:dyDescent="0.25">
      <c r="A43" s="105" t="s">
        <v>688</v>
      </c>
      <c r="B43" s="97">
        <f>(($B$53+South_Facade_PV_5S!$B$27)/24)*$B$23+$B$34</f>
        <v>72918.080000000002</v>
      </c>
      <c r="C43" s="97" t="s">
        <v>207</v>
      </c>
      <c r="D43" s="95"/>
      <c r="E43" s="95"/>
      <c r="F43" s="95"/>
      <c r="G43" s="95"/>
      <c r="H43" s="95"/>
      <c r="I43" s="95"/>
      <c r="J43" s="95"/>
    </row>
    <row r="44" spans="1:10" x14ac:dyDescent="0.25">
      <c r="A44" s="105" t="s">
        <v>689</v>
      </c>
      <c r="B44" s="97">
        <f>(($B$53+South_Facade_PV_10S!$B$27)/24)*$B$23+$B$34</f>
        <v>95958.080000000002</v>
      </c>
      <c r="C44" s="97" t="s">
        <v>207</v>
      </c>
      <c r="D44" s="95"/>
      <c r="E44" s="95"/>
      <c r="F44" s="95"/>
      <c r="G44" s="95"/>
      <c r="H44" s="95"/>
      <c r="I44" s="95"/>
      <c r="J44" s="95"/>
    </row>
    <row r="45" spans="1:10" x14ac:dyDescent="0.25">
      <c r="A45" s="105" t="s">
        <v>850</v>
      </c>
      <c r="B45" s="97">
        <f>$B$34</f>
        <v>9558.08</v>
      </c>
      <c r="C45" s="97" t="s">
        <v>207</v>
      </c>
      <c r="D45" s="95"/>
      <c r="E45" s="95"/>
      <c r="F45" s="95"/>
      <c r="G45" s="95"/>
      <c r="H45" s="95"/>
      <c r="I45" s="95"/>
      <c r="J45" s="95"/>
    </row>
    <row r="46" spans="1:10" x14ac:dyDescent="0.25">
      <c r="A46" s="105"/>
      <c r="B46" s="97"/>
      <c r="C46" s="97"/>
      <c r="D46" s="95"/>
      <c r="E46" s="95"/>
      <c r="F46" s="95"/>
      <c r="G46" s="95"/>
      <c r="H46" s="95"/>
      <c r="I46" s="95"/>
      <c r="J46" s="95"/>
    </row>
    <row r="47" spans="1:10" x14ac:dyDescent="0.25">
      <c r="A47" s="108" t="s">
        <v>527</v>
      </c>
      <c r="B47" s="97"/>
      <c r="C47" s="97"/>
      <c r="D47" s="95"/>
      <c r="E47" s="95"/>
      <c r="F47" s="95"/>
      <c r="G47" s="95"/>
      <c r="H47" s="95"/>
      <c r="I47" s="95"/>
      <c r="J47" s="95"/>
    </row>
    <row r="48" spans="1:10" x14ac:dyDescent="0.25">
      <c r="A48" s="110" t="s">
        <v>528</v>
      </c>
      <c r="B48" s="97"/>
      <c r="C48" s="97"/>
      <c r="D48" s="95"/>
      <c r="E48" s="95"/>
      <c r="F48" s="95"/>
      <c r="G48" s="95"/>
      <c r="H48" s="95"/>
      <c r="I48" s="95"/>
      <c r="J48" s="95"/>
    </row>
    <row r="49" spans="1:10" x14ac:dyDescent="0.25">
      <c r="A49" s="110" t="s">
        <v>529</v>
      </c>
      <c r="B49" s="97">
        <v>190</v>
      </c>
      <c r="C49" s="97" t="s">
        <v>460</v>
      </c>
      <c r="D49" s="95"/>
      <c r="E49" s="95"/>
      <c r="F49" s="95"/>
      <c r="G49" s="95"/>
      <c r="H49" s="95"/>
      <c r="I49" s="95"/>
      <c r="J49" s="95"/>
    </row>
    <row r="50" spans="1:10" x14ac:dyDescent="0.25">
      <c r="A50" s="110" t="s">
        <v>530</v>
      </c>
      <c r="B50" s="97">
        <v>95</v>
      </c>
      <c r="C50" s="97" t="s">
        <v>195</v>
      </c>
      <c r="D50" s="95"/>
      <c r="E50" s="95"/>
      <c r="F50" s="95"/>
      <c r="G50" s="95"/>
      <c r="H50" s="95"/>
      <c r="I50" s="95"/>
      <c r="J50" s="95"/>
    </row>
    <row r="51" spans="1:10" x14ac:dyDescent="0.25">
      <c r="A51" s="110" t="s">
        <v>525</v>
      </c>
      <c r="B51" s="97">
        <v>415</v>
      </c>
      <c r="C51" s="97" t="s">
        <v>526</v>
      </c>
      <c r="D51" s="95"/>
      <c r="E51" s="95"/>
      <c r="F51" s="95"/>
      <c r="G51" s="95"/>
      <c r="H51" s="95"/>
      <c r="I51" s="95"/>
      <c r="J51" s="95"/>
    </row>
    <row r="52" spans="1:10" x14ac:dyDescent="0.25">
      <c r="A52" s="110" t="s">
        <v>678</v>
      </c>
      <c r="B52" s="97">
        <f>B50*B51</f>
        <v>39425</v>
      </c>
      <c r="C52" s="97" t="s">
        <v>526</v>
      </c>
      <c r="D52" s="95"/>
      <c r="E52" s="95"/>
      <c r="F52" s="95">
        <f>B42-B45</f>
        <v>63360</v>
      </c>
      <c r="G52" s="95"/>
      <c r="H52" s="95"/>
      <c r="I52" s="95"/>
      <c r="J52" s="95"/>
    </row>
    <row r="53" spans="1:10" x14ac:dyDescent="0.25">
      <c r="A53" s="110" t="s">
        <v>708</v>
      </c>
      <c r="B53" s="97">
        <f>ROUND(B52/5000,0)*24</f>
        <v>192</v>
      </c>
      <c r="C53" s="97" t="s">
        <v>709</v>
      </c>
      <c r="D53" s="95"/>
      <c r="E53" s="95"/>
      <c r="F53" s="95">
        <f>ROUNDUP($B$41+$F$52/B58,2)</f>
        <v>1.95</v>
      </c>
      <c r="G53" s="95"/>
      <c r="H53" s="95"/>
      <c r="I53" s="95"/>
      <c r="J53" s="95"/>
    </row>
    <row r="54" spans="1:10" x14ac:dyDescent="0.25">
      <c r="A54" s="110"/>
      <c r="B54" s="97"/>
      <c r="C54" s="97"/>
      <c r="D54" s="95"/>
      <c r="E54" s="95"/>
      <c r="F54" s="95"/>
      <c r="G54" s="95"/>
      <c r="H54" s="95"/>
      <c r="I54" s="95"/>
      <c r="J54" s="95"/>
    </row>
    <row r="55" spans="1:10" x14ac:dyDescent="0.25">
      <c r="A55" s="129" t="s">
        <v>677</v>
      </c>
      <c r="B55" s="97"/>
      <c r="C55" s="97"/>
      <c r="D55" s="95"/>
      <c r="E55" s="95"/>
      <c r="F55" s="95"/>
      <c r="G55" s="95"/>
      <c r="H55" s="95"/>
      <c r="I55" s="95"/>
      <c r="J55" s="95"/>
    </row>
    <row r="56" spans="1:10" x14ac:dyDescent="0.25">
      <c r="A56" s="105" t="s">
        <v>678</v>
      </c>
      <c r="B56" s="97">
        <f>$B$51*$B$50</f>
        <v>39425</v>
      </c>
      <c r="C56" s="97" t="s">
        <v>526</v>
      </c>
      <c r="D56" s="95"/>
      <c r="E56" s="95"/>
      <c r="F56" s="95"/>
      <c r="G56" s="95"/>
      <c r="H56" s="95"/>
      <c r="I56" s="95"/>
      <c r="J56" s="95"/>
    </row>
    <row r="57" spans="1:10" x14ac:dyDescent="0.25">
      <c r="A57" s="105" t="s">
        <v>675</v>
      </c>
      <c r="B57" s="97">
        <f>South_Facade_PV!B19</f>
        <v>13280</v>
      </c>
      <c r="C57" s="97" t="s">
        <v>526</v>
      </c>
      <c r="D57" s="95"/>
      <c r="E57" s="95"/>
      <c r="F57" s="95"/>
      <c r="G57" s="95"/>
      <c r="H57" s="95"/>
      <c r="I57" s="95"/>
      <c r="J57" s="95"/>
    </row>
    <row r="58" spans="1:10" x14ac:dyDescent="0.25">
      <c r="A58" s="105" t="s">
        <v>676</v>
      </c>
      <c r="B58" s="97">
        <f>B57+B56</f>
        <v>52705</v>
      </c>
      <c r="C58" s="97" t="s">
        <v>526</v>
      </c>
      <c r="D58" s="95"/>
      <c r="E58" s="95">
        <f>B58/8/1000</f>
        <v>6.5881249999999998</v>
      </c>
      <c r="F58" s="95" t="s">
        <v>726</v>
      </c>
      <c r="G58" s="95"/>
      <c r="H58" s="95"/>
      <c r="I58" s="95"/>
      <c r="J58" s="95"/>
    </row>
    <row r="59" spans="1:10" x14ac:dyDescent="0.25">
      <c r="A59" s="95"/>
      <c r="B59" s="95"/>
      <c r="C59" s="95"/>
      <c r="D59" s="95"/>
      <c r="E59" s="95"/>
      <c r="F59" s="95"/>
      <c r="G59" s="95"/>
      <c r="H59" s="95"/>
      <c r="I59" s="95"/>
      <c r="J59" s="95"/>
    </row>
    <row r="60" spans="1:10" x14ac:dyDescent="0.25">
      <c r="A60" s="105" t="s">
        <v>679</v>
      </c>
      <c r="B60" s="101">
        <f>ROUNDUP($B$41+$B$42/B58,2)</f>
        <v>2.13</v>
      </c>
      <c r="C60" s="97" t="s">
        <v>296</v>
      </c>
      <c r="D60" s="97" t="s">
        <v>849</v>
      </c>
      <c r="E60" s="97">
        <f>ROUNDUP($B$41+$B$45/B58,2)</f>
        <v>0.92</v>
      </c>
      <c r="F60" s="97" t="s">
        <v>296</v>
      </c>
      <c r="G60" s="95">
        <f>B60-E60</f>
        <v>1.21</v>
      </c>
      <c r="H60" s="95"/>
      <c r="I60" s="95"/>
      <c r="J60" s="95"/>
    </row>
    <row r="61" spans="1:10" x14ac:dyDescent="0.25">
      <c r="A61" s="105"/>
      <c r="B61" s="101"/>
      <c r="C61" s="97"/>
      <c r="D61" s="95"/>
      <c r="E61" s="95"/>
      <c r="F61" s="95"/>
      <c r="G61" s="95"/>
      <c r="H61" s="95"/>
      <c r="I61" s="95"/>
      <c r="J61" s="95"/>
    </row>
    <row r="62" spans="1:10" x14ac:dyDescent="0.25">
      <c r="A62" s="129" t="s">
        <v>681</v>
      </c>
      <c r="B62" s="97"/>
      <c r="C62" s="97"/>
      <c r="D62" s="95"/>
      <c r="E62" s="95"/>
      <c r="F62" s="95"/>
      <c r="G62" s="95"/>
      <c r="H62" s="95"/>
      <c r="I62" s="95"/>
      <c r="J62" s="95"/>
    </row>
    <row r="63" spans="1:10" x14ac:dyDescent="0.25">
      <c r="A63" s="105" t="s">
        <v>682</v>
      </c>
      <c r="B63" s="97">
        <f>$B$51*$B$50</f>
        <v>39425</v>
      </c>
      <c r="C63" s="97" t="s">
        <v>526</v>
      </c>
      <c r="D63" s="95"/>
      <c r="E63" s="95"/>
      <c r="F63" s="95"/>
      <c r="G63" s="95"/>
      <c r="H63" s="95"/>
      <c r="I63" s="95"/>
      <c r="J63" s="95"/>
    </row>
    <row r="64" spans="1:10" x14ac:dyDescent="0.25">
      <c r="A64" s="105" t="s">
        <v>683</v>
      </c>
      <c r="B64" s="118">
        <f>South_Facade_PV_5S!B19</f>
        <v>16600</v>
      </c>
      <c r="C64" s="97" t="s">
        <v>526</v>
      </c>
      <c r="D64" s="95"/>
      <c r="E64" s="95"/>
      <c r="F64" s="95"/>
      <c r="G64" s="95"/>
      <c r="H64" s="95"/>
      <c r="I64" s="95"/>
      <c r="J64" s="95"/>
    </row>
    <row r="65" spans="1:11" x14ac:dyDescent="0.25">
      <c r="A65" s="105" t="s">
        <v>684</v>
      </c>
      <c r="B65" s="97">
        <f>B64+B63</f>
        <v>56025</v>
      </c>
      <c r="C65" s="97" t="s">
        <v>526</v>
      </c>
      <c r="D65" s="95"/>
      <c r="E65" s="95">
        <f>B65/10/1000</f>
        <v>5.6025</v>
      </c>
      <c r="F65" s="95" t="s">
        <v>726</v>
      </c>
      <c r="G65" s="95"/>
      <c r="H65" s="95"/>
      <c r="I65" s="95"/>
      <c r="J65" s="95"/>
    </row>
    <row r="66" spans="1:11" x14ac:dyDescent="0.25">
      <c r="A66" s="95"/>
      <c r="B66" s="95"/>
      <c r="C66" s="95"/>
      <c r="D66" s="95"/>
      <c r="E66" s="95"/>
      <c r="F66" s="95"/>
      <c r="G66" s="95"/>
      <c r="H66" s="95"/>
      <c r="I66" s="95"/>
      <c r="J66" s="95"/>
    </row>
    <row r="67" spans="1:11" x14ac:dyDescent="0.25">
      <c r="A67" s="105" t="s">
        <v>685</v>
      </c>
      <c r="B67" s="101">
        <f>ROUNDUP($B$41+$B$43/B65,2)</f>
        <v>2.0399999999999996</v>
      </c>
      <c r="C67" s="97" t="s">
        <v>296</v>
      </c>
      <c r="D67" s="95"/>
      <c r="E67" s="95"/>
      <c r="F67" s="95"/>
      <c r="G67" s="95"/>
      <c r="H67" s="95"/>
      <c r="I67" s="95"/>
      <c r="J67" s="95"/>
    </row>
    <row r="68" spans="1:11" x14ac:dyDescent="0.25">
      <c r="A68" s="105"/>
      <c r="B68" s="101"/>
      <c r="C68" s="97"/>
      <c r="D68" s="95"/>
      <c r="E68" s="95"/>
      <c r="F68" s="95"/>
      <c r="G68" s="95"/>
      <c r="H68" s="95"/>
      <c r="I68" s="95"/>
      <c r="J68" s="95"/>
    </row>
    <row r="69" spans="1:11" x14ac:dyDescent="0.25">
      <c r="A69" s="129" t="s">
        <v>686</v>
      </c>
      <c r="B69" s="97"/>
      <c r="C69" s="97"/>
      <c r="D69" s="95"/>
      <c r="E69" s="95"/>
      <c r="F69" s="95"/>
      <c r="G69" s="95"/>
      <c r="H69" s="95"/>
      <c r="I69" s="95"/>
      <c r="J69" s="95"/>
    </row>
    <row r="70" spans="1:11" x14ac:dyDescent="0.25">
      <c r="A70" s="105" t="s">
        <v>690</v>
      </c>
      <c r="B70" s="97">
        <f>$B$51*$B$50</f>
        <v>39425</v>
      </c>
      <c r="C70" s="97" t="s">
        <v>526</v>
      </c>
      <c r="D70" s="95"/>
      <c r="E70" s="95"/>
      <c r="F70" s="95"/>
      <c r="G70" s="95"/>
      <c r="H70" s="95"/>
      <c r="I70" s="95"/>
      <c r="J70" s="95"/>
    </row>
    <row r="71" spans="1:11" x14ac:dyDescent="0.25">
      <c r="A71" s="105" t="s">
        <v>691</v>
      </c>
      <c r="B71" s="118">
        <f>South_Facade_PV_10S!B19</f>
        <v>33200</v>
      </c>
      <c r="C71" s="97" t="s">
        <v>526</v>
      </c>
      <c r="D71" s="95"/>
      <c r="E71" s="95"/>
      <c r="F71" s="95"/>
      <c r="G71" s="95"/>
      <c r="H71" s="95"/>
      <c r="I71" s="95"/>
      <c r="J71" s="95"/>
    </row>
    <row r="72" spans="1:11" x14ac:dyDescent="0.25">
      <c r="A72" s="105" t="s">
        <v>692</v>
      </c>
      <c r="B72" s="97">
        <f>B71+B70</f>
        <v>72625</v>
      </c>
      <c r="C72" s="97" t="s">
        <v>526</v>
      </c>
      <c r="D72" s="95"/>
      <c r="E72" s="131">
        <f>B72/20/1000</f>
        <v>3.6312500000000001</v>
      </c>
      <c r="F72" s="95" t="s">
        <v>726</v>
      </c>
      <c r="G72" s="95"/>
      <c r="H72" s="95"/>
      <c r="I72" s="95"/>
      <c r="J72" s="95"/>
    </row>
    <row r="73" spans="1:11" x14ac:dyDescent="0.25">
      <c r="A73" s="95"/>
      <c r="B73" s="95"/>
      <c r="C73" s="95"/>
      <c r="D73" s="95"/>
      <c r="E73" s="95"/>
      <c r="F73" s="95"/>
      <c r="G73" s="95"/>
      <c r="H73" s="95"/>
      <c r="I73" s="95"/>
      <c r="J73" s="95"/>
    </row>
    <row r="74" spans="1:11" x14ac:dyDescent="0.25">
      <c r="A74" s="105" t="s">
        <v>693</v>
      </c>
      <c r="B74" s="101">
        <f>ROUNDUP($B$41+$B$44/B72,2)</f>
        <v>2.0599999999999996</v>
      </c>
      <c r="C74" s="97" t="s">
        <v>296</v>
      </c>
      <c r="D74" s="95"/>
      <c r="E74" s="95"/>
      <c r="F74" s="95"/>
      <c r="G74" s="95"/>
      <c r="H74" s="95"/>
      <c r="I74" s="95"/>
      <c r="J74" s="95"/>
    </row>
    <row r="75" spans="1:11" x14ac:dyDescent="0.25">
      <c r="A75" s="105"/>
      <c r="B75" s="101"/>
      <c r="C75" s="97"/>
      <c r="D75" s="95"/>
      <c r="E75" s="95"/>
      <c r="F75" s="95"/>
      <c r="G75" s="95"/>
      <c r="H75" s="95"/>
      <c r="I75" s="95"/>
      <c r="J75" s="95"/>
    </row>
    <row r="76" spans="1:11" ht="15.75" x14ac:dyDescent="0.25">
      <c r="A76" s="130" t="s">
        <v>680</v>
      </c>
      <c r="B76" s="117"/>
      <c r="C76" s="116"/>
      <c r="D76" s="114"/>
      <c r="E76" s="114"/>
      <c r="F76" s="114"/>
      <c r="G76" s="114"/>
      <c r="H76" s="114"/>
      <c r="I76" s="114"/>
      <c r="J76" s="114"/>
      <c r="K76" s="114"/>
    </row>
    <row r="77" spans="1:11" x14ac:dyDescent="0.25">
      <c r="A77" s="114" t="s">
        <v>533</v>
      </c>
      <c r="B77" s="114"/>
      <c r="C77" s="114"/>
      <c r="D77" s="114"/>
      <c r="E77" s="114"/>
      <c r="F77" s="114"/>
      <c r="G77" s="114"/>
      <c r="H77" s="114"/>
      <c r="I77" s="114"/>
      <c r="J77" s="114"/>
      <c r="K77" s="114"/>
    </row>
    <row r="78" spans="1:11" x14ac:dyDescent="0.25">
      <c r="A78" s="109" t="s">
        <v>534</v>
      </c>
      <c r="B78" s="121">
        <f>(B37+(B38+B39)/2+((B53/24)*B23)*(1+B27)*(1+B28))/B52</f>
        <v>1.3622451490171212</v>
      </c>
      <c r="C78" s="97" t="s">
        <v>296</v>
      </c>
      <c r="D78" s="114" t="s">
        <v>536</v>
      </c>
      <c r="E78" s="114"/>
      <c r="F78" s="114"/>
      <c r="G78" s="114"/>
      <c r="H78" s="114"/>
      <c r="I78" s="114"/>
      <c r="J78" s="114"/>
      <c r="K78" s="114"/>
    </row>
    <row r="79" spans="1:11" x14ac:dyDescent="0.25">
      <c r="A79" s="109" t="s">
        <v>851</v>
      </c>
      <c r="B79" s="121">
        <f>B37+(B38+B39)/2</f>
        <v>0.27500000000000002</v>
      </c>
      <c r="C79" s="97" t="s">
        <v>296</v>
      </c>
      <c r="D79" s="114" t="s">
        <v>536</v>
      </c>
      <c r="E79" s="114"/>
      <c r="F79" s="114"/>
      <c r="G79" s="114"/>
      <c r="H79" s="114"/>
      <c r="I79" s="114"/>
      <c r="J79" s="114"/>
      <c r="K79" s="114"/>
    </row>
    <row r="80" spans="1:11" x14ac:dyDescent="0.25">
      <c r="A80" s="109" t="s">
        <v>535</v>
      </c>
      <c r="B80" s="112">
        <f>B20*(1+B27)*(1+B28)+(B38+B39)/2</f>
        <v>0.40472000000000002</v>
      </c>
      <c r="C80" s="97" t="s">
        <v>296</v>
      </c>
      <c r="D80" s="114" t="s">
        <v>536</v>
      </c>
      <c r="E80" s="114"/>
      <c r="F80" s="114"/>
      <c r="G80" s="114"/>
      <c r="H80" s="114"/>
      <c r="I80" s="114"/>
      <c r="J80" s="114"/>
      <c r="K80" s="114"/>
    </row>
    <row r="81" spans="1:4" x14ac:dyDescent="0.25">
      <c r="B81" s="7"/>
    </row>
    <row r="82" spans="1:4" x14ac:dyDescent="0.25">
      <c r="B82" s="7"/>
    </row>
    <row r="83" spans="1:4" x14ac:dyDescent="0.25">
      <c r="A83" s="97" t="s">
        <v>163</v>
      </c>
      <c r="B83" s="95"/>
      <c r="C83" s="95"/>
      <c r="D83" s="95"/>
    </row>
    <row r="84" spans="1:4" x14ac:dyDescent="0.25">
      <c r="A84" s="95" t="s">
        <v>538</v>
      </c>
      <c r="B84" s="95"/>
      <c r="C84" s="95"/>
      <c r="D84" s="95"/>
    </row>
    <row r="85" spans="1:4" x14ac:dyDescent="0.25">
      <c r="A85" s="95" t="s">
        <v>543</v>
      </c>
      <c r="B85" s="95">
        <f>B50</f>
        <v>95</v>
      </c>
      <c r="C85" s="95" t="s">
        <v>169</v>
      </c>
      <c r="D85" s="95"/>
    </row>
    <row r="86" spans="1:4" x14ac:dyDescent="0.25">
      <c r="A86" s="95" t="s">
        <v>539</v>
      </c>
      <c r="B86" s="95">
        <f>1*0.8*1750*0.9</f>
        <v>1260</v>
      </c>
      <c r="C86" s="95" t="s">
        <v>166</v>
      </c>
      <c r="D86" s="95"/>
    </row>
    <row r="87" spans="1:4" x14ac:dyDescent="0.25">
      <c r="A87" s="95" t="s">
        <v>540</v>
      </c>
      <c r="B87" s="95">
        <f>1*0.8*1080*0.9</f>
        <v>777.6</v>
      </c>
      <c r="C87" s="95" t="s">
        <v>166</v>
      </c>
      <c r="D87" s="95" t="s">
        <v>541</v>
      </c>
    </row>
    <row r="88" spans="1:4" x14ac:dyDescent="0.25">
      <c r="A88" s="95" t="s">
        <v>542</v>
      </c>
      <c r="B88" s="95">
        <f>B86*B56/1000</f>
        <v>49675.5</v>
      </c>
      <c r="C88" s="95" t="s">
        <v>166</v>
      </c>
      <c r="D88" s="95"/>
    </row>
    <row r="89" spans="1:4" x14ac:dyDescent="0.25">
      <c r="A89" s="95" t="s">
        <v>694</v>
      </c>
      <c r="B89" s="131">
        <f>B57*$B$87/1000</f>
        <v>10326.528</v>
      </c>
      <c r="C89" s="95" t="s">
        <v>166</v>
      </c>
      <c r="D89" s="95"/>
    </row>
    <row r="90" spans="1:4" x14ac:dyDescent="0.25">
      <c r="A90" s="95" t="s">
        <v>695</v>
      </c>
      <c r="B90" s="131">
        <f>B64*$B$87/1000</f>
        <v>12908.16</v>
      </c>
      <c r="C90" s="95" t="s">
        <v>166</v>
      </c>
      <c r="D90" s="95"/>
    </row>
    <row r="91" spans="1:4" x14ac:dyDescent="0.25">
      <c r="A91" s="95" t="s">
        <v>696</v>
      </c>
      <c r="B91" s="131">
        <f>B71*$B$87/1000</f>
        <v>25816.32</v>
      </c>
      <c r="C91" s="95" t="s">
        <v>166</v>
      </c>
      <c r="D91" s="95"/>
    </row>
    <row r="92" spans="1:4" x14ac:dyDescent="0.25">
      <c r="A92" s="95" t="s">
        <v>697</v>
      </c>
      <c r="B92" s="131">
        <f>$B$88+B89</f>
        <v>60002.027999999998</v>
      </c>
      <c r="C92" s="95" t="s">
        <v>166</v>
      </c>
      <c r="D92" s="95"/>
    </row>
    <row r="93" spans="1:4" x14ac:dyDescent="0.25">
      <c r="A93" s="95" t="s">
        <v>698</v>
      </c>
      <c r="B93" s="131">
        <f>$B$88+B90</f>
        <v>62583.66</v>
      </c>
      <c r="C93" s="95" t="s">
        <v>166</v>
      </c>
      <c r="D93" s="95"/>
    </row>
    <row r="94" spans="1:4" x14ac:dyDescent="0.25">
      <c r="A94" s="95" t="s">
        <v>699</v>
      </c>
      <c r="B94" s="131">
        <f>$B$88+B91</f>
        <v>75491.820000000007</v>
      </c>
      <c r="C94" s="95" t="s">
        <v>166</v>
      </c>
      <c r="D94" s="95"/>
    </row>
    <row r="95" spans="1:4" x14ac:dyDescent="0.25">
      <c r="A95" s="95" t="s">
        <v>700</v>
      </c>
      <c r="B95" s="131">
        <f>B92/South_Facade_PV!$B$7</f>
        <v>7500.2534999999998</v>
      </c>
      <c r="C95" s="95" t="s">
        <v>166</v>
      </c>
      <c r="D95" s="95"/>
    </row>
    <row r="96" spans="1:4" x14ac:dyDescent="0.25">
      <c r="A96" s="95" t="s">
        <v>701</v>
      </c>
      <c r="B96" s="131">
        <f>B93/South_Facade_PV_5S!$B$7</f>
        <v>6258.366</v>
      </c>
      <c r="C96" s="95" t="s">
        <v>166</v>
      </c>
      <c r="D96" s="95"/>
    </row>
    <row r="97" spans="1:6" x14ac:dyDescent="0.25">
      <c r="A97" s="95" t="s">
        <v>702</v>
      </c>
      <c r="B97" s="131">
        <f>B94/South_Facade_PV_10S!$B$7</f>
        <v>3774.5910000000003</v>
      </c>
      <c r="C97" s="95" t="s">
        <v>166</v>
      </c>
      <c r="D97" s="95"/>
    </row>
    <row r="98" spans="1:6" x14ac:dyDescent="0.25">
      <c r="A98" s="95" t="s">
        <v>772</v>
      </c>
      <c r="B98" s="131">
        <f>(ALL_OPE!H25+ALL_OPE!H26+ALL_OPE!H27+ALL_OPE!H29)*-1/50/3.6*1000</f>
        <v>6566.812865497076</v>
      </c>
      <c r="C98" s="95" t="s">
        <v>166</v>
      </c>
      <c r="D98" s="95"/>
      <c r="F98" s="18"/>
    </row>
    <row r="99" spans="1:6" x14ac:dyDescent="0.25">
      <c r="A99" s="95" t="s">
        <v>773</v>
      </c>
      <c r="B99" s="131">
        <f>NZLCPEGHGB!B61</f>
        <v>3201.7561253568397</v>
      </c>
      <c r="C99" s="95" t="s">
        <v>166</v>
      </c>
      <c r="D99" s="95"/>
      <c r="F99" s="18"/>
    </row>
    <row r="100" spans="1:6" x14ac:dyDescent="0.25">
      <c r="A100" s="95" t="s">
        <v>703</v>
      </c>
      <c r="B100" s="95">
        <f>TRUNC(B95/$B$98,2)</f>
        <v>1.1399999999999999</v>
      </c>
      <c r="C100" s="95" t="s">
        <v>719</v>
      </c>
      <c r="D100" s="95"/>
    </row>
    <row r="101" spans="1:6" x14ac:dyDescent="0.25">
      <c r="A101" s="95" t="s">
        <v>704</v>
      </c>
      <c r="B101" s="122">
        <f t="shared" ref="B101:B102" si="1">TRUNC(B96/$B$98,2)</f>
        <v>0.95</v>
      </c>
      <c r="C101" s="95" t="s">
        <v>720</v>
      </c>
      <c r="D101" s="95"/>
    </row>
    <row r="102" spans="1:6" x14ac:dyDescent="0.25">
      <c r="A102" s="95" t="s">
        <v>705</v>
      </c>
      <c r="B102" s="95">
        <f t="shared" si="1"/>
        <v>0.56999999999999995</v>
      </c>
      <c r="C102" s="95" t="s">
        <v>721</v>
      </c>
      <c r="D102" s="95"/>
    </row>
    <row r="103" spans="1:6" x14ac:dyDescent="0.25">
      <c r="A103" s="95" t="s">
        <v>780</v>
      </c>
      <c r="B103" s="95">
        <f>TRUNC(B95/($B$98*1.2),2)</f>
        <v>0.95</v>
      </c>
      <c r="C103" s="95" t="s">
        <v>720</v>
      </c>
      <c r="D103" s="95"/>
    </row>
    <row r="105" spans="1:6" x14ac:dyDescent="0.25">
      <c r="A105" t="s">
        <v>173</v>
      </c>
    </row>
    <row r="106" spans="1:6" x14ac:dyDescent="0.25">
      <c r="A106" t="s">
        <v>174</v>
      </c>
    </row>
    <row r="108" spans="1:6" x14ac:dyDescent="0.25">
      <c r="A108" t="s">
        <v>293</v>
      </c>
    </row>
    <row r="109" spans="1:6" x14ac:dyDescent="0.25">
      <c r="A109" t="s">
        <v>294</v>
      </c>
      <c r="C109">
        <v>650</v>
      </c>
      <c r="D109" t="s">
        <v>207</v>
      </c>
    </row>
    <row r="110" spans="1:6" x14ac:dyDescent="0.25">
      <c r="A110" t="s">
        <v>366</v>
      </c>
      <c r="C110">
        <v>250</v>
      </c>
      <c r="D110" t="s">
        <v>207</v>
      </c>
    </row>
    <row r="111" spans="1:6" x14ac:dyDescent="0.25">
      <c r="A111" t="s">
        <v>318</v>
      </c>
      <c r="C111">
        <v>400</v>
      </c>
      <c r="D111" t="s">
        <v>207</v>
      </c>
    </row>
    <row r="112" spans="1:6" x14ac:dyDescent="0.25">
      <c r="A112" t="s">
        <v>324</v>
      </c>
      <c r="C112">
        <v>300</v>
      </c>
      <c r="D112" t="s">
        <v>207</v>
      </c>
    </row>
    <row r="113" spans="1:4" x14ac:dyDescent="0.25">
      <c r="A113" t="s">
        <v>367</v>
      </c>
      <c r="C113">
        <v>175</v>
      </c>
      <c r="D113" t="s">
        <v>207</v>
      </c>
    </row>
    <row r="114" spans="1:4" x14ac:dyDescent="0.25">
      <c r="A114" t="s">
        <v>295</v>
      </c>
      <c r="C114">
        <v>0.75</v>
      </c>
      <c r="D114" t="s">
        <v>296</v>
      </c>
    </row>
    <row r="115" spans="1:4" x14ac:dyDescent="0.25">
      <c r="A115" t="s">
        <v>297</v>
      </c>
      <c r="C115">
        <v>0.79</v>
      </c>
      <c r="D115" t="s">
        <v>296</v>
      </c>
    </row>
    <row r="116" spans="1:4" x14ac:dyDescent="0.25">
      <c r="A116" t="s">
        <v>298</v>
      </c>
      <c r="C116">
        <v>1500</v>
      </c>
      <c r="D116" t="s">
        <v>207</v>
      </c>
    </row>
    <row r="117" spans="1:4" x14ac:dyDescent="0.25">
      <c r="A117" t="s">
        <v>299</v>
      </c>
      <c r="C117">
        <v>750</v>
      </c>
      <c r="D117" t="s">
        <v>207</v>
      </c>
    </row>
    <row r="119" spans="1:4" x14ac:dyDescent="0.25">
      <c r="A119" t="s">
        <v>325</v>
      </c>
      <c r="C119">
        <f>$C$109+12*$C$111+3000*$C$114+$C$116</f>
        <v>9200</v>
      </c>
      <c r="D119" t="s">
        <v>207</v>
      </c>
    </row>
    <row r="120" spans="1:4" x14ac:dyDescent="0.25">
      <c r="A120" t="s">
        <v>326</v>
      </c>
      <c r="C120">
        <f>$C$109+12*$C$111+3000*$C$115+$C$116</f>
        <v>9320</v>
      </c>
      <c r="D120" t="s">
        <v>207</v>
      </c>
    </row>
    <row r="121" spans="1:4" x14ac:dyDescent="0.25">
      <c r="A121" t="s">
        <v>364</v>
      </c>
      <c r="C121">
        <f>$C$110+4*$C$111+1000*$C$114+$C$117</f>
        <v>3350</v>
      </c>
      <c r="D121" t="s">
        <v>207</v>
      </c>
    </row>
    <row r="122" spans="1:4" x14ac:dyDescent="0.25">
      <c r="A122" t="s">
        <v>365</v>
      </c>
      <c r="C122">
        <f>$C$110+4*$C$111+1000*$C$115+$C$117</f>
        <v>3390</v>
      </c>
      <c r="D122" t="s">
        <v>207</v>
      </c>
    </row>
    <row r="124" spans="1:4" x14ac:dyDescent="0.25">
      <c r="A124" t="s">
        <v>327</v>
      </c>
      <c r="C124">
        <f>$C$109+24*$C$112+3000*$C$114+$C$116</f>
        <v>11600</v>
      </c>
      <c r="D124" t="s">
        <v>207</v>
      </c>
    </row>
    <row r="125" spans="1:4" x14ac:dyDescent="0.25">
      <c r="A125" t="s">
        <v>328</v>
      </c>
      <c r="C125">
        <f>$C$109+24*$C$112+3000*$C$115+$C$116</f>
        <v>11720</v>
      </c>
      <c r="D125" t="s">
        <v>207</v>
      </c>
    </row>
    <row r="126" spans="1:4" x14ac:dyDescent="0.25">
      <c r="A126" t="s">
        <v>329</v>
      </c>
      <c r="C126">
        <f>$C$110+24*$C$113+1000*$C$114+$C$117</f>
        <v>5950</v>
      </c>
      <c r="D126" t="s">
        <v>207</v>
      </c>
    </row>
    <row r="127" spans="1:4" x14ac:dyDescent="0.25">
      <c r="A127" t="s">
        <v>330</v>
      </c>
      <c r="C127">
        <f>$C$110+24*$C$113+1000*$C$115+$C$117</f>
        <v>5990</v>
      </c>
      <c r="D127" t="s">
        <v>207</v>
      </c>
    </row>
    <row r="129" spans="1:1" x14ac:dyDescent="0.25">
      <c r="A129" t="s">
        <v>301</v>
      </c>
    </row>
    <row r="130" spans="1:1" x14ac:dyDescent="0.25">
      <c r="A130" t="s">
        <v>300</v>
      </c>
    </row>
    <row r="132" spans="1:1" x14ac:dyDescent="0.25">
      <c r="A132" t="s">
        <v>302</v>
      </c>
    </row>
    <row r="133" spans="1:1" x14ac:dyDescent="0.25">
      <c r="A133" t="s">
        <v>319</v>
      </c>
    </row>
    <row r="134" spans="1:1" x14ac:dyDescent="0.25">
      <c r="A134" t="s">
        <v>341</v>
      </c>
    </row>
    <row r="135" spans="1:1" x14ac:dyDescent="0.25">
      <c r="A135" t="s">
        <v>320</v>
      </c>
    </row>
    <row r="136" spans="1:1" x14ac:dyDescent="0.25">
      <c r="A136" t="s">
        <v>321</v>
      </c>
    </row>
    <row r="138" spans="1:1" x14ac:dyDescent="0.25">
      <c r="A138" t="s">
        <v>342</v>
      </c>
    </row>
    <row r="139" spans="1:1" x14ac:dyDescent="0.25">
      <c r="A139" t="s">
        <v>322</v>
      </c>
    </row>
    <row r="140" spans="1:1" x14ac:dyDescent="0.25">
      <c r="A140" t="s">
        <v>323</v>
      </c>
    </row>
  </sheetData>
  <conditionalFormatting sqref="L9:M9 G9:J10">
    <cfRule type="cellIs" dxfId="109" priority="1" operator="lessThan">
      <formula>0</formula>
    </cfRule>
    <cfRule type="cellIs" dxfId="108" priority="2" operator="greaterThan">
      <formula>0</formula>
    </cfRule>
  </conditionalFormatting>
  <hyperlinks>
    <hyperlink ref="A6" r:id="rId1" display="Deep cycle batteries 270 Ah" xr:uid="{00000000-0004-0000-0C00-000001000000}"/>
    <hyperlink ref="B6" r:id="rId2" display="http://www.wholesalesolar.com/battery_sizing.html" xr:uid="{00000000-0004-0000-0C00-000002000000}"/>
  </hyperlinks>
  <pageMargins left="0.7" right="0.7" top="0.75" bottom="0.75" header="0.3" footer="0.3"/>
  <pageSetup paperSize="9" orientation="portrait" r:id="rId3"/>
  <legacyDrawing r:id="rId4"/>
  <tableParts count="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9"/>
  <sheetViews>
    <sheetView topLeftCell="A10" zoomScale="80" zoomScaleNormal="80" workbookViewId="0">
      <selection activeCell="G46" sqref="G46"/>
    </sheetView>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39.5703125" bestFit="1" customWidth="1"/>
    <col min="9" max="9" width="26.28515625" customWidth="1"/>
    <col min="10" max="10" width="26.140625" customWidth="1"/>
    <col min="11" max="11" width="31.5703125" customWidth="1"/>
    <col min="12" max="12" width="34.140625" customWidth="1"/>
    <col min="13" max="13" width="34.140625" bestFit="1" customWidth="1"/>
    <col min="14" max="14" width="11.5703125" customWidth="1"/>
  </cols>
  <sheetData>
    <row r="1" spans="1:13" x14ac:dyDescent="0.25">
      <c r="A1" s="1" t="s">
        <v>375</v>
      </c>
    </row>
    <row r="2" spans="1:13" x14ac:dyDescent="0.25">
      <c r="A2" t="s">
        <v>33</v>
      </c>
      <c r="B2" t="s">
        <v>0</v>
      </c>
      <c r="E2" s="1" t="str">
        <f>HYPERLINK('General variables'!$B$4&amp;ALL_OPE!B3&amp;".bld","Link to apart file")</f>
        <v>Link to apart file</v>
      </c>
    </row>
    <row r="3" spans="1:13" x14ac:dyDescent="0.25">
      <c r="A3" t="s">
        <v>34</v>
      </c>
      <c r="B3" t="s">
        <v>1</v>
      </c>
      <c r="E3" s="1"/>
      <c r="F3" s="1"/>
    </row>
    <row r="6" spans="1:13" x14ac:dyDescent="0.25">
      <c r="A6" t="s">
        <v>33</v>
      </c>
      <c r="B6" t="e">
        <f>#REF!</f>
        <v>#REF!</v>
      </c>
      <c r="E6" s="1" t="e">
        <f>HYPERLINK('General variables'!$B$4&amp;ALL_OPE!B7&amp;".bld","Link to apart file")</f>
        <v>#REF!</v>
      </c>
    </row>
    <row r="7" spans="1:13" x14ac:dyDescent="0.25">
      <c r="A7" t="s">
        <v>34</v>
      </c>
      <c r="B7" t="e">
        <f>#REF!</f>
        <v>#REF!</v>
      </c>
      <c r="E7" s="1"/>
    </row>
    <row r="8" spans="1:13" s="8" customFormat="1" x14ac:dyDescent="0.25">
      <c r="A8" s="8" t="s">
        <v>83</v>
      </c>
      <c r="B8" s="9" t="s">
        <v>131</v>
      </c>
    </row>
    <row r="9" spans="1:13" s="10" customFormat="1" x14ac:dyDescent="0.25">
      <c r="B9" s="11" t="s">
        <v>96</v>
      </c>
    </row>
    <row r="10" spans="1:13" s="10" customFormat="1" x14ac:dyDescent="0.25">
      <c r="B10" s="11" t="s">
        <v>374</v>
      </c>
    </row>
    <row r="11" spans="1:13" s="10" customFormat="1" x14ac:dyDescent="0.25">
      <c r="B11" s="11" t="s">
        <v>315</v>
      </c>
    </row>
    <row r="12" spans="1:13" s="10" customFormat="1" x14ac:dyDescent="0.25">
      <c r="B12" s="11" t="s">
        <v>133</v>
      </c>
    </row>
    <row r="13" spans="1:13" s="10" customFormat="1" x14ac:dyDescent="0.25">
      <c r="B13" s="11" t="s">
        <v>313</v>
      </c>
    </row>
    <row r="14" spans="1:13" s="10" customFormat="1" x14ac:dyDescent="0.25">
      <c r="B14" s="11" t="s">
        <v>127</v>
      </c>
    </row>
    <row r="15" spans="1:13" x14ac:dyDescent="0.25">
      <c r="A15" t="s">
        <v>85</v>
      </c>
      <c r="B15" t="s">
        <v>86</v>
      </c>
      <c r="C15" t="s">
        <v>87</v>
      </c>
      <c r="D15" t="s">
        <v>8</v>
      </c>
      <c r="E15" t="s">
        <v>10</v>
      </c>
      <c r="F15" t="s">
        <v>11</v>
      </c>
      <c r="G15" t="s">
        <v>27</v>
      </c>
      <c r="H15" t="s">
        <v>141</v>
      </c>
      <c r="I15" t="s">
        <v>26</v>
      </c>
      <c r="J15" t="s">
        <v>24</v>
      </c>
      <c r="K15" t="s">
        <v>25</v>
      </c>
      <c r="L15" t="s">
        <v>82</v>
      </c>
      <c r="M15" t="s">
        <v>32</v>
      </c>
    </row>
    <row r="16" spans="1:13" x14ac:dyDescent="0.25">
      <c r="A16" t="str">
        <f>PV!A3</f>
        <v>Solar PV panels</v>
      </c>
      <c r="B16" s="2">
        <v>3</v>
      </c>
      <c r="C16">
        <v>3</v>
      </c>
      <c r="D16" t="s">
        <v>97</v>
      </c>
      <c r="E16" s="2">
        <f>PV!E3/PV!C3*Table4691113151718202122[[#This Row],[Delivered qtty]]</f>
        <v>111.44499999999999</v>
      </c>
      <c r="F16" s="2">
        <f>Table4691113151718202122[[#This Row],[IEE (GJ)]]</f>
        <v>111.44499999999999</v>
      </c>
      <c r="G16" s="2">
        <f>Table4691113151718202122[[#This Row],[REE (GJ/50 years)]]+Table4691113151718202122[[#This Row],[IEE (GJ)]]</f>
        <v>222.89</v>
      </c>
      <c r="H16" s="13"/>
      <c r="M16">
        <f>K16+J16</f>
        <v>0</v>
      </c>
    </row>
    <row r="17" spans="1:13" x14ac:dyDescent="0.25">
      <c r="A17" t="str">
        <f>PV!A4</f>
        <v>APS</v>
      </c>
      <c r="B17" s="2">
        <v>1</v>
      </c>
      <c r="C17">
        <v>1</v>
      </c>
      <c r="E17" s="2"/>
      <c r="F17" s="2"/>
      <c r="G17" s="2"/>
      <c r="H17" s="13"/>
      <c r="M17">
        <f>K17+J17</f>
        <v>0</v>
      </c>
    </row>
    <row r="18" spans="1:13" ht="14.25" customHeight="1" x14ac:dyDescent="0.25">
      <c r="A18" t="str">
        <f>PV!A5</f>
        <v>Inverter</v>
      </c>
      <c r="B18" s="2">
        <v>1</v>
      </c>
      <c r="C18">
        <v>1</v>
      </c>
      <c r="D18" t="s">
        <v>97</v>
      </c>
      <c r="E18" s="2">
        <f>PV!E5</f>
        <v>6.15</v>
      </c>
      <c r="F18" s="2">
        <f>PV!F5</f>
        <v>24.6</v>
      </c>
      <c r="G18" s="2">
        <f>Table4691113151718202122[[#This Row],[REE (GJ/50 years)]]+Table4691113151718202122[[#This Row],[IEE (GJ)]]</f>
        <v>30.75</v>
      </c>
      <c r="H18" s="13"/>
      <c r="M18">
        <f>K18+J18</f>
        <v>0</v>
      </c>
    </row>
    <row r="19" spans="1:13" x14ac:dyDescent="0.25">
      <c r="A19" t="str">
        <f>PV!A6</f>
        <v>Deep cycle batteries 270 Ah (10 years lifespan - 7 years warranty)</v>
      </c>
      <c r="B19" s="2"/>
      <c r="E19" s="2">
        <f>PV!E6</f>
        <v>37.68</v>
      </c>
      <c r="F19" s="2">
        <f>PV!F6</f>
        <v>150.72</v>
      </c>
      <c r="G19" s="2">
        <f>Table4691113151718202122[[#This Row],[REE (GJ/50 years)]]+Table4691113151718202122[[#This Row],[IEE (GJ)]]</f>
        <v>188.4</v>
      </c>
      <c r="H19" s="13"/>
      <c r="M19">
        <f>K19+J19</f>
        <v>0</v>
      </c>
    </row>
    <row r="20" spans="1:13" x14ac:dyDescent="0.25">
      <c r="A20" t="s">
        <v>317</v>
      </c>
      <c r="B20" s="2"/>
      <c r="E20" s="2"/>
      <c r="F20" s="2"/>
      <c r="G20" s="2"/>
      <c r="H20" s="13">
        <f>B46*3.6/1000*50*-1</f>
        <v>-271.19180921052629</v>
      </c>
      <c r="I20">
        <f>Table4691113151718202122[[#This Row],[Delivered  energy (GJ/50 years)]]*'General variables'!$B$9</f>
        <v>-1030.5288749999997</v>
      </c>
      <c r="M20">
        <f>K20+J20</f>
        <v>0</v>
      </c>
    </row>
    <row r="21" spans="1:13" x14ac:dyDescent="0.25">
      <c r="A21" t="s">
        <v>137</v>
      </c>
      <c r="B21" s="2">
        <v>1</v>
      </c>
      <c r="C21">
        <v>1</v>
      </c>
      <c r="D21" t="s">
        <v>97</v>
      </c>
      <c r="E21" s="2">
        <f t="shared" ref="E21" si="0">28.4+5.9</f>
        <v>34.299999999999997</v>
      </c>
      <c r="F21" s="2">
        <f>Table4691113151718202122[[#This Row],[IEE (GJ)]]</f>
        <v>34.299999999999997</v>
      </c>
      <c r="G21" s="2">
        <f>Table4691113151718202122[[#This Row],[REE (GJ/50 years)]]+Table4691113151718202122[[#This Row],[IEE (GJ)]]</f>
        <v>68.599999999999994</v>
      </c>
      <c r="H21" s="13">
        <f>Table4691113151718202122[[#This Row],[Primary OPE (GJ/50 years)]]/'General variables'!$B$10</f>
        <v>0</v>
      </c>
      <c r="M21">
        <f t="shared" ref="M21:M36" si="1">K21+J21</f>
        <v>0</v>
      </c>
    </row>
    <row r="22" spans="1:13" x14ac:dyDescent="0.25">
      <c r="A22" t="s">
        <v>138</v>
      </c>
      <c r="B22" s="2">
        <v>1</v>
      </c>
      <c r="C22">
        <v>1</v>
      </c>
      <c r="D22" t="s">
        <v>97</v>
      </c>
      <c r="E22" s="2">
        <v>-6</v>
      </c>
      <c r="F22" s="2">
        <f>Table4691113151718202122[[#This Row],[IEE (GJ)]]</f>
        <v>-6</v>
      </c>
      <c r="G22" s="2">
        <f>Table4691113151718202122[[#This Row],[REE (GJ/50 years)]]+Table4691113151718202122[[#This Row],[IEE (GJ)]]</f>
        <v>-12</v>
      </c>
      <c r="H22" s="13">
        <f>Table4691113151718202122[[#This Row],[Primary OPE (GJ/50 years)]]/'General variables'!$B$10</f>
        <v>0</v>
      </c>
      <c r="M22">
        <f t="shared" si="1"/>
        <v>0</v>
      </c>
    </row>
    <row r="23" spans="1:13" x14ac:dyDescent="0.25">
      <c r="A23" t="s">
        <v>128</v>
      </c>
      <c r="B23" s="2">
        <v>6</v>
      </c>
      <c r="D23" t="s">
        <v>18</v>
      </c>
      <c r="E23" s="2">
        <v>46.2</v>
      </c>
      <c r="F23" s="2">
        <v>0</v>
      </c>
      <c r="G23" s="2">
        <f>Table4691113151718202122[[#This Row],[IEE (GJ)]]+Table4691113151718202122[[#This Row],[REE (GJ/50 years)]]</f>
        <v>46.2</v>
      </c>
      <c r="H23" s="13"/>
      <c r="M23">
        <f t="shared" si="1"/>
        <v>0</v>
      </c>
    </row>
    <row r="24" spans="1:13" x14ac:dyDescent="0.25">
      <c r="A24" t="s">
        <v>147</v>
      </c>
      <c r="B24" s="2"/>
      <c r="E24" s="2"/>
      <c r="F24" s="2">
        <f>Table4691113151718202122[[#This Row],[IEE (GJ)]]</f>
        <v>0</v>
      </c>
      <c r="G24" s="2">
        <f>Table4691113151718202122[[#This Row],[REE (GJ/50 years)]]+Table4691113151718202122[[#This Row],[IEE (GJ)]]</f>
        <v>0</v>
      </c>
      <c r="H24" s="12">
        <v>-653.99999999999989</v>
      </c>
      <c r="I24">
        <f>Table4691113151718202122[[#This Row],[Delivered  energy (GJ/50 years)]]*'General variables'!$B$10</f>
        <v>-719.4</v>
      </c>
      <c r="M24">
        <f t="shared" si="1"/>
        <v>0</v>
      </c>
    </row>
    <row r="25" spans="1:13" x14ac:dyDescent="0.25">
      <c r="A25" t="s">
        <v>148</v>
      </c>
      <c r="B25" s="2"/>
      <c r="E25" s="2"/>
      <c r="F25" s="2"/>
      <c r="G25" s="2"/>
      <c r="H25" s="13">
        <v>-297.10526315789474</v>
      </c>
      <c r="I25">
        <f>Table4691113151718202122[[#This Row],[Delivered  energy (GJ/50 years)]]*'General variables'!$B$9</f>
        <v>-1129</v>
      </c>
      <c r="M25">
        <f t="shared" si="1"/>
        <v>0</v>
      </c>
    </row>
    <row r="26" spans="1:13" x14ac:dyDescent="0.25">
      <c r="A26" t="s">
        <v>149</v>
      </c>
      <c r="B26" s="2"/>
      <c r="E26" s="2"/>
      <c r="F26" s="2"/>
      <c r="G26" s="2"/>
      <c r="H26" s="13">
        <v>-534.73684210526324</v>
      </c>
      <c r="I26">
        <f>Table4691113151718202122[[#This Row],[Delivered  energy (GJ/50 years)]]*'General variables'!$B$9</f>
        <v>-2032.0000000000002</v>
      </c>
      <c r="M26">
        <f t="shared" si="1"/>
        <v>0</v>
      </c>
    </row>
    <row r="27" spans="1:13" x14ac:dyDescent="0.25">
      <c r="A27" t="s">
        <v>150</v>
      </c>
      <c r="B27" s="2"/>
      <c r="E27" s="2"/>
      <c r="F27" s="2"/>
      <c r="G27" s="2"/>
      <c r="H27" s="13">
        <v>-47.289473684210527</v>
      </c>
      <c r="I27">
        <f>Table4691113151718202122[[#This Row],[Delivered  energy (GJ/50 years)]]*'General variables'!$B$9</f>
        <v>-179.7</v>
      </c>
      <c r="M27">
        <f t="shared" si="1"/>
        <v>0</v>
      </c>
    </row>
    <row r="28" spans="1:13" x14ac:dyDescent="0.25">
      <c r="A28" t="s">
        <v>151</v>
      </c>
      <c r="B28" s="2"/>
      <c r="E28" s="2"/>
      <c r="F28" s="2"/>
      <c r="G28" s="2"/>
      <c r="H28" s="12">
        <v>-219</v>
      </c>
      <c r="I28">
        <f>Table4691113151718202122[[#This Row],[Delivered  energy (GJ/50 years)]]*'General variables'!$B$10</f>
        <v>-240.9</v>
      </c>
      <c r="M28">
        <f t="shared" si="1"/>
        <v>0</v>
      </c>
    </row>
    <row r="29" spans="1:13" x14ac:dyDescent="0.25">
      <c r="A29" t="s">
        <v>152</v>
      </c>
      <c r="B29" s="2"/>
      <c r="E29" s="2"/>
      <c r="F29" s="2"/>
      <c r="G29" s="2"/>
      <c r="H29" s="13">
        <v>-302.89473684210526</v>
      </c>
      <c r="I29">
        <f>Table4691113151718202122[[#This Row],[Delivered  energy (GJ/50 years)]]*'General variables'!$B$9</f>
        <v>-1151</v>
      </c>
      <c r="M29">
        <f t="shared" si="1"/>
        <v>0</v>
      </c>
    </row>
    <row r="30" spans="1:13" ht="14.25" customHeight="1" x14ac:dyDescent="0.25">
      <c r="A30" s="3" t="s">
        <v>129</v>
      </c>
      <c r="B30" s="4"/>
      <c r="D30" s="3"/>
      <c r="E30" s="4"/>
      <c r="F30" s="2"/>
      <c r="G30" s="4"/>
      <c r="H30" s="12">
        <v>436.36363636363632</v>
      </c>
      <c r="I30" s="3">
        <f>Table4691113151718202122[[#This Row],[Delivered  energy (GJ/50 years)]]*'General variables'!$B$10</f>
        <v>480</v>
      </c>
      <c r="J30" s="3"/>
      <c r="K30" s="3"/>
      <c r="L30" s="3"/>
      <c r="M30" s="3">
        <f t="shared" si="1"/>
        <v>0</v>
      </c>
    </row>
    <row r="31" spans="1:13" x14ac:dyDescent="0.25">
      <c r="A31" s="3" t="s">
        <v>130</v>
      </c>
      <c r="B31" s="4"/>
      <c r="D31" s="3"/>
      <c r="E31" s="4"/>
      <c r="F31" s="2"/>
      <c r="G31" s="4"/>
      <c r="H31" s="19">
        <v>107.18421052631579</v>
      </c>
      <c r="I31" s="3">
        <f>Table4691113151718202122[[#This Row],[Delivered  energy (GJ/50 years)]]*'General variables'!$B$9</f>
        <v>407.3</v>
      </c>
      <c r="J31" s="3"/>
      <c r="K31" s="3"/>
      <c r="L31" s="3"/>
      <c r="M31" s="3">
        <f t="shared" si="1"/>
        <v>0</v>
      </c>
    </row>
    <row r="32" spans="1:13" x14ac:dyDescent="0.25">
      <c r="A32" t="s">
        <v>134</v>
      </c>
      <c r="B32" s="4"/>
      <c r="D32" s="3"/>
      <c r="E32" s="4"/>
      <c r="F32" s="2"/>
      <c r="G32" s="4"/>
      <c r="H32" s="12">
        <v>59.454545454545453</v>
      </c>
      <c r="I32">
        <f>Table4691113151718202122[[#This Row],[Delivered  energy (GJ/50 years)]]*'General variables'!$B$10</f>
        <v>65.400000000000006</v>
      </c>
      <c r="J32" s="3"/>
      <c r="K32" s="3"/>
      <c r="L32" s="3"/>
      <c r="M32" s="3">
        <f t="shared" si="1"/>
        <v>0</v>
      </c>
    </row>
    <row r="33" spans="1:13" x14ac:dyDescent="0.25">
      <c r="A33" s="7" t="s">
        <v>312</v>
      </c>
      <c r="B33" s="4"/>
      <c r="D33" s="3"/>
      <c r="E33" s="4"/>
      <c r="F33" s="2"/>
      <c r="G33" s="4"/>
      <c r="H33" s="13">
        <v>8.2181250000000006</v>
      </c>
      <c r="I33">
        <f>Table4691113151718202122[[#This Row],[Delivered  energy (GJ/50 years)]]*'General variables'!$B$9</f>
        <v>31.228875000000002</v>
      </c>
      <c r="J33" s="3"/>
      <c r="K33" s="3"/>
      <c r="L33" s="3"/>
      <c r="M33" s="3">
        <f>K33+J33</f>
        <v>0</v>
      </c>
    </row>
    <row r="34" spans="1:13" ht="15.75" customHeight="1" x14ac:dyDescent="0.25">
      <c r="A34" t="s">
        <v>135</v>
      </c>
      <c r="B34" s="4"/>
      <c r="C34" s="3"/>
      <c r="D34" s="3"/>
      <c r="E34" s="4"/>
      <c r="F34" s="4"/>
      <c r="G34" s="4"/>
      <c r="H34" s="13">
        <v>27.578947368421055</v>
      </c>
      <c r="I34">
        <f>Table4691113151718202122[[#This Row],[Delivered  energy (GJ/50 years)]]*'General variables'!$B$9</f>
        <v>104.8</v>
      </c>
      <c r="J34" s="3"/>
      <c r="K34" s="3"/>
      <c r="L34" s="3"/>
      <c r="M34" s="3">
        <f t="shared" si="1"/>
        <v>0</v>
      </c>
    </row>
    <row r="35" spans="1:13" ht="15.75" customHeight="1" x14ac:dyDescent="0.25">
      <c r="A35" t="s">
        <v>136</v>
      </c>
      <c r="B35" s="4"/>
      <c r="C35" s="3"/>
      <c r="D35" s="3"/>
      <c r="E35" s="4"/>
      <c r="F35" s="4"/>
      <c r="G35" s="4"/>
      <c r="H35" s="12">
        <v>175.18181818181816</v>
      </c>
      <c r="I35">
        <f>Table4691113151718202122[[#This Row],[Delivered  energy (GJ/50 years)]]*'General variables'!$B$10</f>
        <v>192.7</v>
      </c>
      <c r="J35" s="3"/>
      <c r="K35" s="3"/>
      <c r="L35" s="3"/>
      <c r="M35" s="3">
        <f t="shared" si="1"/>
        <v>0</v>
      </c>
    </row>
    <row r="36" spans="1:13" x14ac:dyDescent="0.25">
      <c r="A36" t="s">
        <v>140</v>
      </c>
      <c r="B36" s="4"/>
      <c r="C36" s="3"/>
      <c r="D36" s="3"/>
      <c r="E36" s="4"/>
      <c r="F36" s="4"/>
      <c r="G36" s="4"/>
      <c r="H36" s="13">
        <v>128.21052631578948</v>
      </c>
      <c r="I36">
        <f>Table4691113151718202122[[#This Row],[Delivered  energy (GJ/50 years)]]*'General variables'!$B$9</f>
        <v>487.2</v>
      </c>
      <c r="J36" s="3"/>
      <c r="K36" s="3"/>
      <c r="L36" s="3"/>
      <c r="M36" s="3">
        <f t="shared" si="1"/>
        <v>0</v>
      </c>
    </row>
    <row r="37" spans="1:13" x14ac:dyDescent="0.25">
      <c r="F37" t="s">
        <v>94</v>
      </c>
      <c r="G37" s="6">
        <f>SUM(Table4691113151718202122[LCEE (GJ/50 years)])</f>
        <v>544.84</v>
      </c>
      <c r="H37" s="6"/>
      <c r="I37" s="6">
        <f>SUM(Table4691113151718202122[Primary OPE (GJ/50 years)])</f>
        <v>-4713.8999999999996</v>
      </c>
    </row>
    <row r="38" spans="1:13" x14ac:dyDescent="0.25">
      <c r="F38" t="s">
        <v>100</v>
      </c>
      <c r="G38" s="6">
        <f>G37+I37</f>
        <v>-4169.0599999999995</v>
      </c>
      <c r="H38" s="6"/>
    </row>
    <row r="39" spans="1:13" x14ac:dyDescent="0.25">
      <c r="A39" s="1"/>
      <c r="B39" s="7"/>
      <c r="H39" s="21"/>
    </row>
    <row r="40" spans="1:13" x14ac:dyDescent="0.25">
      <c r="B40" s="7"/>
    </row>
    <row r="41" spans="1:13" x14ac:dyDescent="0.25">
      <c r="A41" t="s">
        <v>88</v>
      </c>
      <c r="B41" s="7" t="s">
        <v>143</v>
      </c>
      <c r="I41" s="13"/>
    </row>
    <row r="42" spans="1:13" x14ac:dyDescent="0.25">
      <c r="B42" s="7" t="s">
        <v>142</v>
      </c>
    </row>
    <row r="43" spans="1:13" x14ac:dyDescent="0.25">
      <c r="B43" s="7"/>
    </row>
    <row r="44" spans="1:13" x14ac:dyDescent="0.25">
      <c r="B44" s="7"/>
    </row>
    <row r="45" spans="1:13" x14ac:dyDescent="0.25">
      <c r="A45" s="23" t="s">
        <v>163</v>
      </c>
      <c r="B45" s="24"/>
      <c r="C45" s="25"/>
      <c r="D45" s="25"/>
      <c r="E45" s="25"/>
      <c r="F45" s="26"/>
      <c r="H45" s="20"/>
    </row>
    <row r="46" spans="1:13" x14ac:dyDescent="0.25">
      <c r="A46" s="27" t="s">
        <v>180</v>
      </c>
      <c r="B46" s="3">
        <f>(H31+H33+H34+H36)/3.6*1000/50</f>
        <v>1506.6211622807016</v>
      </c>
      <c r="C46" s="3" t="s">
        <v>200</v>
      </c>
      <c r="D46" s="3"/>
      <c r="E46" s="3"/>
      <c r="F46" s="28"/>
    </row>
    <row r="47" spans="1:13" x14ac:dyDescent="0.25">
      <c r="A47" s="27" t="s">
        <v>164</v>
      </c>
      <c r="B47" s="3"/>
      <c r="C47" s="3"/>
      <c r="D47" s="3"/>
      <c r="E47" s="3"/>
      <c r="F47" s="28"/>
    </row>
    <row r="48" spans="1:13" x14ac:dyDescent="0.25">
      <c r="A48" s="27" t="s">
        <v>181</v>
      </c>
      <c r="B48" s="3">
        <v>3</v>
      </c>
      <c r="C48" s="3" t="s">
        <v>169</v>
      </c>
      <c r="D48" s="3" t="s">
        <v>182</v>
      </c>
      <c r="E48" s="3">
        <v>1</v>
      </c>
      <c r="F48" s="28" t="s">
        <v>183</v>
      </c>
    </row>
    <row r="49" spans="1:6" x14ac:dyDescent="0.25">
      <c r="A49" s="27" t="s">
        <v>165</v>
      </c>
      <c r="B49" s="3">
        <f>1*0.8*1800</f>
        <v>1440</v>
      </c>
      <c r="C49" s="3" t="s">
        <v>166</v>
      </c>
      <c r="D49" s="3"/>
      <c r="E49" s="3"/>
      <c r="F49" s="28"/>
    </row>
    <row r="50" spans="1:6" x14ac:dyDescent="0.25">
      <c r="A50" s="27" t="s">
        <v>184</v>
      </c>
      <c r="B50" s="3">
        <f>B46</f>
        <v>1506.6211622807016</v>
      </c>
      <c r="C50" s="3" t="s">
        <v>166</v>
      </c>
      <c r="D50" s="3"/>
      <c r="E50" s="3"/>
      <c r="F50" s="28"/>
    </row>
    <row r="51" spans="1:6" x14ac:dyDescent="0.25">
      <c r="A51" s="27" t="s">
        <v>168</v>
      </c>
      <c r="B51" s="3">
        <f>B49/B50</f>
        <v>0.95578107891445552</v>
      </c>
      <c r="C51" s="3"/>
      <c r="D51" s="3"/>
      <c r="E51" s="3"/>
      <c r="F51" s="28"/>
    </row>
    <row r="52" spans="1:6" x14ac:dyDescent="0.25">
      <c r="A52" s="73" t="s">
        <v>185</v>
      </c>
      <c r="B52" s="74">
        <v>1</v>
      </c>
      <c r="C52" s="74" t="s">
        <v>186</v>
      </c>
      <c r="D52" s="74"/>
      <c r="E52" s="3"/>
      <c r="F52" s="28"/>
    </row>
    <row r="53" spans="1:6" x14ac:dyDescent="0.25">
      <c r="A53" s="73" t="s">
        <v>187</v>
      </c>
      <c r="B53" s="74">
        <f>0.388*1800*0.8</f>
        <v>558.72</v>
      </c>
      <c r="C53" s="74" t="s">
        <v>188</v>
      </c>
      <c r="D53" s="74"/>
      <c r="E53" s="3"/>
      <c r="F53" s="28"/>
    </row>
    <row r="54" spans="1:6" x14ac:dyDescent="0.25">
      <c r="A54" s="73" t="s">
        <v>197</v>
      </c>
      <c r="B54" s="74">
        <f>B53/16*100</f>
        <v>3492</v>
      </c>
      <c r="C54" s="74" t="s">
        <v>189</v>
      </c>
      <c r="D54" s="74"/>
      <c r="E54" s="3"/>
      <c r="F54" s="28"/>
    </row>
    <row r="55" spans="1:6" x14ac:dyDescent="0.25">
      <c r="A55" s="73" t="s">
        <v>190</v>
      </c>
      <c r="B55" s="74">
        <f>B53*50*3.6/1000</f>
        <v>100.56960000000001</v>
      </c>
      <c r="C55" s="74" t="s">
        <v>89</v>
      </c>
      <c r="D55" s="74" t="s">
        <v>198</v>
      </c>
      <c r="E55" s="3"/>
      <c r="F55" s="28"/>
    </row>
    <row r="56" spans="1:6" x14ac:dyDescent="0.25">
      <c r="A56" s="73" t="s">
        <v>191</v>
      </c>
      <c r="B56" s="74">
        <f>81*2</f>
        <v>162</v>
      </c>
      <c r="C56" s="74" t="s">
        <v>89</v>
      </c>
      <c r="D56" s="74" t="s">
        <v>192</v>
      </c>
      <c r="E56" s="3"/>
      <c r="F56" s="28"/>
    </row>
    <row r="57" spans="1:6" x14ac:dyDescent="0.25">
      <c r="A57" s="73" t="s">
        <v>193</v>
      </c>
      <c r="B57" s="74"/>
      <c r="C57" s="74"/>
      <c r="D57" s="74"/>
      <c r="E57" s="3"/>
      <c r="F57" s="28"/>
    </row>
    <row r="58" spans="1:6" x14ac:dyDescent="0.25">
      <c r="A58" s="27" t="s">
        <v>194</v>
      </c>
      <c r="B58" s="3">
        <v>3</v>
      </c>
      <c r="C58" s="3" t="s">
        <v>195</v>
      </c>
      <c r="D58" s="3"/>
      <c r="E58" s="3"/>
      <c r="F58" s="28"/>
    </row>
    <row r="59" spans="1:6" x14ac:dyDescent="0.25">
      <c r="A59" s="29"/>
      <c r="B59" s="30">
        <v>1</v>
      </c>
      <c r="C59" s="30" t="s">
        <v>196</v>
      </c>
      <c r="D59" s="30"/>
      <c r="E59" s="30"/>
      <c r="F59" s="31"/>
    </row>
  </sheetData>
  <conditionalFormatting sqref="I37 G37:H38">
    <cfRule type="cellIs" dxfId="97" priority="5" operator="lessThan">
      <formula>0</formula>
    </cfRule>
    <cfRule type="cellIs" dxfId="96" priority="6" operator="greaterThan">
      <formula>0</formula>
    </cfRule>
  </conditionalFormatting>
  <hyperlinks>
    <hyperlink ref="A1" location="'Summary sheet'!A1" display="Link to summary sheet" xr:uid="{00000000-0004-0000-0D00-000000000000}"/>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3"/>
  <sheetViews>
    <sheetView topLeftCell="A46" zoomScale="80" zoomScaleNormal="80" workbookViewId="0">
      <selection activeCell="I34" sqref="I34"/>
    </sheetView>
  </sheetViews>
  <sheetFormatPr defaultRowHeight="15" x14ac:dyDescent="0.25"/>
  <cols>
    <col min="1" max="1" width="74.42578125" bestFit="1"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39.5703125" bestFit="1" customWidth="1"/>
    <col min="9" max="9" width="26.28515625" customWidth="1"/>
    <col min="10" max="10" width="26.140625" customWidth="1"/>
    <col min="11" max="11" width="31.5703125" customWidth="1"/>
    <col min="12" max="12" width="34.140625" customWidth="1"/>
    <col min="13" max="13" width="34.140625" bestFit="1" customWidth="1"/>
    <col min="14" max="14" width="11.5703125" customWidth="1"/>
  </cols>
  <sheetData>
    <row r="1" spans="1:6" x14ac:dyDescent="0.25">
      <c r="A1" s="1" t="s">
        <v>7</v>
      </c>
    </row>
    <row r="2" spans="1:6" x14ac:dyDescent="0.25">
      <c r="A2" t="s">
        <v>33</v>
      </c>
      <c r="B2" t="s">
        <v>0</v>
      </c>
      <c r="E2" s="1" t="str">
        <f>HYPERLINK('General variables'!$B$4&amp;ALL_PV!B3&amp;".bld","Link to apart file")</f>
        <v>Link to apart file</v>
      </c>
    </row>
    <row r="3" spans="1:6" x14ac:dyDescent="0.25">
      <c r="A3" t="s">
        <v>34</v>
      </c>
      <c r="B3" t="s">
        <v>1</v>
      </c>
      <c r="E3" s="1"/>
      <c r="F3" s="1"/>
    </row>
    <row r="6" spans="1:6" x14ac:dyDescent="0.25">
      <c r="A6" t="s">
        <v>33</v>
      </c>
      <c r="B6" t="e">
        <f>#REF!</f>
        <v>#REF!</v>
      </c>
      <c r="E6" s="1" t="e">
        <f>HYPERLINK('General variables'!$B$4&amp;ALL_PV!B7&amp;".bld","Link to apart file")</f>
        <v>#REF!</v>
      </c>
    </row>
    <row r="7" spans="1:6" x14ac:dyDescent="0.25">
      <c r="A7" t="s">
        <v>34</v>
      </c>
      <c r="B7" t="e">
        <f>#REF!</f>
        <v>#REF!</v>
      </c>
      <c r="E7" s="1"/>
    </row>
    <row r="8" spans="1:6" s="8" customFormat="1" x14ac:dyDescent="0.25">
      <c r="A8" s="8" t="s">
        <v>83</v>
      </c>
      <c r="B8" s="9" t="s">
        <v>316</v>
      </c>
    </row>
    <row r="9" spans="1:6" s="10" customFormat="1" x14ac:dyDescent="0.25">
      <c r="B9" s="11" t="s">
        <v>84</v>
      </c>
    </row>
    <row r="10" spans="1:6" s="10" customFormat="1" x14ac:dyDescent="0.25">
      <c r="B10" s="11" t="s">
        <v>175</v>
      </c>
    </row>
    <row r="11" spans="1:6" s="10" customFormat="1" x14ac:dyDescent="0.25">
      <c r="B11" s="11" t="s">
        <v>95</v>
      </c>
    </row>
    <row r="12" spans="1:6" s="10" customFormat="1" x14ac:dyDescent="0.25">
      <c r="B12" s="11" t="s">
        <v>176</v>
      </c>
    </row>
    <row r="13" spans="1:6" s="10" customFormat="1" x14ac:dyDescent="0.25">
      <c r="B13" s="11" t="s">
        <v>96</v>
      </c>
    </row>
    <row r="14" spans="1:6" s="10" customFormat="1" x14ac:dyDescent="0.25">
      <c r="B14" s="11" t="s">
        <v>132</v>
      </c>
    </row>
    <row r="15" spans="1:6" s="10" customFormat="1" x14ac:dyDescent="0.25">
      <c r="B15" s="11" t="s">
        <v>314</v>
      </c>
    </row>
    <row r="16" spans="1:6" s="10" customFormat="1" x14ac:dyDescent="0.25">
      <c r="B16" s="11" t="s">
        <v>133</v>
      </c>
    </row>
    <row r="17" spans="1:16" s="10" customFormat="1" x14ac:dyDescent="0.25">
      <c r="B17" s="11" t="s">
        <v>313</v>
      </c>
    </row>
    <row r="18" spans="1:16" s="10" customFormat="1" x14ac:dyDescent="0.25">
      <c r="B18" s="11" t="s">
        <v>127</v>
      </c>
    </row>
    <row r="19" spans="1:16" s="10" customFormat="1" x14ac:dyDescent="0.25">
      <c r="B19" s="11" t="s">
        <v>144</v>
      </c>
    </row>
    <row r="20" spans="1:16" s="10" customFormat="1" x14ac:dyDescent="0.25">
      <c r="B20" s="11" t="s">
        <v>177</v>
      </c>
    </row>
    <row r="21" spans="1:16" s="10" customFormat="1" x14ac:dyDescent="0.25">
      <c r="B21" s="11" t="s">
        <v>178</v>
      </c>
    </row>
    <row r="22" spans="1:16" x14ac:dyDescent="0.25">
      <c r="A22" t="s">
        <v>85</v>
      </c>
      <c r="B22" t="s">
        <v>86</v>
      </c>
      <c r="C22" t="s">
        <v>87</v>
      </c>
      <c r="D22" t="s">
        <v>8</v>
      </c>
      <c r="E22" t="s">
        <v>10</v>
      </c>
      <c r="F22" t="s">
        <v>11</v>
      </c>
      <c r="G22" t="s">
        <v>27</v>
      </c>
      <c r="H22" t="s">
        <v>141</v>
      </c>
      <c r="I22" t="s">
        <v>26</v>
      </c>
      <c r="J22" t="s">
        <v>179</v>
      </c>
      <c r="K22" t="s">
        <v>145</v>
      </c>
      <c r="L22" t="s">
        <v>28</v>
      </c>
      <c r="M22" t="s">
        <v>24</v>
      </c>
      <c r="N22" t="s">
        <v>25</v>
      </c>
      <c r="O22" t="s">
        <v>82</v>
      </c>
      <c r="P22" t="s">
        <v>32</v>
      </c>
    </row>
    <row r="23" spans="1:16" x14ac:dyDescent="0.25">
      <c r="A23" t="s">
        <v>373</v>
      </c>
      <c r="B23" s="2"/>
      <c r="E23" s="2"/>
      <c r="F23" s="2"/>
      <c r="G23" s="2">
        <v>-102</v>
      </c>
      <c r="H23" s="13"/>
      <c r="M23" s="2"/>
      <c r="P23">
        <f t="shared" ref="P23:P28" si="0">N23+M23</f>
        <v>0</v>
      </c>
    </row>
    <row r="24" spans="1:16" x14ac:dyDescent="0.25">
      <c r="A24" t="str">
        <f>PV!A3</f>
        <v>Solar PV panels</v>
      </c>
      <c r="B24" s="2">
        <v>3</v>
      </c>
      <c r="C24">
        <v>3</v>
      </c>
      <c r="D24" t="s">
        <v>97</v>
      </c>
      <c r="E24" s="2">
        <f>PV!E3/3</f>
        <v>81.579287847222218</v>
      </c>
      <c r="F24" s="2">
        <f>Table46911131517182021222729[[#This Row],[IEE (GJ)]]</f>
        <v>81.579287847222218</v>
      </c>
      <c r="G24" s="2">
        <f>Table46911131517182021222729[[#This Row],[REE (GJ/50 years)]]+Table46911131517182021222729[[#This Row],[IEE (GJ)]]</f>
        <v>163.15857569444444</v>
      </c>
      <c r="H24" s="13"/>
      <c r="M24" s="2"/>
      <c r="P24">
        <f t="shared" si="0"/>
        <v>0</v>
      </c>
    </row>
    <row r="25" spans="1:16" x14ac:dyDescent="0.25">
      <c r="A25" t="str">
        <f>PV!A4</f>
        <v>APS</v>
      </c>
      <c r="B25" s="2">
        <v>1</v>
      </c>
      <c r="C25">
        <v>1</v>
      </c>
      <c r="E25" s="2"/>
      <c r="F25" s="2"/>
      <c r="G25" s="2"/>
      <c r="H25" s="13"/>
      <c r="M25" s="2"/>
      <c r="P25">
        <f t="shared" si="0"/>
        <v>0</v>
      </c>
    </row>
    <row r="26" spans="1:16" x14ac:dyDescent="0.25">
      <c r="A26" t="str">
        <f>PV!A5</f>
        <v>Inverter</v>
      </c>
      <c r="B26" s="2">
        <v>1</v>
      </c>
      <c r="C26">
        <v>1</v>
      </c>
      <c r="D26" t="s">
        <v>97</v>
      </c>
      <c r="E26" s="2">
        <f>PV!E5</f>
        <v>6.15</v>
      </c>
      <c r="F26" s="2">
        <f>PV!F5</f>
        <v>24.6</v>
      </c>
      <c r="G26" s="2">
        <f>Table46911131517182021222729[[#This Row],[REE (GJ/50 years)]]+Table46911131517182021222729[[#This Row],[IEE (GJ)]]</f>
        <v>30.75</v>
      </c>
      <c r="H26" s="13"/>
      <c r="M26" s="2"/>
      <c r="P26">
        <f t="shared" si="0"/>
        <v>0</v>
      </c>
    </row>
    <row r="27" spans="1:16" x14ac:dyDescent="0.25">
      <c r="A27" t="str">
        <f>PV!A6</f>
        <v>Deep cycle batteries 270 Ah (10 years lifespan - 7 years warranty)</v>
      </c>
      <c r="B27" s="2">
        <v>12</v>
      </c>
      <c r="E27" s="2">
        <f>PV!E6</f>
        <v>37.68</v>
      </c>
      <c r="F27" s="2">
        <f>Table46911131517182021222729[[#This Row],[IEE (GJ)]]*4</f>
        <v>150.72</v>
      </c>
      <c r="G27" s="2">
        <f>Table46911131517182021222729[[#This Row],[REE (GJ/50 years)]]+Table46911131517182021222729[[#This Row],[IEE (GJ)]]</f>
        <v>188.4</v>
      </c>
      <c r="H27" s="13"/>
      <c r="M27" s="2"/>
      <c r="P27">
        <f t="shared" si="0"/>
        <v>0</v>
      </c>
    </row>
    <row r="28" spans="1:16" x14ac:dyDescent="0.25">
      <c r="A28" t="s">
        <v>317</v>
      </c>
      <c r="B28" s="2"/>
      <c r="E28" s="2"/>
      <c r="F28" s="2"/>
      <c r="G28" s="2"/>
      <c r="H28" s="13">
        <f>B63*3.6/1000*50*-1</f>
        <v>-259.2</v>
      </c>
      <c r="I28">
        <f>Table46911131517182021222729[[#This Row],[Delivered  energy (GJ/50 years)]]*'General variables'!$B$9</f>
        <v>-984.95999999999992</v>
      </c>
      <c r="J28" s="13">
        <f>(H39+H41+H42+H44)</f>
        <v>271.19180921052634</v>
      </c>
      <c r="M28" s="2"/>
      <c r="P28">
        <f t="shared" si="0"/>
        <v>0</v>
      </c>
    </row>
    <row r="29" spans="1:16" x14ac:dyDescent="0.25">
      <c r="A29" t="s">
        <v>137</v>
      </c>
      <c r="B29" s="2">
        <v>1</v>
      </c>
      <c r="C29">
        <v>1</v>
      </c>
      <c r="D29" t="s">
        <v>97</v>
      </c>
      <c r="E29" s="2">
        <f t="shared" ref="E29" si="1">28.4+5.9</f>
        <v>34.299999999999997</v>
      </c>
      <c r="F29" s="2">
        <f>Table46911131517182021222729[[#This Row],[IEE (GJ)]]</f>
        <v>34.299999999999997</v>
      </c>
      <c r="G29" s="2">
        <f>Table46911131517182021222729[[#This Row],[REE (GJ/50 years)]]+Table46911131517182021222729[[#This Row],[IEE (GJ)]]</f>
        <v>68.599999999999994</v>
      </c>
      <c r="H29" s="13"/>
      <c r="P29">
        <f t="shared" ref="P29:P44" si="2">N29+M29</f>
        <v>0</v>
      </c>
    </row>
    <row r="30" spans="1:16" x14ac:dyDescent="0.25">
      <c r="A30" t="s">
        <v>138</v>
      </c>
      <c r="B30" s="2">
        <v>1</v>
      </c>
      <c r="C30">
        <v>1</v>
      </c>
      <c r="D30" t="s">
        <v>97</v>
      </c>
      <c r="E30" s="2">
        <v>-6</v>
      </c>
      <c r="F30" s="2">
        <f>Table46911131517182021222729[[#This Row],[IEE (GJ)]]</f>
        <v>-6</v>
      </c>
      <c r="G30" s="2">
        <f>Table46911131517182021222729[[#This Row],[REE (GJ/50 years)]]+Table46911131517182021222729[[#This Row],[IEE (GJ)]]</f>
        <v>-12</v>
      </c>
      <c r="H30" s="13"/>
      <c r="P30">
        <f t="shared" si="2"/>
        <v>0</v>
      </c>
    </row>
    <row r="31" spans="1:16" x14ac:dyDescent="0.25">
      <c r="A31" t="s">
        <v>128</v>
      </c>
      <c r="B31" s="2">
        <v>6</v>
      </c>
      <c r="D31" t="s">
        <v>18</v>
      </c>
      <c r="E31" s="2">
        <v>46.2</v>
      </c>
      <c r="F31" s="2">
        <v>0</v>
      </c>
      <c r="G31" s="2">
        <f>Table46911131517182021222729[[#This Row],[IEE (GJ)]]+Table46911131517182021222729[[#This Row],[REE (GJ/50 years)]]</f>
        <v>46.2</v>
      </c>
      <c r="H31" s="13"/>
      <c r="P31">
        <f t="shared" si="2"/>
        <v>0</v>
      </c>
    </row>
    <row r="32" spans="1:16" x14ac:dyDescent="0.25">
      <c r="A32" t="s">
        <v>147</v>
      </c>
      <c r="B32" s="2"/>
      <c r="E32" s="2"/>
      <c r="F32" s="2">
        <f>Table46911131517182021222729[[#This Row],[IEE (GJ)]]</f>
        <v>0</v>
      </c>
      <c r="G32" s="2">
        <f>Table46911131517182021222729[[#This Row],[REE (GJ/50 years)]]+Table46911131517182021222729[[#This Row],[IEE (GJ)]]</f>
        <v>0</v>
      </c>
      <c r="H32" s="12">
        <v>-653.99999999999989</v>
      </c>
      <c r="I32">
        <f>Table46911131517182021222729[[#This Row],[Delivered  energy (GJ/50 years)]]*'General variables'!$B$10</f>
        <v>-719.4</v>
      </c>
      <c r="P32">
        <f t="shared" si="2"/>
        <v>0</v>
      </c>
    </row>
    <row r="33" spans="1:16" x14ac:dyDescent="0.25">
      <c r="A33" t="s">
        <v>148</v>
      </c>
      <c r="B33" s="2"/>
      <c r="E33" s="2"/>
      <c r="F33" s="2"/>
      <c r="G33" s="2"/>
      <c r="H33" s="13">
        <v>-297.10526315789474</v>
      </c>
      <c r="I33">
        <f>Table46911131517182021222729[[#This Row],[Delivered  energy (GJ/50 years)]]*'General variables'!$B$9</f>
        <v>-1129</v>
      </c>
      <c r="P33">
        <f t="shared" si="2"/>
        <v>0</v>
      </c>
    </row>
    <row r="34" spans="1:16" x14ac:dyDescent="0.25">
      <c r="A34" t="s">
        <v>149</v>
      </c>
      <c r="B34" s="2"/>
      <c r="E34" s="2"/>
      <c r="F34" s="2"/>
      <c r="G34" s="2"/>
      <c r="H34" s="13">
        <v>-534.73684210526324</v>
      </c>
      <c r="I34">
        <f>Table46911131517182021222729[[#This Row],[Delivered  energy (GJ/50 years)]]*'General variables'!$B$9</f>
        <v>-2032.0000000000002</v>
      </c>
      <c r="P34">
        <f t="shared" si="2"/>
        <v>0</v>
      </c>
    </row>
    <row r="35" spans="1:16" x14ac:dyDescent="0.25">
      <c r="A35" t="s">
        <v>150</v>
      </c>
      <c r="B35" s="2"/>
      <c r="E35" s="2"/>
      <c r="F35" s="2"/>
      <c r="G35" s="2"/>
      <c r="H35" s="13">
        <v>-47.289473684210527</v>
      </c>
      <c r="I35">
        <f>Table46911131517182021222729[[#This Row],[Delivered  energy (GJ/50 years)]]*'General variables'!$B$9</f>
        <v>-179.7</v>
      </c>
      <c r="P35">
        <f t="shared" si="2"/>
        <v>0</v>
      </c>
    </row>
    <row r="36" spans="1:16" x14ac:dyDescent="0.25">
      <c r="A36" t="s">
        <v>151</v>
      </c>
      <c r="B36" s="2"/>
      <c r="E36" s="2"/>
      <c r="F36" s="2"/>
      <c r="G36" s="2"/>
      <c r="H36" s="12">
        <v>-219</v>
      </c>
      <c r="I36">
        <f>Table46911131517182021222729[[#This Row],[Delivered  energy (GJ/50 years)]]*'General variables'!$B$10</f>
        <v>-240.9</v>
      </c>
      <c r="P36">
        <f t="shared" si="2"/>
        <v>0</v>
      </c>
    </row>
    <row r="37" spans="1:16" x14ac:dyDescent="0.25">
      <c r="A37" t="s">
        <v>152</v>
      </c>
      <c r="B37" s="2"/>
      <c r="E37" s="2"/>
      <c r="F37" s="2"/>
      <c r="G37" s="2"/>
      <c r="H37" s="13">
        <v>-302.89473684210526</v>
      </c>
      <c r="I37">
        <f>Table46911131517182021222729[[#This Row],[Delivered  energy (GJ/50 years)]]*'General variables'!$B$9</f>
        <v>-1151</v>
      </c>
      <c r="P37">
        <f t="shared" si="2"/>
        <v>0</v>
      </c>
    </row>
    <row r="38" spans="1:16" ht="14.25" customHeight="1" x14ac:dyDescent="0.25">
      <c r="A38" s="3" t="s">
        <v>129</v>
      </c>
      <c r="B38" s="4"/>
      <c r="D38" s="3"/>
      <c r="E38" s="4"/>
      <c r="F38" s="2"/>
      <c r="G38" s="4"/>
      <c r="H38" s="12">
        <f>Table46911131517182021222729[[#This Row],[Primary OPE (GJ/50 years)]]/'General variables'!$B$10</f>
        <v>436.36363636363632</v>
      </c>
      <c r="I38" s="3">
        <f>ALL_OPE!I30</f>
        <v>480</v>
      </c>
      <c r="J38" s="3"/>
      <c r="K38" s="3"/>
      <c r="L38" s="3"/>
      <c r="M38" s="3"/>
      <c r="N38" s="3"/>
      <c r="O38" s="3"/>
      <c r="P38" s="3">
        <f t="shared" si="2"/>
        <v>0</v>
      </c>
    </row>
    <row r="39" spans="1:16" x14ac:dyDescent="0.25">
      <c r="A39" s="3" t="s">
        <v>130</v>
      </c>
      <c r="B39" s="4"/>
      <c r="D39" s="3"/>
      <c r="E39" s="4"/>
      <c r="F39" s="2"/>
      <c r="G39" s="4"/>
      <c r="H39" s="19">
        <f>Table46911131517182021222729[[#This Row],[Primary OPE (GJ/50 years)]]/'General variables'!$B$9</f>
        <v>107.18421052631579</v>
      </c>
      <c r="I39" s="3">
        <f>ALL_OPE!I31</f>
        <v>407.3</v>
      </c>
      <c r="J39" s="3"/>
      <c r="K39" s="3"/>
      <c r="L39" s="3"/>
      <c r="M39" s="3"/>
      <c r="N39" s="3"/>
      <c r="O39" s="3"/>
      <c r="P39" s="3">
        <f t="shared" si="2"/>
        <v>0</v>
      </c>
    </row>
    <row r="40" spans="1:16" x14ac:dyDescent="0.25">
      <c r="A40" t="s">
        <v>134</v>
      </c>
      <c r="B40" s="4"/>
      <c r="D40" s="3"/>
      <c r="E40" s="4"/>
      <c r="F40" s="2"/>
      <c r="G40" s="4"/>
      <c r="H40" s="12">
        <f>Table46911131517182021222729[[#This Row],[Primary OPE (GJ/50 years)]]/'General variables'!$B$10</f>
        <v>59.454545454545453</v>
      </c>
      <c r="I40" s="3">
        <f>ALL_OPE!I32</f>
        <v>65.400000000000006</v>
      </c>
      <c r="M40" s="3"/>
      <c r="N40" s="3"/>
      <c r="O40" s="3"/>
      <c r="P40" s="3">
        <f t="shared" si="2"/>
        <v>0</v>
      </c>
    </row>
    <row r="41" spans="1:16" x14ac:dyDescent="0.25">
      <c r="A41" t="str">
        <f>ALL_OPE!A33</f>
        <v>DHW NEW Circulation pump (not included in bld file!)</v>
      </c>
      <c r="B41" s="4"/>
      <c r="D41" s="3"/>
      <c r="E41" s="4"/>
      <c r="F41" s="2"/>
      <c r="G41" s="4"/>
      <c r="H41" s="13">
        <f>Table46911131517182021222729[[#This Row],[Primary OPE (GJ/50 years)]]/'General variables'!$B$9</f>
        <v>8.2181250000000006</v>
      </c>
      <c r="I41" s="3">
        <f>ALL_OPE!I33</f>
        <v>31.228875000000002</v>
      </c>
      <c r="M41" s="4"/>
      <c r="N41" s="3"/>
      <c r="O41" s="3"/>
      <c r="P41" s="3">
        <f>N41+M41</f>
        <v>0</v>
      </c>
    </row>
    <row r="42" spans="1:16" ht="15.75" customHeight="1" x14ac:dyDescent="0.25">
      <c r="A42" t="s">
        <v>135</v>
      </c>
      <c r="B42" s="4"/>
      <c r="C42" s="3"/>
      <c r="D42" s="3"/>
      <c r="E42" s="4"/>
      <c r="F42" s="4"/>
      <c r="G42" s="4"/>
      <c r="H42" s="13">
        <f>Table46911131517182021222729[[#This Row],[Primary OPE (GJ/50 years)]]/'General variables'!$B$9</f>
        <v>27.578947368421055</v>
      </c>
      <c r="I42" s="3">
        <f>ALL_OPE!I34</f>
        <v>104.8</v>
      </c>
      <c r="M42" s="3"/>
      <c r="N42" s="3"/>
      <c r="O42" s="3"/>
      <c r="P42" s="3">
        <f t="shared" si="2"/>
        <v>0</v>
      </c>
    </row>
    <row r="43" spans="1:16" ht="15.75" customHeight="1" x14ac:dyDescent="0.25">
      <c r="A43" t="s">
        <v>136</v>
      </c>
      <c r="B43" s="4"/>
      <c r="C43" s="3"/>
      <c r="D43" s="3"/>
      <c r="E43" s="4"/>
      <c r="F43" s="4"/>
      <c r="G43" s="4"/>
      <c r="H43" s="12">
        <f>Table46911131517182021222729[[#This Row],[Primary OPE (GJ/50 years)]]/'General variables'!$B$10</f>
        <v>175.18181818181816</v>
      </c>
      <c r="I43" s="3">
        <f>ALL_OPE!I35</f>
        <v>192.7</v>
      </c>
      <c r="M43" s="3"/>
      <c r="N43" s="3"/>
      <c r="O43" s="3"/>
      <c r="P43" s="3">
        <f t="shared" si="2"/>
        <v>0</v>
      </c>
    </row>
    <row r="44" spans="1:16" x14ac:dyDescent="0.25">
      <c r="A44" t="s">
        <v>140</v>
      </c>
      <c r="B44" s="4"/>
      <c r="C44" s="3"/>
      <c r="D44" s="3"/>
      <c r="E44" s="4"/>
      <c r="F44" s="4"/>
      <c r="G44" s="4"/>
      <c r="H44" s="13">
        <f>Table46911131517182021222729[[#This Row],[Primary OPE (GJ/50 years)]]/'General variables'!$B$9</f>
        <v>128.21052631578948</v>
      </c>
      <c r="I44" s="3">
        <f>ALL_OPE!I36</f>
        <v>487.2</v>
      </c>
      <c r="M44" s="3"/>
      <c r="N44" s="3"/>
      <c r="O44" s="3"/>
      <c r="P44" s="3">
        <f t="shared" si="2"/>
        <v>0</v>
      </c>
    </row>
    <row r="45" spans="1:16" x14ac:dyDescent="0.25">
      <c r="A45" t="s">
        <v>146</v>
      </c>
      <c r="B45" s="4"/>
      <c r="C45" s="3"/>
      <c r="D45" s="3"/>
      <c r="E45" s="4"/>
      <c r="F45" s="4"/>
      <c r="G45" s="4"/>
      <c r="H45" s="13"/>
      <c r="J45">
        <v>-4275</v>
      </c>
      <c r="K45">
        <v>-3980</v>
      </c>
      <c r="L45">
        <f>Table46911131517182021222729[[#This Row],[DTE (GJ/50 years)]]+Table46911131517182021222729[[#This Row],[ITE (GJ/50 years)]]</f>
        <v>-8255</v>
      </c>
      <c r="M45" s="4"/>
      <c r="N45" s="3"/>
      <c r="O45" s="3"/>
      <c r="P45" s="3">
        <f>N45+M45</f>
        <v>0</v>
      </c>
    </row>
    <row r="46" spans="1:16" x14ac:dyDescent="0.25">
      <c r="A46" t="s">
        <v>160</v>
      </c>
      <c r="B46" s="4"/>
      <c r="C46" s="3"/>
      <c r="D46" s="3"/>
      <c r="E46" s="4"/>
      <c r="F46" s="4"/>
      <c r="G46" s="4"/>
      <c r="H46" s="13"/>
      <c r="J46">
        <v>3198</v>
      </c>
      <c r="K46">
        <v>3162</v>
      </c>
      <c r="L46">
        <f>Table46911131517182021222729[[#This Row],[DTE (GJ/50 years)]]+Table46911131517182021222729[[#This Row],[ITE (GJ/50 years)]]</f>
        <v>6360</v>
      </c>
      <c r="M46" s="4"/>
      <c r="N46" s="3"/>
      <c r="O46" s="3"/>
      <c r="P46" s="3">
        <f>N46+M46</f>
        <v>0</v>
      </c>
    </row>
    <row r="47" spans="1:16" x14ac:dyDescent="0.25">
      <c r="A47" t="s">
        <v>159</v>
      </c>
      <c r="B47" s="4"/>
      <c r="C47" s="3"/>
      <c r="D47" s="3"/>
      <c r="E47" s="4"/>
      <c r="F47" s="4"/>
      <c r="G47" s="4"/>
      <c r="H47" s="13"/>
      <c r="J47">
        <f>J46*0.85</f>
        <v>2718.2999999999997</v>
      </c>
      <c r="K47">
        <f>K46*0.85</f>
        <v>2687.7</v>
      </c>
      <c r="L47">
        <f>Table46911131517182021222729[[#This Row],[DTE (GJ/50 years)]]+Table46911131517182021222729[[#This Row],[ITE (GJ/50 years)]]</f>
        <v>5406</v>
      </c>
      <c r="M47" s="4"/>
      <c r="N47" s="3"/>
      <c r="O47" s="3"/>
      <c r="P47" s="3">
        <f>N47+M47</f>
        <v>0</v>
      </c>
    </row>
    <row r="48" spans="1:16" x14ac:dyDescent="0.25">
      <c r="A48" t="s">
        <v>161</v>
      </c>
      <c r="B48" s="4"/>
      <c r="C48" s="3"/>
      <c r="D48" s="3"/>
      <c r="E48" s="4"/>
      <c r="F48" s="4"/>
      <c r="G48" s="4"/>
      <c r="H48" s="13"/>
      <c r="J48" s="22">
        <f>(J47*0.441*0.598)+(J47*0.659)</f>
        <v>2508.2243393999997</v>
      </c>
      <c r="K48" s="22">
        <f>(K47*0.441*0.598)+(K47*0.659)</f>
        <v>2479.9891686000001</v>
      </c>
      <c r="L48" s="22">
        <f>Table46911131517182021222729[[#This Row],[DTE (GJ/50 years)]]+Table46911131517182021222729[[#This Row],[ITE (GJ/50 years)]]</f>
        <v>4988.2135079999998</v>
      </c>
      <c r="M48" s="4"/>
      <c r="N48" s="3"/>
      <c r="O48" s="3"/>
      <c r="P48" s="3">
        <f>N48+M48</f>
        <v>0</v>
      </c>
    </row>
    <row r="49" spans="1:16" x14ac:dyDescent="0.25">
      <c r="A49" s="3" t="s">
        <v>162</v>
      </c>
      <c r="B49" s="4"/>
      <c r="C49" s="3"/>
      <c r="D49" s="3"/>
      <c r="E49" s="4"/>
      <c r="F49" s="4"/>
      <c r="G49" s="4"/>
      <c r="H49" s="19"/>
      <c r="I49" s="3"/>
      <c r="J49" s="3"/>
      <c r="K49" s="3"/>
      <c r="L49" s="3"/>
      <c r="M49" s="4"/>
      <c r="N49" s="3"/>
      <c r="O49" s="3"/>
      <c r="P49" s="3">
        <f>N49+M49</f>
        <v>0</v>
      </c>
    </row>
    <row r="51" spans="1:16" x14ac:dyDescent="0.25">
      <c r="A51" s="1"/>
      <c r="B51" s="7"/>
      <c r="F51" t="s">
        <v>94</v>
      </c>
      <c r="G51" s="6">
        <f>SUM(Table46911131517182021222729[LCEE (GJ/50 years)])</f>
        <v>383.10857569444448</v>
      </c>
      <c r="H51" s="6"/>
      <c r="I51" s="6">
        <f>SUM(Table46911131517182021222729[Primary OPE (GJ/50 years)])</f>
        <v>-4668.3311249999997</v>
      </c>
      <c r="L51" s="6">
        <f>L45+L48</f>
        <v>-3266.7864920000002</v>
      </c>
    </row>
    <row r="52" spans="1:16" x14ac:dyDescent="0.25">
      <c r="B52" s="7"/>
      <c r="F52" t="s">
        <v>100</v>
      </c>
      <c r="G52" s="6">
        <f>G51+I51+L51</f>
        <v>-7552.009041305555</v>
      </c>
      <c r="H52" s="6"/>
    </row>
    <row r="53" spans="1:16" x14ac:dyDescent="0.25">
      <c r="A53" t="s">
        <v>88</v>
      </c>
      <c r="B53" s="7" t="s">
        <v>199</v>
      </c>
    </row>
    <row r="54" spans="1:16" x14ac:dyDescent="0.25">
      <c r="B54" s="7"/>
    </row>
    <row r="55" spans="1:16" x14ac:dyDescent="0.25">
      <c r="B55" s="7"/>
    </row>
    <row r="56" spans="1:16" x14ac:dyDescent="0.25">
      <c r="B56" s="7"/>
    </row>
    <row r="57" spans="1:16" x14ac:dyDescent="0.25">
      <c r="B57" s="7"/>
      <c r="H57" s="20"/>
    </row>
    <row r="58" spans="1:16" x14ac:dyDescent="0.25">
      <c r="B58" s="7"/>
    </row>
    <row r="59" spans="1:16" x14ac:dyDescent="0.25">
      <c r="A59" s="23" t="s">
        <v>163</v>
      </c>
      <c r="B59" s="24"/>
      <c r="C59" s="25"/>
      <c r="D59" s="25"/>
      <c r="E59" s="25"/>
      <c r="F59" s="26"/>
      <c r="G59" s="32"/>
    </row>
    <row r="60" spans="1:16" x14ac:dyDescent="0.25">
      <c r="A60" s="27" t="s">
        <v>180</v>
      </c>
      <c r="B60" s="3">
        <f>(H39+H41+H42+H44)/3.6*1000/50</f>
        <v>1506.6211622807016</v>
      </c>
      <c r="C60" s="3" t="s">
        <v>200</v>
      </c>
      <c r="D60" s="3"/>
      <c r="E60" s="3"/>
      <c r="F60" s="28"/>
    </row>
    <row r="61" spans="1:16" x14ac:dyDescent="0.25">
      <c r="A61" s="27" t="s">
        <v>164</v>
      </c>
      <c r="B61" s="3"/>
      <c r="C61" s="3"/>
      <c r="D61" s="3"/>
      <c r="E61" s="3"/>
      <c r="F61" s="28"/>
    </row>
    <row r="62" spans="1:16" x14ac:dyDescent="0.25">
      <c r="A62" s="27" t="s">
        <v>181</v>
      </c>
      <c r="B62" s="3">
        <v>3</v>
      </c>
      <c r="C62" s="3" t="s">
        <v>169</v>
      </c>
      <c r="D62" s="3" t="s">
        <v>182</v>
      </c>
      <c r="E62" s="3">
        <v>1</v>
      </c>
      <c r="F62" s="28" t="s">
        <v>183</v>
      </c>
    </row>
    <row r="63" spans="1:16" x14ac:dyDescent="0.25">
      <c r="A63" s="27" t="s">
        <v>165</v>
      </c>
      <c r="B63" s="3">
        <f>1*0.8*1800</f>
        <v>1440</v>
      </c>
      <c r="C63" s="3" t="s">
        <v>166</v>
      </c>
      <c r="D63" s="3"/>
      <c r="E63" s="3"/>
      <c r="F63" s="28"/>
    </row>
    <row r="64" spans="1:16" x14ac:dyDescent="0.25">
      <c r="A64" s="27" t="s">
        <v>184</v>
      </c>
      <c r="B64" s="3">
        <f>B60</f>
        <v>1506.6211622807016</v>
      </c>
      <c r="C64" s="3" t="s">
        <v>166</v>
      </c>
      <c r="D64" s="3"/>
      <c r="E64" s="3"/>
      <c r="F64" s="28"/>
    </row>
    <row r="65" spans="1:6" x14ac:dyDescent="0.25">
      <c r="A65" s="27" t="s">
        <v>168</v>
      </c>
      <c r="B65" s="3">
        <f>B63/B64</f>
        <v>0.95578107891445552</v>
      </c>
      <c r="C65" s="3"/>
      <c r="D65" s="3"/>
      <c r="E65" s="3"/>
      <c r="F65" s="28"/>
    </row>
    <row r="66" spans="1:6" x14ac:dyDescent="0.25">
      <c r="A66" s="27" t="s">
        <v>185</v>
      </c>
      <c r="B66" s="3">
        <v>1</v>
      </c>
      <c r="C66" s="3" t="s">
        <v>186</v>
      </c>
      <c r="D66" s="3"/>
      <c r="E66" s="3"/>
      <c r="F66" s="28"/>
    </row>
    <row r="67" spans="1:6" x14ac:dyDescent="0.25">
      <c r="A67" s="27" t="s">
        <v>187</v>
      </c>
      <c r="B67" s="3">
        <f>0.388*1800*0.8</f>
        <v>558.72</v>
      </c>
      <c r="C67" s="3" t="s">
        <v>188</v>
      </c>
      <c r="D67" s="3"/>
      <c r="E67" s="3"/>
      <c r="F67" s="28"/>
    </row>
    <row r="68" spans="1:6" x14ac:dyDescent="0.25">
      <c r="A68" s="27" t="s">
        <v>197</v>
      </c>
      <c r="B68" s="3">
        <f>B67/16*100</f>
        <v>3492</v>
      </c>
      <c r="C68" s="3" t="s">
        <v>189</v>
      </c>
      <c r="D68" s="3"/>
      <c r="E68" s="3"/>
      <c r="F68" s="28"/>
    </row>
    <row r="69" spans="1:6" x14ac:dyDescent="0.25">
      <c r="A69" s="27" t="s">
        <v>190</v>
      </c>
      <c r="B69" s="3">
        <f>B67*50*3.6/1000</f>
        <v>100.56960000000001</v>
      </c>
      <c r="C69" s="3" t="s">
        <v>89</v>
      </c>
      <c r="D69" s="3" t="s">
        <v>198</v>
      </c>
      <c r="E69" s="3"/>
      <c r="F69" s="28"/>
    </row>
    <row r="70" spans="1:6" x14ac:dyDescent="0.25">
      <c r="A70" s="27" t="s">
        <v>191</v>
      </c>
      <c r="B70" s="3">
        <f>81*2</f>
        <v>162</v>
      </c>
      <c r="C70" s="3" t="s">
        <v>89</v>
      </c>
      <c r="D70" s="3" t="s">
        <v>192</v>
      </c>
      <c r="E70" s="3"/>
      <c r="F70" s="28"/>
    </row>
    <row r="71" spans="1:6" x14ac:dyDescent="0.25">
      <c r="A71" s="27" t="s">
        <v>193</v>
      </c>
      <c r="B71" s="3"/>
      <c r="C71" s="3"/>
      <c r="D71" s="3"/>
      <c r="E71" s="3"/>
      <c r="F71" s="28"/>
    </row>
    <row r="72" spans="1:6" x14ac:dyDescent="0.25">
      <c r="A72" s="27" t="s">
        <v>194</v>
      </c>
      <c r="B72" s="3">
        <v>3</v>
      </c>
      <c r="C72" s="3" t="s">
        <v>195</v>
      </c>
      <c r="D72" s="3"/>
      <c r="E72" s="3"/>
      <c r="F72" s="28"/>
    </row>
    <row r="73" spans="1:6" x14ac:dyDescent="0.25">
      <c r="A73" s="29"/>
      <c r="B73" s="30">
        <v>1</v>
      </c>
      <c r="C73" s="30" t="s">
        <v>196</v>
      </c>
      <c r="D73" s="30"/>
      <c r="E73" s="30"/>
      <c r="F73" s="31"/>
    </row>
  </sheetData>
  <conditionalFormatting sqref="I51 G51:H52 L51">
    <cfRule type="cellIs" dxfId="90" priority="3" operator="lessThan">
      <formula>0</formula>
    </cfRule>
    <cfRule type="cellIs" dxfId="89" priority="4" operator="greaterThan">
      <formula>0</formula>
    </cfRule>
  </conditionalFormatting>
  <hyperlinks>
    <hyperlink ref="A1" location="'Summary sheet'!A1" display="Link to summary sheet" xr:uid="{00000000-0004-0000-0E00-000000000000}"/>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12"/>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27.28515625" customWidth="1"/>
    <col min="9" max="9" width="26.140625" customWidth="1"/>
    <col min="10" max="10" width="26.28515625" customWidth="1"/>
    <col min="11" max="11" width="26.140625" customWidth="1"/>
    <col min="12" max="12" width="24.42578125" customWidth="1"/>
    <col min="13" max="13" width="31.5703125" customWidth="1"/>
    <col min="14" max="14" width="34.140625" customWidth="1"/>
    <col min="15" max="15" width="34.140625" bestFit="1" customWidth="1"/>
    <col min="16" max="16" width="11.5703125" customWidth="1"/>
  </cols>
  <sheetData>
    <row r="1" spans="1:8" s="8" customFormat="1" x14ac:dyDescent="0.25">
      <c r="A1" s="8" t="s">
        <v>83</v>
      </c>
      <c r="B1" s="9" t="s">
        <v>861</v>
      </c>
    </row>
    <row r="3" spans="1:8" x14ac:dyDescent="0.25">
      <c r="A3" s="95" t="s">
        <v>514</v>
      </c>
      <c r="B3" s="95"/>
      <c r="C3" s="95"/>
      <c r="D3" s="95"/>
      <c r="E3" s="95"/>
      <c r="F3" s="95"/>
      <c r="G3" s="95"/>
      <c r="H3" s="95"/>
    </row>
    <row r="4" spans="1:8" x14ac:dyDescent="0.25">
      <c r="A4" s="95" t="s">
        <v>515</v>
      </c>
      <c r="B4" s="95"/>
      <c r="C4" s="95"/>
      <c r="D4" s="95"/>
      <c r="E4" s="95"/>
      <c r="F4" s="95"/>
      <c r="G4" s="95"/>
      <c r="H4" s="95"/>
    </row>
    <row r="5" spans="1:8" x14ac:dyDescent="0.25">
      <c r="A5" s="95" t="s">
        <v>649</v>
      </c>
      <c r="B5" s="95">
        <v>16</v>
      </c>
      <c r="C5" s="95" t="s">
        <v>460</v>
      </c>
      <c r="D5" s="95"/>
      <c r="E5" s="95"/>
      <c r="F5" s="95"/>
      <c r="G5" s="95"/>
      <c r="H5" s="95"/>
    </row>
    <row r="6" spans="1:8" x14ac:dyDescent="0.25">
      <c r="A6" s="95" t="s">
        <v>650</v>
      </c>
      <c r="B6" s="95">
        <v>4</v>
      </c>
      <c r="C6" s="95" t="s">
        <v>651</v>
      </c>
      <c r="D6" s="95"/>
      <c r="E6" s="95"/>
      <c r="F6" s="95"/>
      <c r="G6" s="95"/>
      <c r="H6" s="95"/>
    </row>
    <row r="7" spans="1:8" x14ac:dyDescent="0.25">
      <c r="A7" s="95" t="s">
        <v>853</v>
      </c>
      <c r="B7" s="95">
        <f>2*B6</f>
        <v>8</v>
      </c>
      <c r="C7" s="95" t="s">
        <v>714</v>
      </c>
      <c r="D7" s="95"/>
      <c r="E7" s="95"/>
      <c r="F7" s="95"/>
      <c r="G7" s="95"/>
      <c r="H7" s="95"/>
    </row>
    <row r="8" spans="1:8" x14ac:dyDescent="0.25">
      <c r="A8" s="95" t="s">
        <v>516</v>
      </c>
      <c r="B8" s="113">
        <f>B6*B5</f>
        <v>64</v>
      </c>
      <c r="C8" s="95" t="s">
        <v>460</v>
      </c>
      <c r="D8" s="103"/>
      <c r="E8" s="95"/>
      <c r="F8" s="95"/>
      <c r="G8" s="95"/>
      <c r="H8" s="95"/>
    </row>
    <row r="9" spans="1:8" x14ac:dyDescent="0.25">
      <c r="A9" s="97" t="s">
        <v>517</v>
      </c>
      <c r="B9" s="97">
        <f>SUM(B10:B13)</f>
        <v>47</v>
      </c>
      <c r="C9" s="97" t="s">
        <v>462</v>
      </c>
      <c r="D9" s="97"/>
      <c r="E9" s="95"/>
      <c r="F9" s="95"/>
      <c r="G9" s="95"/>
      <c r="H9" s="95"/>
    </row>
    <row r="10" spans="1:8" x14ac:dyDescent="0.25">
      <c r="A10" s="109" t="s">
        <v>518</v>
      </c>
      <c r="B10" s="114">
        <v>27</v>
      </c>
      <c r="C10" s="114" t="s">
        <v>462</v>
      </c>
      <c r="D10" s="97"/>
      <c r="E10" s="95"/>
      <c r="F10" s="95"/>
      <c r="G10" s="95"/>
      <c r="H10" s="95"/>
    </row>
    <row r="11" spans="1:8" x14ac:dyDescent="0.25">
      <c r="A11" s="109" t="s">
        <v>481</v>
      </c>
      <c r="B11" s="114">
        <v>2</v>
      </c>
      <c r="C11" s="114" t="s">
        <v>462</v>
      </c>
      <c r="D11" s="97"/>
      <c r="E11" s="95"/>
      <c r="F11" s="95"/>
      <c r="G11" s="95"/>
      <c r="H11" s="95"/>
    </row>
    <row r="12" spans="1:8" x14ac:dyDescent="0.25">
      <c r="A12" s="109" t="s">
        <v>482</v>
      </c>
      <c r="B12" s="114">
        <v>15</v>
      </c>
      <c r="C12" s="114" t="s">
        <v>462</v>
      </c>
      <c r="D12" s="114"/>
      <c r="E12" s="114"/>
      <c r="F12" s="114"/>
      <c r="G12" s="114"/>
      <c r="H12" s="114"/>
    </row>
    <row r="13" spans="1:8" x14ac:dyDescent="0.25">
      <c r="A13" s="109" t="s">
        <v>519</v>
      </c>
      <c r="B13" s="114">
        <v>3</v>
      </c>
      <c r="C13" s="114" t="s">
        <v>462</v>
      </c>
      <c r="D13" s="114"/>
      <c r="E13" s="114"/>
      <c r="F13" s="114"/>
      <c r="G13" s="114"/>
      <c r="H13" s="114"/>
    </row>
    <row r="14" spans="1:8" x14ac:dyDescent="0.25">
      <c r="A14" s="108" t="s">
        <v>520</v>
      </c>
      <c r="B14" s="97">
        <f>B9*B8</f>
        <v>3008</v>
      </c>
      <c r="C14" s="97" t="s">
        <v>207</v>
      </c>
      <c r="D14" s="114"/>
      <c r="E14" s="114"/>
      <c r="F14" s="114"/>
      <c r="G14" s="114"/>
      <c r="H14" s="114"/>
    </row>
    <row r="15" spans="1:8" x14ac:dyDescent="0.25">
      <c r="A15" s="108"/>
      <c r="B15" s="97"/>
      <c r="C15" s="97"/>
      <c r="D15" s="114"/>
      <c r="E15" s="114"/>
      <c r="F15" s="114"/>
      <c r="G15" s="114"/>
      <c r="H15" s="114"/>
    </row>
    <row r="16" spans="1:8" x14ac:dyDescent="0.25">
      <c r="A16" s="108" t="s">
        <v>521</v>
      </c>
      <c r="B16" s="97"/>
      <c r="C16" s="97"/>
      <c r="D16" s="114"/>
      <c r="E16" s="114"/>
      <c r="F16" s="114"/>
      <c r="G16" s="114"/>
      <c r="H16" s="114"/>
    </row>
    <row r="17" spans="1:8" x14ac:dyDescent="0.25">
      <c r="A17" s="97" t="s">
        <v>524</v>
      </c>
      <c r="B17" s="97">
        <f>B8/2</f>
        <v>32</v>
      </c>
      <c r="C17" s="97"/>
      <c r="D17" s="114"/>
      <c r="E17" s="114"/>
      <c r="F17" s="114"/>
      <c r="G17" s="114"/>
      <c r="H17" s="114"/>
    </row>
    <row r="18" spans="1:8" x14ac:dyDescent="0.25">
      <c r="A18" s="97" t="s">
        <v>525</v>
      </c>
      <c r="B18" s="97">
        <f>PV!B51</f>
        <v>415</v>
      </c>
      <c r="C18" s="97" t="s">
        <v>526</v>
      </c>
      <c r="D18" s="114"/>
      <c r="E18" s="114"/>
      <c r="F18" s="114"/>
      <c r="G18" s="114"/>
      <c r="H18" s="114"/>
    </row>
    <row r="19" spans="1:8" x14ac:dyDescent="0.25">
      <c r="A19" s="97" t="s">
        <v>522</v>
      </c>
      <c r="B19" s="97">
        <f>B18*B17</f>
        <v>13280</v>
      </c>
      <c r="C19" s="97" t="s">
        <v>526</v>
      </c>
      <c r="D19" s="114"/>
      <c r="E19" s="114"/>
      <c r="F19" s="114"/>
      <c r="G19" s="114"/>
      <c r="H19" s="114"/>
    </row>
    <row r="20" spans="1:8" x14ac:dyDescent="0.25">
      <c r="A20" s="97" t="s">
        <v>531</v>
      </c>
      <c r="B20" s="97">
        <f>PV!B60</f>
        <v>2.13</v>
      </c>
      <c r="C20" s="97" t="s">
        <v>296</v>
      </c>
      <c r="D20" s="114"/>
      <c r="E20" s="114"/>
      <c r="F20" s="114"/>
      <c r="G20" s="114"/>
      <c r="H20" s="114"/>
    </row>
    <row r="21" spans="1:8" x14ac:dyDescent="0.25">
      <c r="A21" s="108" t="s">
        <v>521</v>
      </c>
      <c r="B21" s="97">
        <f>B20*B19</f>
        <v>28286.399999999998</v>
      </c>
      <c r="C21" s="97" t="s">
        <v>207</v>
      </c>
      <c r="D21" s="114"/>
      <c r="E21" s="114"/>
      <c r="F21" s="114"/>
      <c r="G21" s="114"/>
      <c r="H21" s="114"/>
    </row>
    <row r="22" spans="1:8" x14ac:dyDescent="0.25">
      <c r="A22" s="108"/>
      <c r="B22" s="97"/>
      <c r="C22" s="97"/>
      <c r="D22" s="114"/>
      <c r="E22" s="114"/>
      <c r="F22" s="114"/>
      <c r="G22" s="114"/>
      <c r="H22" s="114"/>
    </row>
    <row r="23" spans="1:8" x14ac:dyDescent="0.25">
      <c r="A23" s="105" t="s">
        <v>532</v>
      </c>
      <c r="B23" s="118">
        <f>B21-B14</f>
        <v>25278.399999999998</v>
      </c>
      <c r="C23" s="97" t="s">
        <v>207</v>
      </c>
      <c r="D23" s="114"/>
      <c r="E23" s="114"/>
      <c r="F23" s="114"/>
      <c r="G23" s="114"/>
      <c r="H23" s="114"/>
    </row>
    <row r="24" spans="1:8" x14ac:dyDescent="0.25">
      <c r="A24" s="105"/>
      <c r="B24" s="118"/>
      <c r="C24" s="97"/>
      <c r="D24" s="114"/>
      <c r="E24" s="114"/>
      <c r="F24" s="114"/>
      <c r="G24" s="114"/>
      <c r="H24" s="114"/>
    </row>
    <row r="25" spans="1:8" x14ac:dyDescent="0.25">
      <c r="A25" s="97" t="s">
        <v>855</v>
      </c>
      <c r="B25" s="97">
        <f>PV!E60</f>
        <v>0.92</v>
      </c>
      <c r="C25" s="97" t="s">
        <v>296</v>
      </c>
      <c r="D25" s="114"/>
      <c r="E25" s="114"/>
      <c r="F25" s="114"/>
      <c r="G25" s="114"/>
      <c r="H25" s="114"/>
    </row>
    <row r="26" spans="1:8" x14ac:dyDescent="0.25">
      <c r="A26" s="108" t="s">
        <v>521</v>
      </c>
      <c r="B26" s="97">
        <f>B19*B25</f>
        <v>12217.6</v>
      </c>
      <c r="C26" s="97" t="s">
        <v>207</v>
      </c>
      <c r="D26" s="114"/>
      <c r="E26" s="114"/>
      <c r="F26" s="114"/>
      <c r="G26" s="114"/>
      <c r="H26" s="114"/>
    </row>
    <row r="27" spans="1:8" x14ac:dyDescent="0.25">
      <c r="A27" s="108"/>
      <c r="B27" s="97"/>
      <c r="C27" s="97"/>
      <c r="D27" s="114"/>
      <c r="E27" s="114"/>
      <c r="F27" s="114"/>
      <c r="G27" s="114"/>
      <c r="H27" s="114"/>
    </row>
    <row r="28" spans="1:8" x14ac:dyDescent="0.25">
      <c r="A28" s="105" t="s">
        <v>856</v>
      </c>
      <c r="B28" s="118">
        <f>B26-B14</f>
        <v>9209.6</v>
      </c>
      <c r="C28" s="97" t="s">
        <v>207</v>
      </c>
      <c r="D28" s="114"/>
      <c r="E28" s="114"/>
      <c r="F28" s="114"/>
      <c r="G28" s="114"/>
      <c r="H28" s="114"/>
    </row>
    <row r="29" spans="1:8" x14ac:dyDescent="0.25">
      <c r="A29" s="105"/>
      <c r="B29" s="118"/>
      <c r="C29" s="97"/>
      <c r="D29" s="114"/>
      <c r="E29" s="114"/>
      <c r="F29" s="114"/>
      <c r="G29" s="114"/>
      <c r="H29" s="114"/>
    </row>
    <row r="30" spans="1:8" ht="15.75" x14ac:dyDescent="0.25">
      <c r="A30" s="120" t="s">
        <v>510</v>
      </c>
      <c r="B30" s="117"/>
      <c r="C30" s="116"/>
      <c r="D30" s="114"/>
      <c r="E30" s="114"/>
      <c r="F30" s="114"/>
      <c r="G30" s="114"/>
      <c r="H30" s="114"/>
    </row>
    <row r="31" spans="1:8" x14ac:dyDescent="0.25">
      <c r="A31" s="114" t="s">
        <v>533</v>
      </c>
      <c r="B31" s="114"/>
      <c r="C31" s="114"/>
      <c r="D31" s="114"/>
      <c r="E31" s="114"/>
      <c r="F31" s="114"/>
      <c r="G31" s="114"/>
      <c r="H31" s="114"/>
    </row>
    <row r="32" spans="1:8" x14ac:dyDescent="0.25">
      <c r="A32" s="109" t="s">
        <v>706</v>
      </c>
      <c r="B32" s="97">
        <f>ROUND(B19/5000,0)*24</f>
        <v>72</v>
      </c>
      <c r="C32" s="114"/>
      <c r="D32" s="114"/>
      <c r="E32" s="114"/>
      <c r="F32" s="114"/>
      <c r="G32" s="114"/>
      <c r="H32" s="114"/>
    </row>
    <row r="33" spans="1:8" x14ac:dyDescent="0.25">
      <c r="A33" s="109" t="s">
        <v>534</v>
      </c>
      <c r="B33" s="121">
        <f>PV!B37+(PV!B38+PV!B39)/2+((B32/24)*PV!B23*(1+PV!B27)*(1+PV!B28))/South_Facade_PV!B19</f>
        <v>1.7915542168674699</v>
      </c>
      <c r="C33" s="97" t="s">
        <v>296</v>
      </c>
      <c r="D33" s="114" t="s">
        <v>652</v>
      </c>
      <c r="E33" s="114"/>
      <c r="F33" s="114" t="s">
        <v>536</v>
      </c>
      <c r="G33" s="114"/>
      <c r="H33" s="114"/>
    </row>
    <row r="34" spans="1:8" x14ac:dyDescent="0.25">
      <c r="A34" s="109" t="s">
        <v>851</v>
      </c>
      <c r="B34" s="121">
        <f>PV!B37+(PV!B38+PV!B39)/2</f>
        <v>0.27500000000000002</v>
      </c>
      <c r="C34" s="97" t="s">
        <v>296</v>
      </c>
      <c r="D34" s="114"/>
      <c r="E34" s="114"/>
      <c r="F34" s="114" t="s">
        <v>536</v>
      </c>
      <c r="G34" s="114"/>
      <c r="H34" s="114"/>
    </row>
    <row r="35" spans="1:8" x14ac:dyDescent="0.25">
      <c r="A35" s="109" t="s">
        <v>535</v>
      </c>
      <c r="B35" s="112">
        <f>PV!B20*(1+PV!B27)*(1+PV!B28)+(PV!B38+PV!B39)/2</f>
        <v>0.40472000000000002</v>
      </c>
      <c r="C35" s="97" t="s">
        <v>296</v>
      </c>
      <c r="D35" s="114"/>
      <c r="E35" s="114"/>
      <c r="F35" s="114" t="s">
        <v>536</v>
      </c>
      <c r="G35" s="114"/>
      <c r="H35" s="114"/>
    </row>
    <row r="38" spans="1:8" x14ac:dyDescent="0.25">
      <c r="B38" s="7"/>
    </row>
    <row r="39" spans="1:8" x14ac:dyDescent="0.25">
      <c r="B39" s="7"/>
    </row>
    <row r="40" spans="1:8" x14ac:dyDescent="0.25">
      <c r="B40" s="7"/>
    </row>
    <row r="41" spans="1:8" x14ac:dyDescent="0.25">
      <c r="B41" s="7"/>
    </row>
    <row r="42" spans="1:8" x14ac:dyDescent="0.25">
      <c r="B42" s="7"/>
    </row>
    <row r="47" spans="1:8" x14ac:dyDescent="0.25">
      <c r="A47" s="35"/>
    </row>
    <row r="61" spans="2:4" x14ac:dyDescent="0.25">
      <c r="B61" s="36"/>
      <c r="D61" s="36"/>
    </row>
    <row r="62" spans="2:4" x14ac:dyDescent="0.25">
      <c r="B62" s="36"/>
      <c r="D62" s="36"/>
    </row>
    <row r="63" spans="2:4" x14ac:dyDescent="0.25">
      <c r="B63" s="36"/>
      <c r="D63" s="36"/>
    </row>
    <row r="64" spans="2:4" x14ac:dyDescent="0.25">
      <c r="B64" s="36"/>
      <c r="D64" s="36"/>
    </row>
    <row r="65" spans="1:4" x14ac:dyDescent="0.25">
      <c r="B65" s="36"/>
      <c r="D65" s="36"/>
    </row>
    <row r="72" spans="1:4" x14ac:dyDescent="0.25">
      <c r="A72" s="39"/>
    </row>
    <row r="73" spans="1:4" x14ac:dyDescent="0.25">
      <c r="A73" s="39"/>
    </row>
    <row r="74" spans="1:4" x14ac:dyDescent="0.25">
      <c r="A74" s="39"/>
    </row>
    <row r="75" spans="1:4" x14ac:dyDescent="0.25">
      <c r="A75" s="39"/>
    </row>
    <row r="76" spans="1:4" x14ac:dyDescent="0.25">
      <c r="A76" s="39"/>
    </row>
    <row r="77" spans="1:4" x14ac:dyDescent="0.25">
      <c r="A77" s="39"/>
    </row>
    <row r="78" spans="1:4" x14ac:dyDescent="0.25">
      <c r="A78" s="39"/>
    </row>
    <row r="79" spans="1:4" x14ac:dyDescent="0.25">
      <c r="A79" s="39"/>
    </row>
    <row r="80" spans="1:4" x14ac:dyDescent="0.25">
      <c r="A80" s="39"/>
    </row>
    <row r="81" spans="1:5" x14ac:dyDescent="0.25">
      <c r="A81" s="39"/>
    </row>
    <row r="82" spans="1:5" x14ac:dyDescent="0.25">
      <c r="A82" s="39"/>
    </row>
    <row r="83" spans="1:5" x14ac:dyDescent="0.25">
      <c r="A83" s="39"/>
    </row>
    <row r="85" spans="1:5" x14ac:dyDescent="0.25">
      <c r="A85" s="35"/>
      <c r="B85" s="41"/>
    </row>
    <row r="86" spans="1:5" x14ac:dyDescent="0.25">
      <c r="A86" s="35"/>
      <c r="B86" s="36"/>
    </row>
    <row r="93" spans="1:5" x14ac:dyDescent="0.25">
      <c r="A93" s="48"/>
      <c r="B93" s="48"/>
      <c r="C93" s="48"/>
      <c r="D93" s="48"/>
      <c r="E93" s="48"/>
    </row>
    <row r="94" spans="1:5" x14ac:dyDescent="0.25">
      <c r="A94" s="48"/>
      <c r="B94" s="49"/>
      <c r="C94" s="49"/>
      <c r="D94" s="49"/>
      <c r="E94" s="49"/>
    </row>
    <row r="95" spans="1:5" x14ac:dyDescent="0.25">
      <c r="A95" s="48"/>
      <c r="B95" s="50"/>
      <c r="C95" s="50"/>
      <c r="D95" s="50"/>
      <c r="E95" s="50"/>
    </row>
    <row r="96" spans="1:5" x14ac:dyDescent="0.25">
      <c r="A96" s="48"/>
      <c r="B96" s="50"/>
      <c r="C96" s="50"/>
      <c r="D96" s="50"/>
      <c r="E96" s="50"/>
    </row>
    <row r="97" spans="1:5" x14ac:dyDescent="0.25">
      <c r="A97" s="48"/>
      <c r="B97" s="50"/>
      <c r="C97" s="50"/>
      <c r="D97" s="50"/>
      <c r="E97" s="50"/>
    </row>
    <row r="98" spans="1:5" x14ac:dyDescent="0.25">
      <c r="A98" s="48"/>
      <c r="B98" s="50"/>
      <c r="C98" s="50"/>
      <c r="D98" s="50"/>
      <c r="E98" s="50"/>
    </row>
    <row r="99" spans="1:5" x14ac:dyDescent="0.25">
      <c r="A99" s="48"/>
      <c r="B99" s="50"/>
      <c r="C99" s="50"/>
      <c r="D99" s="50"/>
      <c r="E99" s="50"/>
    </row>
    <row r="100" spans="1:5" x14ac:dyDescent="0.25">
      <c r="A100" s="48"/>
      <c r="B100" s="50"/>
      <c r="C100" s="50"/>
      <c r="D100" s="50"/>
      <c r="E100" s="50"/>
    </row>
    <row r="101" spans="1:5" x14ac:dyDescent="0.25">
      <c r="A101" s="51"/>
      <c r="B101" s="52"/>
      <c r="C101" s="52"/>
      <c r="D101" s="52"/>
      <c r="E101" s="52"/>
    </row>
    <row r="102" spans="1:5" x14ac:dyDescent="0.25">
      <c r="B102" s="40"/>
      <c r="C102" s="40"/>
      <c r="D102" s="40"/>
      <c r="E102" s="40"/>
    </row>
    <row r="103" spans="1:5" x14ac:dyDescent="0.25">
      <c r="B103" s="36"/>
      <c r="C103" s="36"/>
      <c r="D103" s="36"/>
      <c r="E103" s="36"/>
    </row>
    <row r="104" spans="1:5" x14ac:dyDescent="0.25">
      <c r="B104" s="40"/>
      <c r="C104" s="40"/>
      <c r="D104" s="40"/>
      <c r="E104" s="40"/>
    </row>
    <row r="105" spans="1:5" x14ac:dyDescent="0.25">
      <c r="B105" s="40"/>
      <c r="C105" s="40"/>
      <c r="D105" s="40"/>
      <c r="E105" s="40"/>
    </row>
    <row r="106" spans="1:5" x14ac:dyDescent="0.25">
      <c r="B106" s="40"/>
      <c r="C106" s="40"/>
      <c r="D106" s="40"/>
      <c r="E106" s="40"/>
    </row>
    <row r="107" spans="1:5" x14ac:dyDescent="0.25">
      <c r="A107" s="22"/>
      <c r="B107" s="53"/>
      <c r="C107" s="53"/>
      <c r="D107" s="53"/>
      <c r="E107" s="53"/>
    </row>
    <row r="108" spans="1:5" x14ac:dyDescent="0.25">
      <c r="B108" s="40"/>
      <c r="C108" s="40"/>
    </row>
    <row r="110" spans="1:5" x14ac:dyDescent="0.25">
      <c r="A110" s="7"/>
    </row>
    <row r="111" spans="1:5" x14ac:dyDescent="0.25">
      <c r="A111" s="32"/>
    </row>
    <row r="112" spans="1:5" x14ac:dyDescent="0.25">
      <c r="A112" s="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4999847407452621"/>
  </sheetPr>
  <dimension ref="A1:G15"/>
  <sheetViews>
    <sheetView topLeftCell="A4" workbookViewId="0">
      <selection activeCell="B9" sqref="B9"/>
    </sheetView>
  </sheetViews>
  <sheetFormatPr defaultRowHeight="15" x14ac:dyDescent="0.25"/>
  <cols>
    <col min="1" max="1" width="16" customWidth="1"/>
    <col min="2" max="2" width="14" bestFit="1" customWidth="1"/>
    <col min="3" max="3" width="15.85546875" bestFit="1" customWidth="1"/>
    <col min="4" max="4" width="32.28515625" bestFit="1" customWidth="1"/>
  </cols>
  <sheetData>
    <row r="1" spans="1:7" x14ac:dyDescent="0.25">
      <c r="A1" t="s">
        <v>12</v>
      </c>
      <c r="B1" t="s">
        <v>13</v>
      </c>
      <c r="C1" t="s">
        <v>8</v>
      </c>
      <c r="D1" t="s">
        <v>14</v>
      </c>
      <c r="G1" t="s">
        <v>201</v>
      </c>
    </row>
    <row r="2" spans="1:7" x14ac:dyDescent="0.25">
      <c r="A2" t="s">
        <v>15</v>
      </c>
      <c r="B2">
        <v>0.02</v>
      </c>
      <c r="D2" t="s">
        <v>16</v>
      </c>
      <c r="G2" t="s">
        <v>237</v>
      </c>
    </row>
    <row r="3" spans="1:7" x14ac:dyDescent="0.25">
      <c r="A3" s="3" t="s">
        <v>29</v>
      </c>
      <c r="B3" s="3">
        <v>50</v>
      </c>
      <c r="C3" s="3" t="s">
        <v>30</v>
      </c>
      <c r="D3" s="3" t="s">
        <v>31</v>
      </c>
    </row>
    <row r="4" spans="1:7" x14ac:dyDescent="0.25">
      <c r="A4" s="3" t="s">
        <v>37</v>
      </c>
      <c r="B4" s="3" t="str">
        <f>"Bldg_files\"</f>
        <v>Bldg_files\</v>
      </c>
      <c r="C4" s="3"/>
      <c r="D4" s="3"/>
    </row>
    <row r="5" spans="1:7" x14ac:dyDescent="0.25">
      <c r="A5" s="3" t="s">
        <v>92</v>
      </c>
      <c r="B5" s="3">
        <v>4</v>
      </c>
      <c r="C5" s="3"/>
      <c r="D5" s="3" t="s">
        <v>31</v>
      </c>
    </row>
    <row r="6" spans="1:7" x14ac:dyDescent="0.25">
      <c r="A6" s="3" t="s">
        <v>93</v>
      </c>
      <c r="B6" s="3">
        <v>113</v>
      </c>
      <c r="C6" s="3" t="s">
        <v>20</v>
      </c>
      <c r="D6" s="3" t="s">
        <v>31</v>
      </c>
    </row>
    <row r="7" spans="1:7" x14ac:dyDescent="0.25">
      <c r="A7" t="s">
        <v>286</v>
      </c>
      <c r="B7" s="42">
        <v>0.2</v>
      </c>
    </row>
    <row r="8" spans="1:7" x14ac:dyDescent="0.25">
      <c r="A8" t="s">
        <v>285</v>
      </c>
      <c r="B8" s="42">
        <v>0.5</v>
      </c>
    </row>
    <row r="9" spans="1:7" x14ac:dyDescent="0.25">
      <c r="A9" s="3" t="s">
        <v>288</v>
      </c>
      <c r="B9" s="3">
        <v>3.8</v>
      </c>
      <c r="C9" s="3"/>
      <c r="D9" s="3"/>
    </row>
    <row r="10" spans="1:7" x14ac:dyDescent="0.25">
      <c r="A10" s="3" t="s">
        <v>289</v>
      </c>
      <c r="B10" s="3">
        <v>1.1000000000000001</v>
      </c>
      <c r="C10" s="3"/>
      <c r="D10" s="3"/>
    </row>
    <row r="11" spans="1:7" x14ac:dyDescent="0.25">
      <c r="A11" s="3" t="s">
        <v>290</v>
      </c>
      <c r="B11" s="3">
        <v>8</v>
      </c>
      <c r="C11" s="3"/>
      <c r="D11" s="3"/>
    </row>
    <row r="12" spans="1:7" x14ac:dyDescent="0.25">
      <c r="A12" t="s">
        <v>377</v>
      </c>
      <c r="B12">
        <f>'BC performance summary'!$B$7*'General variables'!$B$11</f>
        <v>60278.400000000001</v>
      </c>
    </row>
    <row r="13" spans="1:7" ht="18.75" x14ac:dyDescent="0.35">
      <c r="A13" t="s">
        <v>583</v>
      </c>
      <c r="B13">
        <v>72.222499999999997</v>
      </c>
      <c r="C13" t="s">
        <v>584</v>
      </c>
    </row>
    <row r="14" spans="1:7" ht="18.75" x14ac:dyDescent="0.35">
      <c r="A14" t="s">
        <v>595</v>
      </c>
      <c r="B14">
        <v>60.2</v>
      </c>
      <c r="C14" t="s">
        <v>584</v>
      </c>
    </row>
    <row r="15" spans="1:7" x14ac:dyDescent="0.25">
      <c r="A15" t="s">
        <v>723</v>
      </c>
      <c r="B15">
        <v>154</v>
      </c>
      <c r="C15" t="s">
        <v>20</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FD106"/>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27.28515625" customWidth="1"/>
    <col min="9" max="9" width="26.140625" customWidth="1"/>
    <col min="10" max="10" width="26.28515625" customWidth="1"/>
    <col min="11" max="11" width="26.140625" customWidth="1"/>
    <col min="12" max="12" width="24.42578125" customWidth="1"/>
    <col min="13" max="13" width="31.5703125" customWidth="1"/>
    <col min="14" max="14" width="34.140625" customWidth="1"/>
    <col min="15" max="15" width="34.140625" bestFit="1" customWidth="1"/>
    <col min="16" max="16" width="11.5703125" customWidth="1"/>
  </cols>
  <sheetData>
    <row r="1" spans="1:16384" x14ac:dyDescent="0.25">
      <c r="A1" s="8" t="s">
        <v>83</v>
      </c>
      <c r="B1" s="9" t="s">
        <v>861</v>
      </c>
      <c r="C1" s="8"/>
      <c r="D1" s="9"/>
      <c r="E1" s="8"/>
      <c r="F1" s="9"/>
      <c r="G1" s="8"/>
      <c r="H1" s="9"/>
      <c r="I1" s="8"/>
      <c r="J1" s="9"/>
      <c r="K1" s="8"/>
      <c r="L1" s="9"/>
      <c r="M1" s="8"/>
      <c r="N1" s="9"/>
      <c r="O1" s="8"/>
      <c r="P1" s="9"/>
      <c r="Q1" s="8"/>
      <c r="R1" s="9"/>
      <c r="S1" s="8"/>
      <c r="T1" s="9"/>
      <c r="U1" s="8"/>
      <c r="V1" s="9"/>
      <c r="W1" s="8"/>
      <c r="X1" s="9"/>
      <c r="Y1" s="8"/>
      <c r="Z1" s="9"/>
      <c r="AA1" s="8"/>
      <c r="AB1" s="9"/>
      <c r="AC1" s="8"/>
      <c r="AD1" s="9"/>
      <c r="AE1" s="8"/>
      <c r="AF1" s="9"/>
      <c r="AG1" s="8"/>
      <c r="AH1" s="9"/>
      <c r="AI1" s="8"/>
      <c r="AJ1" s="9"/>
      <c r="AK1" s="8"/>
      <c r="AL1" s="9"/>
      <c r="AM1" s="8"/>
      <c r="AN1" s="9"/>
      <c r="AO1" s="8"/>
      <c r="AP1" s="9"/>
      <c r="AQ1" s="8"/>
      <c r="AR1" s="9"/>
      <c r="AS1" s="8"/>
      <c r="AT1" s="9"/>
      <c r="AU1" s="8"/>
      <c r="AV1" s="9"/>
      <c r="AW1" s="8"/>
      <c r="AX1" s="9"/>
      <c r="AY1" s="8"/>
      <c r="AZ1" s="9"/>
      <c r="BA1" s="8"/>
      <c r="BB1" s="9"/>
      <c r="BC1" s="8"/>
      <c r="BD1" s="9"/>
      <c r="BE1" s="8"/>
      <c r="BF1" s="9"/>
      <c r="BG1" s="8"/>
      <c r="BH1" s="9"/>
      <c r="BI1" s="8"/>
      <c r="BJ1" s="9"/>
      <c r="BK1" s="8"/>
      <c r="BL1" s="9"/>
      <c r="BM1" s="8"/>
      <c r="BN1" s="9"/>
      <c r="BO1" s="8"/>
      <c r="BP1" s="9"/>
      <c r="BQ1" s="8"/>
      <c r="BR1" s="9"/>
      <c r="BS1" s="8"/>
      <c r="BT1" s="9"/>
      <c r="BU1" s="8"/>
      <c r="BV1" s="9"/>
      <c r="BW1" s="8"/>
      <c r="BX1" s="9"/>
      <c r="BY1" s="8"/>
      <c r="BZ1" s="9"/>
      <c r="CA1" s="8"/>
      <c r="CB1" s="9"/>
      <c r="CC1" s="8"/>
      <c r="CD1" s="9"/>
      <c r="CE1" s="8"/>
      <c r="CF1" s="9"/>
      <c r="CG1" s="8"/>
      <c r="CH1" s="9"/>
      <c r="CI1" s="8"/>
      <c r="CJ1" s="9"/>
      <c r="CK1" s="8"/>
      <c r="CL1" s="9"/>
      <c r="CM1" s="8"/>
      <c r="CN1" s="9"/>
      <c r="CO1" s="8"/>
      <c r="CP1" s="9"/>
      <c r="CQ1" s="8"/>
      <c r="CR1" s="9"/>
      <c r="CS1" s="8"/>
      <c r="CT1" s="9"/>
      <c r="CU1" s="8"/>
      <c r="CV1" s="9"/>
      <c r="CW1" s="8"/>
      <c r="CX1" s="9"/>
      <c r="CY1" s="8"/>
      <c r="CZ1" s="9"/>
      <c r="DA1" s="8"/>
      <c r="DB1" s="9"/>
      <c r="DC1" s="8"/>
      <c r="DD1" s="9"/>
      <c r="DE1" s="8"/>
      <c r="DF1" s="9"/>
      <c r="DG1" s="8"/>
      <c r="DH1" s="9"/>
      <c r="DI1" s="8"/>
      <c r="DJ1" s="9"/>
      <c r="DK1" s="8"/>
      <c r="DL1" s="9"/>
      <c r="DM1" s="8"/>
      <c r="DN1" s="9"/>
      <c r="DO1" s="8"/>
      <c r="DP1" s="9"/>
      <c r="DQ1" s="8"/>
      <c r="DR1" s="9"/>
      <c r="DS1" s="8"/>
      <c r="DT1" s="9"/>
      <c r="DU1" s="8"/>
      <c r="DV1" s="9"/>
      <c r="DW1" s="8"/>
      <c r="DX1" s="9"/>
      <c r="DY1" s="8"/>
      <c r="DZ1" s="9"/>
      <c r="EA1" s="8"/>
      <c r="EB1" s="9"/>
      <c r="EC1" s="8"/>
      <c r="ED1" s="9"/>
      <c r="EE1" s="8"/>
      <c r="EF1" s="9"/>
      <c r="EG1" s="8"/>
      <c r="EH1" s="9"/>
      <c r="EI1" s="8"/>
      <c r="EJ1" s="9"/>
      <c r="EK1" s="8"/>
      <c r="EL1" s="9"/>
      <c r="EM1" s="8"/>
      <c r="EN1" s="9"/>
      <c r="EO1" s="8"/>
      <c r="EP1" s="9"/>
      <c r="EQ1" s="8"/>
      <c r="ER1" s="9"/>
      <c r="ES1" s="8"/>
      <c r="ET1" s="9"/>
      <c r="EU1" s="8"/>
      <c r="EV1" s="9"/>
      <c r="EW1" s="8"/>
      <c r="EX1" s="9"/>
      <c r="EY1" s="8"/>
      <c r="EZ1" s="9"/>
      <c r="FA1" s="8"/>
      <c r="FB1" s="9"/>
      <c r="FC1" s="8"/>
      <c r="FD1" s="9"/>
      <c r="FE1" s="8"/>
      <c r="FF1" s="9"/>
      <c r="FG1" s="8"/>
      <c r="FH1" s="9"/>
      <c r="FI1" s="8"/>
      <c r="FJ1" s="9"/>
      <c r="FK1" s="8"/>
      <c r="FL1" s="9"/>
      <c r="FM1" s="8"/>
      <c r="FN1" s="9"/>
      <c r="FO1" s="8"/>
      <c r="FP1" s="9"/>
      <c r="FQ1" s="8"/>
      <c r="FR1" s="9"/>
      <c r="FS1" s="8"/>
      <c r="FT1" s="9"/>
      <c r="FU1" s="8"/>
      <c r="FV1" s="9"/>
      <c r="FW1" s="8"/>
      <c r="FX1" s="9"/>
      <c r="FY1" s="8"/>
      <c r="FZ1" s="9"/>
      <c r="GA1" s="8"/>
      <c r="GB1" s="9"/>
      <c r="GC1" s="8"/>
      <c r="GD1" s="9"/>
      <c r="GE1" s="8"/>
      <c r="GF1" s="9"/>
      <c r="GG1" s="8"/>
      <c r="GH1" s="9"/>
      <c r="GI1" s="8"/>
      <c r="GJ1" s="9"/>
      <c r="GK1" s="8"/>
      <c r="GL1" s="9"/>
      <c r="GM1" s="8"/>
      <c r="GN1" s="9"/>
      <c r="GO1" s="8"/>
      <c r="GP1" s="9"/>
      <c r="GQ1" s="8"/>
      <c r="GR1" s="9"/>
      <c r="GS1" s="8"/>
      <c r="GT1" s="9"/>
      <c r="GU1" s="8"/>
      <c r="GV1" s="9"/>
      <c r="GW1" s="8"/>
      <c r="GX1" s="9"/>
      <c r="GY1" s="8"/>
      <c r="GZ1" s="9"/>
      <c r="HA1" s="8"/>
      <c r="HB1" s="9"/>
      <c r="HC1" s="8"/>
      <c r="HD1" s="9"/>
      <c r="HE1" s="8"/>
      <c r="HF1" s="9"/>
      <c r="HG1" s="8"/>
      <c r="HH1" s="9"/>
      <c r="HI1" s="8"/>
      <c r="HJ1" s="9"/>
      <c r="HK1" s="8"/>
      <c r="HL1" s="9"/>
      <c r="HM1" s="8"/>
      <c r="HN1" s="9"/>
      <c r="HO1" s="8"/>
      <c r="HP1" s="9"/>
      <c r="HQ1" s="8"/>
      <c r="HR1" s="9"/>
      <c r="HS1" s="8"/>
      <c r="HT1" s="9"/>
      <c r="HU1" s="8"/>
      <c r="HV1" s="9"/>
      <c r="HW1" s="8"/>
      <c r="HX1" s="9"/>
      <c r="HY1" s="8"/>
      <c r="HZ1" s="9"/>
      <c r="IA1" s="8"/>
      <c r="IB1" s="9"/>
      <c r="IC1" s="8"/>
      <c r="ID1" s="9"/>
      <c r="IE1" s="8"/>
      <c r="IF1" s="9"/>
      <c r="IG1" s="8"/>
      <c r="IH1" s="9"/>
      <c r="II1" s="8"/>
      <c r="IJ1" s="9"/>
      <c r="IK1" s="8"/>
      <c r="IL1" s="9"/>
      <c r="IM1" s="8"/>
      <c r="IN1" s="9"/>
      <c r="IO1" s="8"/>
      <c r="IP1" s="9"/>
      <c r="IQ1" s="8"/>
      <c r="IR1" s="9"/>
      <c r="IS1" s="8"/>
      <c r="IT1" s="9"/>
      <c r="IU1" s="8"/>
      <c r="IV1" s="9"/>
      <c r="IW1" s="8"/>
      <c r="IX1" s="9"/>
      <c r="IY1" s="8"/>
      <c r="IZ1" s="9"/>
      <c r="JA1" s="8"/>
      <c r="JB1" s="9"/>
      <c r="JC1" s="8"/>
      <c r="JD1" s="9"/>
      <c r="JE1" s="8"/>
      <c r="JF1" s="9"/>
      <c r="JG1" s="8"/>
      <c r="JH1" s="9"/>
      <c r="JI1" s="8"/>
      <c r="JJ1" s="9"/>
      <c r="JK1" s="8"/>
      <c r="JL1" s="9"/>
      <c r="JM1" s="8"/>
      <c r="JN1" s="9"/>
      <c r="JO1" s="8"/>
      <c r="JP1" s="9"/>
      <c r="JQ1" s="8"/>
      <c r="JR1" s="9"/>
      <c r="JS1" s="8"/>
      <c r="JT1" s="9"/>
      <c r="JU1" s="8"/>
      <c r="JV1" s="9"/>
      <c r="JW1" s="8"/>
      <c r="JX1" s="9"/>
      <c r="JY1" s="8"/>
      <c r="JZ1" s="9"/>
      <c r="KA1" s="8"/>
      <c r="KB1" s="9"/>
      <c r="KC1" s="8"/>
      <c r="KD1" s="9"/>
      <c r="KE1" s="8"/>
      <c r="KF1" s="9"/>
      <c r="KG1" s="8"/>
      <c r="KH1" s="9"/>
      <c r="KI1" s="8"/>
      <c r="KJ1" s="9"/>
      <c r="KK1" s="8"/>
      <c r="KL1" s="9"/>
      <c r="KM1" s="8"/>
      <c r="KN1" s="9"/>
      <c r="KO1" s="8"/>
      <c r="KP1" s="9"/>
      <c r="KQ1" s="8"/>
      <c r="KR1" s="9"/>
      <c r="KS1" s="8"/>
      <c r="KT1" s="9"/>
      <c r="KU1" s="8"/>
      <c r="KV1" s="9"/>
      <c r="KW1" s="8"/>
      <c r="KX1" s="9"/>
      <c r="KY1" s="8"/>
      <c r="KZ1" s="9"/>
      <c r="LA1" s="8"/>
      <c r="LB1" s="9"/>
      <c r="LC1" s="8"/>
      <c r="LD1" s="9"/>
      <c r="LE1" s="8"/>
      <c r="LF1" s="9"/>
      <c r="LG1" s="8"/>
      <c r="LH1" s="9"/>
      <c r="LI1" s="8"/>
      <c r="LJ1" s="9"/>
      <c r="LK1" s="8"/>
      <c r="LL1" s="9"/>
      <c r="LM1" s="8"/>
      <c r="LN1" s="9"/>
      <c r="LO1" s="8"/>
      <c r="LP1" s="9"/>
      <c r="LQ1" s="8"/>
      <c r="LR1" s="9"/>
      <c r="LS1" s="8"/>
      <c r="LT1" s="9"/>
      <c r="LU1" s="8"/>
      <c r="LV1" s="9"/>
      <c r="LW1" s="8"/>
      <c r="LX1" s="9"/>
      <c r="LY1" s="8"/>
      <c r="LZ1" s="9"/>
      <c r="MA1" s="8"/>
      <c r="MB1" s="9"/>
      <c r="MC1" s="8"/>
      <c r="MD1" s="9"/>
      <c r="ME1" s="8"/>
      <c r="MF1" s="9"/>
      <c r="MG1" s="8"/>
      <c r="MH1" s="9"/>
      <c r="MI1" s="8"/>
      <c r="MJ1" s="9"/>
      <c r="MK1" s="8"/>
      <c r="ML1" s="9"/>
      <c r="MM1" s="8"/>
      <c r="MN1" s="9"/>
      <c r="MO1" s="8"/>
      <c r="MP1" s="9"/>
      <c r="MQ1" s="8"/>
      <c r="MR1" s="9"/>
      <c r="MS1" s="8"/>
      <c r="MT1" s="9"/>
      <c r="MU1" s="8"/>
      <c r="MV1" s="9"/>
      <c r="MW1" s="8"/>
      <c r="MX1" s="9"/>
      <c r="MY1" s="8"/>
      <c r="MZ1" s="9"/>
      <c r="NA1" s="8"/>
      <c r="NB1" s="9"/>
      <c r="NC1" s="8"/>
      <c r="ND1" s="9"/>
      <c r="NE1" s="8"/>
      <c r="NF1" s="9"/>
      <c r="NG1" s="8"/>
      <c r="NH1" s="9"/>
      <c r="NI1" s="8"/>
      <c r="NJ1" s="9"/>
      <c r="NK1" s="8"/>
      <c r="NL1" s="9"/>
      <c r="NM1" s="8"/>
      <c r="NN1" s="9"/>
      <c r="NO1" s="8"/>
      <c r="NP1" s="9"/>
      <c r="NQ1" s="8"/>
      <c r="NR1" s="9"/>
      <c r="NS1" s="8"/>
      <c r="NT1" s="9"/>
      <c r="NU1" s="8"/>
      <c r="NV1" s="9"/>
      <c r="NW1" s="8"/>
      <c r="NX1" s="9"/>
      <c r="NY1" s="8"/>
      <c r="NZ1" s="9"/>
      <c r="OA1" s="8"/>
      <c r="OB1" s="9"/>
      <c r="OC1" s="8"/>
      <c r="OD1" s="9"/>
      <c r="OE1" s="8"/>
      <c r="OF1" s="9"/>
      <c r="OG1" s="8"/>
      <c r="OH1" s="9"/>
      <c r="OI1" s="8"/>
      <c r="OJ1" s="9"/>
      <c r="OK1" s="8"/>
      <c r="OL1" s="9"/>
      <c r="OM1" s="8"/>
      <c r="ON1" s="9"/>
      <c r="OO1" s="8"/>
      <c r="OP1" s="9"/>
      <c r="OQ1" s="8"/>
      <c r="OR1" s="9"/>
      <c r="OS1" s="8"/>
      <c r="OT1" s="9"/>
      <c r="OU1" s="8"/>
      <c r="OV1" s="9"/>
      <c r="OW1" s="8"/>
      <c r="OX1" s="9"/>
      <c r="OY1" s="8"/>
      <c r="OZ1" s="9"/>
      <c r="PA1" s="8"/>
      <c r="PB1" s="9"/>
      <c r="PC1" s="8"/>
      <c r="PD1" s="9"/>
      <c r="PE1" s="8"/>
      <c r="PF1" s="9"/>
      <c r="PG1" s="8"/>
      <c r="PH1" s="9"/>
      <c r="PI1" s="8"/>
      <c r="PJ1" s="9"/>
      <c r="PK1" s="8"/>
      <c r="PL1" s="9"/>
      <c r="PM1" s="8"/>
      <c r="PN1" s="9"/>
      <c r="PO1" s="8"/>
      <c r="PP1" s="9"/>
      <c r="PQ1" s="8"/>
      <c r="PR1" s="9"/>
      <c r="PS1" s="8"/>
      <c r="PT1" s="9"/>
      <c r="PU1" s="8"/>
      <c r="PV1" s="9"/>
      <c r="PW1" s="8"/>
      <c r="PX1" s="9"/>
      <c r="PY1" s="8"/>
      <c r="PZ1" s="9"/>
      <c r="QA1" s="8"/>
      <c r="QB1" s="9"/>
      <c r="QC1" s="8"/>
      <c r="QD1" s="9"/>
      <c r="QE1" s="8"/>
      <c r="QF1" s="9"/>
      <c r="QG1" s="8"/>
      <c r="QH1" s="9"/>
      <c r="QI1" s="8"/>
      <c r="QJ1" s="9"/>
      <c r="QK1" s="8"/>
      <c r="QL1" s="9"/>
      <c r="QM1" s="8"/>
      <c r="QN1" s="9"/>
      <c r="QO1" s="8"/>
      <c r="QP1" s="9"/>
      <c r="QQ1" s="8"/>
      <c r="QR1" s="9"/>
      <c r="QS1" s="8"/>
      <c r="QT1" s="9"/>
      <c r="QU1" s="8"/>
      <c r="QV1" s="9"/>
      <c r="QW1" s="8"/>
      <c r="QX1" s="9"/>
      <c r="QY1" s="8"/>
      <c r="QZ1" s="9"/>
      <c r="RA1" s="8"/>
      <c r="RB1" s="9"/>
      <c r="RC1" s="8"/>
      <c r="RD1" s="9"/>
      <c r="RE1" s="8"/>
      <c r="RF1" s="9"/>
      <c r="RG1" s="8"/>
      <c r="RH1" s="9"/>
      <c r="RI1" s="8"/>
      <c r="RJ1" s="9"/>
      <c r="RK1" s="8"/>
      <c r="RL1" s="9"/>
      <c r="RM1" s="8"/>
      <c r="RN1" s="9"/>
      <c r="RO1" s="8"/>
      <c r="RP1" s="9"/>
      <c r="RQ1" s="8"/>
      <c r="RR1" s="9"/>
      <c r="RS1" s="8"/>
      <c r="RT1" s="9"/>
      <c r="RU1" s="8"/>
      <c r="RV1" s="9"/>
      <c r="RW1" s="8"/>
      <c r="RX1" s="9"/>
      <c r="RY1" s="8"/>
      <c r="RZ1" s="9"/>
      <c r="SA1" s="8"/>
      <c r="SB1" s="9"/>
      <c r="SC1" s="8"/>
      <c r="SD1" s="9"/>
      <c r="SE1" s="8"/>
      <c r="SF1" s="9"/>
      <c r="SG1" s="8"/>
      <c r="SH1" s="9"/>
      <c r="SI1" s="8"/>
      <c r="SJ1" s="9"/>
      <c r="SK1" s="8"/>
      <c r="SL1" s="9"/>
      <c r="SM1" s="8"/>
      <c r="SN1" s="9"/>
      <c r="SO1" s="8"/>
      <c r="SP1" s="9"/>
      <c r="SQ1" s="8"/>
      <c r="SR1" s="9"/>
      <c r="SS1" s="8"/>
      <c r="ST1" s="9"/>
      <c r="SU1" s="8"/>
      <c r="SV1" s="9"/>
      <c r="SW1" s="8"/>
      <c r="SX1" s="9"/>
      <c r="SY1" s="8"/>
      <c r="SZ1" s="9"/>
      <c r="TA1" s="8"/>
      <c r="TB1" s="9"/>
      <c r="TC1" s="8"/>
      <c r="TD1" s="9"/>
      <c r="TE1" s="8"/>
      <c r="TF1" s="9"/>
      <c r="TG1" s="8"/>
      <c r="TH1" s="9"/>
      <c r="TI1" s="8"/>
      <c r="TJ1" s="9"/>
      <c r="TK1" s="8"/>
      <c r="TL1" s="9"/>
      <c r="TM1" s="8"/>
      <c r="TN1" s="9"/>
      <c r="TO1" s="8"/>
      <c r="TP1" s="9"/>
      <c r="TQ1" s="8"/>
      <c r="TR1" s="9"/>
      <c r="TS1" s="8"/>
      <c r="TT1" s="9"/>
      <c r="TU1" s="8"/>
      <c r="TV1" s="9"/>
      <c r="TW1" s="8"/>
      <c r="TX1" s="9"/>
      <c r="TY1" s="8"/>
      <c r="TZ1" s="9"/>
      <c r="UA1" s="8"/>
      <c r="UB1" s="9"/>
      <c r="UC1" s="8"/>
      <c r="UD1" s="9"/>
      <c r="UE1" s="8"/>
      <c r="UF1" s="9"/>
      <c r="UG1" s="8"/>
      <c r="UH1" s="9"/>
      <c r="UI1" s="8"/>
      <c r="UJ1" s="9"/>
      <c r="UK1" s="8"/>
      <c r="UL1" s="9"/>
      <c r="UM1" s="8"/>
      <c r="UN1" s="9"/>
      <c r="UO1" s="8"/>
      <c r="UP1" s="9"/>
      <c r="UQ1" s="8"/>
      <c r="UR1" s="9"/>
      <c r="US1" s="8"/>
      <c r="UT1" s="9"/>
      <c r="UU1" s="8"/>
      <c r="UV1" s="9"/>
      <c r="UW1" s="8"/>
      <c r="UX1" s="9"/>
      <c r="UY1" s="8"/>
      <c r="UZ1" s="9"/>
      <c r="VA1" s="8"/>
      <c r="VB1" s="9"/>
      <c r="VC1" s="8"/>
      <c r="VD1" s="9"/>
      <c r="VE1" s="8"/>
      <c r="VF1" s="9"/>
      <c r="VG1" s="8"/>
      <c r="VH1" s="9"/>
      <c r="VI1" s="8"/>
      <c r="VJ1" s="9"/>
      <c r="VK1" s="8"/>
      <c r="VL1" s="9"/>
      <c r="VM1" s="8"/>
      <c r="VN1" s="9"/>
      <c r="VO1" s="8"/>
      <c r="VP1" s="9"/>
      <c r="VQ1" s="8"/>
      <c r="VR1" s="9"/>
      <c r="VS1" s="8"/>
      <c r="VT1" s="9"/>
      <c r="VU1" s="8"/>
      <c r="VV1" s="9"/>
      <c r="VW1" s="8"/>
      <c r="VX1" s="9"/>
      <c r="VY1" s="8"/>
      <c r="VZ1" s="9"/>
      <c r="WA1" s="8"/>
      <c r="WB1" s="9"/>
      <c r="WC1" s="8"/>
      <c r="WD1" s="9"/>
      <c r="WE1" s="8"/>
      <c r="WF1" s="9"/>
      <c r="WG1" s="8"/>
      <c r="WH1" s="9"/>
      <c r="WI1" s="8"/>
      <c r="WJ1" s="9"/>
      <c r="WK1" s="8"/>
      <c r="WL1" s="9"/>
      <c r="WM1" s="8"/>
      <c r="WN1" s="9"/>
      <c r="WO1" s="8"/>
      <c r="WP1" s="9"/>
      <c r="WQ1" s="8"/>
      <c r="WR1" s="9"/>
      <c r="WS1" s="8"/>
      <c r="WT1" s="9"/>
      <c r="WU1" s="8"/>
      <c r="WV1" s="9"/>
      <c r="WW1" s="8"/>
      <c r="WX1" s="9"/>
      <c r="WY1" s="8"/>
      <c r="WZ1" s="9"/>
      <c r="XA1" s="8"/>
      <c r="XB1" s="9"/>
      <c r="XC1" s="8"/>
      <c r="XD1" s="9"/>
      <c r="XE1" s="8"/>
      <c r="XF1" s="9"/>
      <c r="XG1" s="8"/>
      <c r="XH1" s="9"/>
      <c r="XI1" s="8"/>
      <c r="XJ1" s="9"/>
      <c r="XK1" s="8"/>
      <c r="XL1" s="9"/>
      <c r="XM1" s="8"/>
      <c r="XN1" s="9"/>
      <c r="XO1" s="8"/>
      <c r="XP1" s="9"/>
      <c r="XQ1" s="8"/>
      <c r="XR1" s="9"/>
      <c r="XS1" s="8"/>
      <c r="XT1" s="9"/>
      <c r="XU1" s="8"/>
      <c r="XV1" s="9"/>
      <c r="XW1" s="8"/>
      <c r="XX1" s="9"/>
      <c r="XY1" s="8"/>
      <c r="XZ1" s="9"/>
      <c r="YA1" s="8"/>
      <c r="YB1" s="9"/>
      <c r="YC1" s="8"/>
      <c r="YD1" s="9"/>
      <c r="YE1" s="8"/>
      <c r="YF1" s="9"/>
      <c r="YG1" s="8"/>
      <c r="YH1" s="9"/>
      <c r="YI1" s="8"/>
      <c r="YJ1" s="9"/>
      <c r="YK1" s="8"/>
      <c r="YL1" s="9"/>
      <c r="YM1" s="8"/>
      <c r="YN1" s="9"/>
      <c r="YO1" s="8"/>
      <c r="YP1" s="9"/>
      <c r="YQ1" s="8"/>
      <c r="YR1" s="9"/>
      <c r="YS1" s="8"/>
      <c r="YT1" s="9"/>
      <c r="YU1" s="8"/>
      <c r="YV1" s="9"/>
      <c r="YW1" s="8"/>
      <c r="YX1" s="9"/>
      <c r="YY1" s="8"/>
      <c r="YZ1" s="9"/>
      <c r="ZA1" s="8"/>
      <c r="ZB1" s="9"/>
      <c r="ZC1" s="8"/>
      <c r="ZD1" s="9"/>
      <c r="ZE1" s="8"/>
      <c r="ZF1" s="9"/>
      <c r="ZG1" s="8"/>
      <c r="ZH1" s="9"/>
      <c r="ZI1" s="8"/>
      <c r="ZJ1" s="9"/>
      <c r="ZK1" s="8"/>
      <c r="ZL1" s="9"/>
      <c r="ZM1" s="8"/>
      <c r="ZN1" s="9"/>
      <c r="ZO1" s="8"/>
      <c r="ZP1" s="9"/>
      <c r="ZQ1" s="8"/>
      <c r="ZR1" s="9"/>
      <c r="ZS1" s="8"/>
      <c r="ZT1" s="9"/>
      <c r="ZU1" s="8"/>
      <c r="ZV1" s="9"/>
      <c r="ZW1" s="8"/>
      <c r="ZX1" s="9"/>
      <c r="ZY1" s="8"/>
      <c r="ZZ1" s="9"/>
      <c r="AAA1" s="8"/>
      <c r="AAB1" s="9"/>
      <c r="AAC1" s="8"/>
      <c r="AAD1" s="9"/>
      <c r="AAE1" s="8"/>
      <c r="AAF1" s="9"/>
      <c r="AAG1" s="8"/>
      <c r="AAH1" s="9"/>
      <c r="AAI1" s="8"/>
      <c r="AAJ1" s="9"/>
      <c r="AAK1" s="8"/>
      <c r="AAL1" s="9"/>
      <c r="AAM1" s="8"/>
      <c r="AAN1" s="9"/>
      <c r="AAO1" s="8"/>
      <c r="AAP1" s="9"/>
      <c r="AAQ1" s="8"/>
      <c r="AAR1" s="9"/>
      <c r="AAS1" s="8"/>
      <c r="AAT1" s="9"/>
      <c r="AAU1" s="8"/>
      <c r="AAV1" s="9"/>
      <c r="AAW1" s="8"/>
      <c r="AAX1" s="9"/>
      <c r="AAY1" s="8"/>
      <c r="AAZ1" s="9"/>
      <c r="ABA1" s="8"/>
      <c r="ABB1" s="9"/>
      <c r="ABC1" s="8"/>
      <c r="ABD1" s="9"/>
      <c r="ABE1" s="8"/>
      <c r="ABF1" s="9"/>
      <c r="ABG1" s="8"/>
      <c r="ABH1" s="9"/>
      <c r="ABI1" s="8"/>
      <c r="ABJ1" s="9"/>
      <c r="ABK1" s="8"/>
      <c r="ABL1" s="9"/>
      <c r="ABM1" s="8"/>
      <c r="ABN1" s="9"/>
      <c r="ABO1" s="8"/>
      <c r="ABP1" s="9"/>
      <c r="ABQ1" s="8"/>
      <c r="ABR1" s="9"/>
      <c r="ABS1" s="8"/>
      <c r="ABT1" s="9"/>
      <c r="ABU1" s="8"/>
      <c r="ABV1" s="9"/>
      <c r="ABW1" s="8"/>
      <c r="ABX1" s="9"/>
      <c r="ABY1" s="8"/>
      <c r="ABZ1" s="9"/>
      <c r="ACA1" s="8"/>
      <c r="ACB1" s="9"/>
      <c r="ACC1" s="8"/>
      <c r="ACD1" s="9"/>
      <c r="ACE1" s="8"/>
      <c r="ACF1" s="9"/>
      <c r="ACG1" s="8"/>
      <c r="ACH1" s="9"/>
      <c r="ACI1" s="8"/>
      <c r="ACJ1" s="9"/>
      <c r="ACK1" s="8"/>
      <c r="ACL1" s="9"/>
      <c r="ACM1" s="8"/>
      <c r="ACN1" s="9"/>
      <c r="ACO1" s="8"/>
      <c r="ACP1" s="9"/>
      <c r="ACQ1" s="8"/>
      <c r="ACR1" s="9"/>
      <c r="ACS1" s="8"/>
      <c r="ACT1" s="9"/>
      <c r="ACU1" s="8"/>
      <c r="ACV1" s="9"/>
      <c r="ACW1" s="8"/>
      <c r="ACX1" s="9"/>
      <c r="ACY1" s="8"/>
      <c r="ACZ1" s="9"/>
      <c r="ADA1" s="8"/>
      <c r="ADB1" s="9"/>
      <c r="ADC1" s="8"/>
      <c r="ADD1" s="9"/>
      <c r="ADE1" s="8"/>
      <c r="ADF1" s="9"/>
      <c r="ADG1" s="8"/>
      <c r="ADH1" s="9"/>
      <c r="ADI1" s="8"/>
      <c r="ADJ1" s="9"/>
      <c r="ADK1" s="8"/>
      <c r="ADL1" s="9"/>
      <c r="ADM1" s="8"/>
      <c r="ADN1" s="9"/>
      <c r="ADO1" s="8"/>
      <c r="ADP1" s="9"/>
      <c r="ADQ1" s="8"/>
      <c r="ADR1" s="9"/>
      <c r="ADS1" s="8"/>
      <c r="ADT1" s="9"/>
      <c r="ADU1" s="8"/>
      <c r="ADV1" s="9"/>
      <c r="ADW1" s="8"/>
      <c r="ADX1" s="9"/>
      <c r="ADY1" s="8"/>
      <c r="ADZ1" s="9"/>
      <c r="AEA1" s="8"/>
      <c r="AEB1" s="9"/>
      <c r="AEC1" s="8"/>
      <c r="AED1" s="9"/>
      <c r="AEE1" s="8"/>
      <c r="AEF1" s="9"/>
      <c r="AEG1" s="8"/>
      <c r="AEH1" s="9"/>
      <c r="AEI1" s="8"/>
      <c r="AEJ1" s="9"/>
      <c r="AEK1" s="8"/>
      <c r="AEL1" s="9"/>
      <c r="AEM1" s="8"/>
      <c r="AEN1" s="9"/>
      <c r="AEO1" s="8"/>
      <c r="AEP1" s="9"/>
      <c r="AEQ1" s="8"/>
      <c r="AER1" s="9"/>
      <c r="AES1" s="8"/>
      <c r="AET1" s="9"/>
      <c r="AEU1" s="8"/>
      <c r="AEV1" s="9"/>
      <c r="AEW1" s="8"/>
      <c r="AEX1" s="9"/>
      <c r="AEY1" s="8"/>
      <c r="AEZ1" s="9"/>
      <c r="AFA1" s="8"/>
      <c r="AFB1" s="9"/>
      <c r="AFC1" s="8"/>
      <c r="AFD1" s="9"/>
      <c r="AFE1" s="8"/>
      <c r="AFF1" s="9"/>
      <c r="AFG1" s="8"/>
      <c r="AFH1" s="9"/>
      <c r="AFI1" s="8"/>
      <c r="AFJ1" s="9"/>
      <c r="AFK1" s="8"/>
      <c r="AFL1" s="9"/>
      <c r="AFM1" s="8"/>
      <c r="AFN1" s="9"/>
      <c r="AFO1" s="8"/>
      <c r="AFP1" s="9"/>
      <c r="AFQ1" s="8"/>
      <c r="AFR1" s="9"/>
      <c r="AFS1" s="8"/>
      <c r="AFT1" s="9"/>
      <c r="AFU1" s="8"/>
      <c r="AFV1" s="9"/>
      <c r="AFW1" s="8"/>
      <c r="AFX1" s="9"/>
      <c r="AFY1" s="8"/>
      <c r="AFZ1" s="9"/>
      <c r="AGA1" s="8"/>
      <c r="AGB1" s="9"/>
      <c r="AGC1" s="8"/>
      <c r="AGD1" s="9"/>
      <c r="AGE1" s="8"/>
      <c r="AGF1" s="9"/>
      <c r="AGG1" s="8"/>
      <c r="AGH1" s="9"/>
      <c r="AGI1" s="8"/>
      <c r="AGJ1" s="9"/>
      <c r="AGK1" s="8"/>
      <c r="AGL1" s="9"/>
      <c r="AGM1" s="8"/>
      <c r="AGN1" s="9"/>
      <c r="AGO1" s="8"/>
      <c r="AGP1" s="9"/>
      <c r="AGQ1" s="8"/>
      <c r="AGR1" s="9"/>
      <c r="AGS1" s="8"/>
      <c r="AGT1" s="9"/>
      <c r="AGU1" s="8"/>
      <c r="AGV1" s="9"/>
      <c r="AGW1" s="8"/>
      <c r="AGX1" s="9"/>
      <c r="AGY1" s="8"/>
      <c r="AGZ1" s="9"/>
      <c r="AHA1" s="8"/>
      <c r="AHB1" s="9"/>
      <c r="AHC1" s="8"/>
      <c r="AHD1" s="9"/>
      <c r="AHE1" s="8"/>
      <c r="AHF1" s="9"/>
      <c r="AHG1" s="8"/>
      <c r="AHH1" s="9"/>
      <c r="AHI1" s="8"/>
      <c r="AHJ1" s="9"/>
      <c r="AHK1" s="8"/>
      <c r="AHL1" s="9"/>
      <c r="AHM1" s="8"/>
      <c r="AHN1" s="9"/>
      <c r="AHO1" s="8"/>
      <c r="AHP1" s="9"/>
      <c r="AHQ1" s="8"/>
      <c r="AHR1" s="9"/>
      <c r="AHS1" s="8"/>
      <c r="AHT1" s="9"/>
      <c r="AHU1" s="8"/>
      <c r="AHV1" s="9"/>
      <c r="AHW1" s="8"/>
      <c r="AHX1" s="9"/>
      <c r="AHY1" s="8"/>
      <c r="AHZ1" s="9"/>
      <c r="AIA1" s="8"/>
      <c r="AIB1" s="9"/>
      <c r="AIC1" s="8"/>
      <c r="AID1" s="9"/>
      <c r="AIE1" s="8"/>
      <c r="AIF1" s="9"/>
      <c r="AIG1" s="8"/>
      <c r="AIH1" s="9"/>
      <c r="AII1" s="8"/>
      <c r="AIJ1" s="9"/>
      <c r="AIK1" s="8"/>
      <c r="AIL1" s="9"/>
      <c r="AIM1" s="8"/>
      <c r="AIN1" s="9"/>
      <c r="AIO1" s="8"/>
      <c r="AIP1" s="9"/>
      <c r="AIQ1" s="8"/>
      <c r="AIR1" s="9"/>
      <c r="AIS1" s="8"/>
      <c r="AIT1" s="9"/>
      <c r="AIU1" s="8"/>
      <c r="AIV1" s="9"/>
      <c r="AIW1" s="8"/>
      <c r="AIX1" s="9"/>
      <c r="AIY1" s="8"/>
      <c r="AIZ1" s="9"/>
      <c r="AJA1" s="8"/>
      <c r="AJB1" s="9"/>
      <c r="AJC1" s="8"/>
      <c r="AJD1" s="9"/>
      <c r="AJE1" s="8"/>
      <c r="AJF1" s="9"/>
      <c r="AJG1" s="8"/>
      <c r="AJH1" s="9"/>
      <c r="AJI1" s="8"/>
      <c r="AJJ1" s="9"/>
      <c r="AJK1" s="8"/>
      <c r="AJL1" s="9"/>
      <c r="AJM1" s="8"/>
      <c r="AJN1" s="9"/>
      <c r="AJO1" s="8"/>
      <c r="AJP1" s="9"/>
      <c r="AJQ1" s="8"/>
      <c r="AJR1" s="9"/>
      <c r="AJS1" s="8"/>
      <c r="AJT1" s="9"/>
      <c r="AJU1" s="8"/>
      <c r="AJV1" s="9"/>
      <c r="AJW1" s="8"/>
      <c r="AJX1" s="9"/>
      <c r="AJY1" s="8"/>
      <c r="AJZ1" s="9"/>
      <c r="AKA1" s="8"/>
      <c r="AKB1" s="9"/>
      <c r="AKC1" s="8"/>
      <c r="AKD1" s="9"/>
      <c r="AKE1" s="8"/>
      <c r="AKF1" s="9"/>
      <c r="AKG1" s="8"/>
      <c r="AKH1" s="9"/>
      <c r="AKI1" s="8"/>
      <c r="AKJ1" s="9"/>
      <c r="AKK1" s="8"/>
      <c r="AKL1" s="9"/>
      <c r="AKM1" s="8"/>
      <c r="AKN1" s="9"/>
      <c r="AKO1" s="8"/>
      <c r="AKP1" s="9"/>
      <c r="AKQ1" s="8"/>
      <c r="AKR1" s="9"/>
      <c r="AKS1" s="8"/>
      <c r="AKT1" s="9"/>
      <c r="AKU1" s="8"/>
      <c r="AKV1" s="9"/>
      <c r="AKW1" s="8"/>
      <c r="AKX1" s="9"/>
      <c r="AKY1" s="8"/>
      <c r="AKZ1" s="9"/>
      <c r="ALA1" s="8"/>
      <c r="ALB1" s="9"/>
      <c r="ALC1" s="8"/>
      <c r="ALD1" s="9"/>
      <c r="ALE1" s="8"/>
      <c r="ALF1" s="9"/>
      <c r="ALG1" s="8"/>
      <c r="ALH1" s="9"/>
      <c r="ALI1" s="8"/>
      <c r="ALJ1" s="9"/>
      <c r="ALK1" s="8"/>
      <c r="ALL1" s="9"/>
      <c r="ALM1" s="8"/>
      <c r="ALN1" s="9"/>
      <c r="ALO1" s="8"/>
      <c r="ALP1" s="9"/>
      <c r="ALQ1" s="8"/>
      <c r="ALR1" s="9"/>
      <c r="ALS1" s="8"/>
      <c r="ALT1" s="9"/>
      <c r="ALU1" s="8"/>
      <c r="ALV1" s="9"/>
      <c r="ALW1" s="8"/>
      <c r="ALX1" s="9"/>
      <c r="ALY1" s="8"/>
      <c r="ALZ1" s="9"/>
      <c r="AMA1" s="8"/>
      <c r="AMB1" s="9"/>
      <c r="AMC1" s="8"/>
      <c r="AMD1" s="9"/>
      <c r="AME1" s="8"/>
      <c r="AMF1" s="9"/>
      <c r="AMG1" s="8"/>
      <c r="AMH1" s="9"/>
      <c r="AMI1" s="8"/>
      <c r="AMJ1" s="9"/>
      <c r="AMK1" s="8"/>
      <c r="AML1" s="9"/>
      <c r="AMM1" s="8"/>
      <c r="AMN1" s="9"/>
      <c r="AMO1" s="8"/>
      <c r="AMP1" s="9"/>
      <c r="AMQ1" s="8"/>
      <c r="AMR1" s="9"/>
      <c r="AMS1" s="8"/>
      <c r="AMT1" s="9"/>
      <c r="AMU1" s="8"/>
      <c r="AMV1" s="9"/>
      <c r="AMW1" s="8"/>
      <c r="AMX1" s="9"/>
      <c r="AMY1" s="8"/>
      <c r="AMZ1" s="9"/>
      <c r="ANA1" s="8"/>
      <c r="ANB1" s="9"/>
      <c r="ANC1" s="8"/>
      <c r="AND1" s="9"/>
      <c r="ANE1" s="8"/>
      <c r="ANF1" s="9"/>
      <c r="ANG1" s="8"/>
      <c r="ANH1" s="9"/>
      <c r="ANI1" s="8"/>
      <c r="ANJ1" s="9"/>
      <c r="ANK1" s="8"/>
      <c r="ANL1" s="9"/>
      <c r="ANM1" s="8"/>
      <c r="ANN1" s="9"/>
      <c r="ANO1" s="8"/>
      <c r="ANP1" s="9"/>
      <c r="ANQ1" s="8"/>
      <c r="ANR1" s="9"/>
      <c r="ANS1" s="8"/>
      <c r="ANT1" s="9"/>
      <c r="ANU1" s="8"/>
      <c r="ANV1" s="9"/>
      <c r="ANW1" s="8"/>
      <c r="ANX1" s="9"/>
      <c r="ANY1" s="8"/>
      <c r="ANZ1" s="9"/>
      <c r="AOA1" s="8"/>
      <c r="AOB1" s="9"/>
      <c r="AOC1" s="8"/>
      <c r="AOD1" s="9"/>
      <c r="AOE1" s="8"/>
      <c r="AOF1" s="9"/>
      <c r="AOG1" s="8"/>
      <c r="AOH1" s="9"/>
      <c r="AOI1" s="8"/>
      <c r="AOJ1" s="9"/>
      <c r="AOK1" s="8"/>
      <c r="AOL1" s="9"/>
      <c r="AOM1" s="8"/>
      <c r="AON1" s="9"/>
      <c r="AOO1" s="8"/>
      <c r="AOP1" s="9"/>
      <c r="AOQ1" s="8"/>
      <c r="AOR1" s="9"/>
      <c r="AOS1" s="8"/>
      <c r="AOT1" s="9"/>
      <c r="AOU1" s="8"/>
      <c r="AOV1" s="9"/>
      <c r="AOW1" s="8"/>
      <c r="AOX1" s="9"/>
      <c r="AOY1" s="8"/>
      <c r="AOZ1" s="9"/>
      <c r="APA1" s="8"/>
      <c r="APB1" s="9"/>
      <c r="APC1" s="8"/>
      <c r="APD1" s="9"/>
      <c r="APE1" s="8"/>
      <c r="APF1" s="9"/>
      <c r="APG1" s="8"/>
      <c r="APH1" s="9"/>
      <c r="API1" s="8"/>
      <c r="APJ1" s="9"/>
      <c r="APK1" s="8"/>
      <c r="APL1" s="9"/>
      <c r="APM1" s="8"/>
      <c r="APN1" s="9"/>
      <c r="APO1" s="8"/>
      <c r="APP1" s="9"/>
      <c r="APQ1" s="8"/>
      <c r="APR1" s="9"/>
      <c r="APS1" s="8"/>
      <c r="APT1" s="9"/>
      <c r="APU1" s="8"/>
      <c r="APV1" s="9"/>
      <c r="APW1" s="8"/>
      <c r="APX1" s="9"/>
      <c r="APY1" s="8"/>
      <c r="APZ1" s="9"/>
      <c r="AQA1" s="8"/>
      <c r="AQB1" s="9"/>
      <c r="AQC1" s="8"/>
      <c r="AQD1" s="9"/>
      <c r="AQE1" s="8"/>
      <c r="AQF1" s="9"/>
      <c r="AQG1" s="8"/>
      <c r="AQH1" s="9"/>
      <c r="AQI1" s="8"/>
      <c r="AQJ1" s="9"/>
      <c r="AQK1" s="8"/>
      <c r="AQL1" s="9"/>
      <c r="AQM1" s="8"/>
      <c r="AQN1" s="9"/>
      <c r="AQO1" s="8"/>
      <c r="AQP1" s="9"/>
      <c r="AQQ1" s="8"/>
      <c r="AQR1" s="9"/>
      <c r="AQS1" s="8"/>
      <c r="AQT1" s="9"/>
      <c r="AQU1" s="8"/>
      <c r="AQV1" s="9"/>
      <c r="AQW1" s="8"/>
      <c r="AQX1" s="9"/>
      <c r="AQY1" s="8"/>
      <c r="AQZ1" s="9"/>
      <c r="ARA1" s="8"/>
      <c r="ARB1" s="9"/>
      <c r="ARC1" s="8"/>
      <c r="ARD1" s="9"/>
      <c r="ARE1" s="8"/>
      <c r="ARF1" s="9"/>
      <c r="ARG1" s="8"/>
      <c r="ARH1" s="9"/>
      <c r="ARI1" s="8"/>
      <c r="ARJ1" s="9"/>
      <c r="ARK1" s="8"/>
      <c r="ARL1" s="9"/>
      <c r="ARM1" s="8"/>
      <c r="ARN1" s="9"/>
      <c r="ARO1" s="8"/>
      <c r="ARP1" s="9"/>
      <c r="ARQ1" s="8"/>
      <c r="ARR1" s="9"/>
      <c r="ARS1" s="8"/>
      <c r="ART1" s="9"/>
      <c r="ARU1" s="8"/>
      <c r="ARV1" s="9"/>
      <c r="ARW1" s="8"/>
      <c r="ARX1" s="9"/>
      <c r="ARY1" s="8"/>
      <c r="ARZ1" s="9"/>
      <c r="ASA1" s="8"/>
      <c r="ASB1" s="9"/>
      <c r="ASC1" s="8"/>
      <c r="ASD1" s="9"/>
      <c r="ASE1" s="8"/>
      <c r="ASF1" s="9"/>
      <c r="ASG1" s="8"/>
      <c r="ASH1" s="9"/>
      <c r="ASI1" s="8"/>
      <c r="ASJ1" s="9"/>
      <c r="ASK1" s="8"/>
      <c r="ASL1" s="9"/>
      <c r="ASM1" s="8"/>
      <c r="ASN1" s="9"/>
      <c r="ASO1" s="8"/>
      <c r="ASP1" s="9"/>
      <c r="ASQ1" s="8"/>
      <c r="ASR1" s="9"/>
      <c r="ASS1" s="8"/>
      <c r="AST1" s="9"/>
      <c r="ASU1" s="8"/>
      <c r="ASV1" s="9"/>
      <c r="ASW1" s="8"/>
      <c r="ASX1" s="9"/>
      <c r="ASY1" s="8"/>
      <c r="ASZ1" s="9"/>
      <c r="ATA1" s="8"/>
      <c r="ATB1" s="9"/>
      <c r="ATC1" s="8"/>
      <c r="ATD1" s="9"/>
      <c r="ATE1" s="8"/>
      <c r="ATF1" s="9"/>
      <c r="ATG1" s="8"/>
      <c r="ATH1" s="9"/>
      <c r="ATI1" s="8"/>
      <c r="ATJ1" s="9"/>
      <c r="ATK1" s="8"/>
      <c r="ATL1" s="9"/>
      <c r="ATM1" s="8"/>
      <c r="ATN1" s="9"/>
      <c r="ATO1" s="8"/>
      <c r="ATP1" s="9"/>
      <c r="ATQ1" s="8"/>
      <c r="ATR1" s="9"/>
      <c r="ATS1" s="8"/>
      <c r="ATT1" s="9"/>
      <c r="ATU1" s="8"/>
      <c r="ATV1" s="9"/>
      <c r="ATW1" s="8"/>
      <c r="ATX1" s="9"/>
      <c r="ATY1" s="8"/>
      <c r="ATZ1" s="9"/>
      <c r="AUA1" s="8"/>
      <c r="AUB1" s="9"/>
      <c r="AUC1" s="8"/>
      <c r="AUD1" s="9"/>
      <c r="AUE1" s="8"/>
      <c r="AUF1" s="9"/>
      <c r="AUG1" s="8"/>
      <c r="AUH1" s="9"/>
      <c r="AUI1" s="8"/>
      <c r="AUJ1" s="9"/>
      <c r="AUK1" s="8"/>
      <c r="AUL1" s="9"/>
      <c r="AUM1" s="8"/>
      <c r="AUN1" s="9"/>
      <c r="AUO1" s="8"/>
      <c r="AUP1" s="9"/>
      <c r="AUQ1" s="8"/>
      <c r="AUR1" s="9"/>
      <c r="AUS1" s="8"/>
      <c r="AUT1" s="9"/>
      <c r="AUU1" s="8"/>
      <c r="AUV1" s="9"/>
      <c r="AUW1" s="8"/>
      <c r="AUX1" s="9"/>
      <c r="AUY1" s="8"/>
      <c r="AUZ1" s="9"/>
      <c r="AVA1" s="8"/>
      <c r="AVB1" s="9"/>
      <c r="AVC1" s="8"/>
      <c r="AVD1" s="9"/>
      <c r="AVE1" s="8"/>
      <c r="AVF1" s="9"/>
      <c r="AVG1" s="8"/>
      <c r="AVH1" s="9"/>
      <c r="AVI1" s="8"/>
      <c r="AVJ1" s="9"/>
      <c r="AVK1" s="8"/>
      <c r="AVL1" s="9"/>
      <c r="AVM1" s="8"/>
      <c r="AVN1" s="9"/>
      <c r="AVO1" s="8"/>
      <c r="AVP1" s="9"/>
      <c r="AVQ1" s="8"/>
      <c r="AVR1" s="9"/>
      <c r="AVS1" s="8"/>
      <c r="AVT1" s="9"/>
      <c r="AVU1" s="8"/>
      <c r="AVV1" s="9"/>
      <c r="AVW1" s="8"/>
      <c r="AVX1" s="9"/>
      <c r="AVY1" s="8"/>
      <c r="AVZ1" s="9"/>
      <c r="AWA1" s="8"/>
      <c r="AWB1" s="9"/>
      <c r="AWC1" s="8"/>
      <c r="AWD1" s="9"/>
      <c r="AWE1" s="8"/>
      <c r="AWF1" s="9"/>
      <c r="AWG1" s="8"/>
      <c r="AWH1" s="9"/>
      <c r="AWI1" s="8"/>
      <c r="AWJ1" s="9"/>
      <c r="AWK1" s="8"/>
      <c r="AWL1" s="9"/>
      <c r="AWM1" s="8"/>
      <c r="AWN1" s="9"/>
      <c r="AWO1" s="8"/>
      <c r="AWP1" s="9"/>
      <c r="AWQ1" s="8"/>
      <c r="AWR1" s="9"/>
      <c r="AWS1" s="8"/>
      <c r="AWT1" s="9"/>
      <c r="AWU1" s="8"/>
      <c r="AWV1" s="9"/>
      <c r="AWW1" s="8"/>
      <c r="AWX1" s="9"/>
      <c r="AWY1" s="8"/>
      <c r="AWZ1" s="9"/>
      <c r="AXA1" s="8"/>
      <c r="AXB1" s="9"/>
      <c r="AXC1" s="8"/>
      <c r="AXD1" s="9"/>
      <c r="AXE1" s="8"/>
      <c r="AXF1" s="9"/>
      <c r="AXG1" s="8"/>
      <c r="AXH1" s="9"/>
      <c r="AXI1" s="8"/>
      <c r="AXJ1" s="9"/>
      <c r="AXK1" s="8"/>
      <c r="AXL1" s="9"/>
      <c r="AXM1" s="8"/>
      <c r="AXN1" s="9"/>
      <c r="AXO1" s="8"/>
      <c r="AXP1" s="9"/>
      <c r="AXQ1" s="8"/>
      <c r="AXR1" s="9"/>
      <c r="AXS1" s="8"/>
      <c r="AXT1" s="9"/>
      <c r="AXU1" s="8"/>
      <c r="AXV1" s="9"/>
      <c r="AXW1" s="8"/>
      <c r="AXX1" s="9"/>
      <c r="AXY1" s="8"/>
      <c r="AXZ1" s="9"/>
      <c r="AYA1" s="8"/>
      <c r="AYB1" s="9"/>
      <c r="AYC1" s="8"/>
      <c r="AYD1" s="9"/>
      <c r="AYE1" s="8"/>
      <c r="AYF1" s="9"/>
      <c r="AYG1" s="8"/>
      <c r="AYH1" s="9"/>
      <c r="AYI1" s="8"/>
      <c r="AYJ1" s="9"/>
      <c r="AYK1" s="8"/>
      <c r="AYL1" s="9"/>
      <c r="AYM1" s="8"/>
      <c r="AYN1" s="9"/>
      <c r="AYO1" s="8"/>
      <c r="AYP1" s="9"/>
      <c r="AYQ1" s="8"/>
      <c r="AYR1" s="9"/>
      <c r="AYS1" s="8"/>
      <c r="AYT1" s="9"/>
      <c r="AYU1" s="8"/>
      <c r="AYV1" s="9"/>
      <c r="AYW1" s="8"/>
      <c r="AYX1" s="9"/>
      <c r="AYY1" s="8"/>
      <c r="AYZ1" s="9"/>
      <c r="AZA1" s="8"/>
      <c r="AZB1" s="9"/>
      <c r="AZC1" s="8"/>
      <c r="AZD1" s="9"/>
      <c r="AZE1" s="8"/>
      <c r="AZF1" s="9"/>
      <c r="AZG1" s="8"/>
      <c r="AZH1" s="9"/>
      <c r="AZI1" s="8"/>
      <c r="AZJ1" s="9"/>
      <c r="AZK1" s="8"/>
      <c r="AZL1" s="9"/>
      <c r="AZM1" s="8"/>
      <c r="AZN1" s="9"/>
      <c r="AZO1" s="8"/>
      <c r="AZP1" s="9"/>
      <c r="AZQ1" s="8"/>
      <c r="AZR1" s="9"/>
      <c r="AZS1" s="8"/>
      <c r="AZT1" s="9"/>
      <c r="AZU1" s="8"/>
      <c r="AZV1" s="9"/>
      <c r="AZW1" s="8"/>
      <c r="AZX1" s="9"/>
      <c r="AZY1" s="8"/>
      <c r="AZZ1" s="9"/>
      <c r="BAA1" s="8"/>
      <c r="BAB1" s="9"/>
      <c r="BAC1" s="8"/>
      <c r="BAD1" s="9"/>
      <c r="BAE1" s="8"/>
      <c r="BAF1" s="9"/>
      <c r="BAG1" s="8"/>
      <c r="BAH1" s="9"/>
      <c r="BAI1" s="8"/>
      <c r="BAJ1" s="9"/>
      <c r="BAK1" s="8"/>
      <c r="BAL1" s="9"/>
      <c r="BAM1" s="8"/>
      <c r="BAN1" s="9"/>
      <c r="BAO1" s="8"/>
      <c r="BAP1" s="9"/>
      <c r="BAQ1" s="8"/>
      <c r="BAR1" s="9"/>
      <c r="BAS1" s="8"/>
      <c r="BAT1" s="9"/>
      <c r="BAU1" s="8"/>
      <c r="BAV1" s="9"/>
      <c r="BAW1" s="8"/>
      <c r="BAX1" s="9"/>
      <c r="BAY1" s="8"/>
      <c r="BAZ1" s="9"/>
      <c r="BBA1" s="8"/>
      <c r="BBB1" s="9"/>
      <c r="BBC1" s="8"/>
      <c r="BBD1" s="9"/>
      <c r="BBE1" s="8"/>
      <c r="BBF1" s="9"/>
      <c r="BBG1" s="8"/>
      <c r="BBH1" s="9"/>
      <c r="BBI1" s="8"/>
      <c r="BBJ1" s="9"/>
      <c r="BBK1" s="8"/>
      <c r="BBL1" s="9"/>
      <c r="BBM1" s="8"/>
      <c r="BBN1" s="9"/>
      <c r="BBO1" s="8"/>
      <c r="BBP1" s="9"/>
      <c r="BBQ1" s="8"/>
      <c r="BBR1" s="9"/>
      <c r="BBS1" s="8"/>
      <c r="BBT1" s="9"/>
      <c r="BBU1" s="8"/>
      <c r="BBV1" s="9"/>
      <c r="BBW1" s="8"/>
      <c r="BBX1" s="9"/>
      <c r="BBY1" s="8"/>
      <c r="BBZ1" s="9"/>
      <c r="BCA1" s="8"/>
      <c r="BCB1" s="9"/>
      <c r="BCC1" s="8"/>
      <c r="BCD1" s="9"/>
      <c r="BCE1" s="8"/>
      <c r="BCF1" s="9"/>
      <c r="BCG1" s="8"/>
      <c r="BCH1" s="9"/>
      <c r="BCI1" s="8"/>
      <c r="BCJ1" s="9"/>
      <c r="BCK1" s="8"/>
      <c r="BCL1" s="9"/>
      <c r="BCM1" s="8"/>
      <c r="BCN1" s="9"/>
      <c r="BCO1" s="8"/>
      <c r="BCP1" s="9"/>
      <c r="BCQ1" s="8"/>
      <c r="BCR1" s="9"/>
      <c r="BCS1" s="8"/>
      <c r="BCT1" s="9"/>
      <c r="BCU1" s="8"/>
      <c r="BCV1" s="9"/>
      <c r="BCW1" s="8"/>
      <c r="BCX1" s="9"/>
      <c r="BCY1" s="8"/>
      <c r="BCZ1" s="9"/>
      <c r="BDA1" s="8"/>
      <c r="BDB1" s="9"/>
      <c r="BDC1" s="8"/>
      <c r="BDD1" s="9"/>
      <c r="BDE1" s="8"/>
      <c r="BDF1" s="9"/>
      <c r="BDG1" s="8"/>
      <c r="BDH1" s="9"/>
      <c r="BDI1" s="8"/>
      <c r="BDJ1" s="9"/>
      <c r="BDK1" s="8"/>
      <c r="BDL1" s="9"/>
      <c r="BDM1" s="8"/>
      <c r="BDN1" s="9"/>
      <c r="BDO1" s="8"/>
      <c r="BDP1" s="9"/>
      <c r="BDQ1" s="8"/>
      <c r="BDR1" s="9"/>
      <c r="BDS1" s="8"/>
      <c r="BDT1" s="9"/>
      <c r="BDU1" s="8"/>
      <c r="BDV1" s="9"/>
      <c r="BDW1" s="8"/>
      <c r="BDX1" s="9"/>
      <c r="BDY1" s="8"/>
      <c r="BDZ1" s="9"/>
      <c r="BEA1" s="8"/>
      <c r="BEB1" s="9"/>
      <c r="BEC1" s="8"/>
      <c r="BED1" s="9"/>
      <c r="BEE1" s="8"/>
      <c r="BEF1" s="9"/>
      <c r="BEG1" s="8"/>
      <c r="BEH1" s="9"/>
      <c r="BEI1" s="8"/>
      <c r="BEJ1" s="9"/>
      <c r="BEK1" s="8"/>
      <c r="BEL1" s="9"/>
      <c r="BEM1" s="8"/>
      <c r="BEN1" s="9"/>
      <c r="BEO1" s="8"/>
      <c r="BEP1" s="9"/>
      <c r="BEQ1" s="8"/>
      <c r="BER1" s="9"/>
      <c r="BES1" s="8"/>
      <c r="BET1" s="9"/>
      <c r="BEU1" s="8"/>
      <c r="BEV1" s="9"/>
      <c r="BEW1" s="8"/>
      <c r="BEX1" s="9"/>
      <c r="BEY1" s="8"/>
      <c r="BEZ1" s="9"/>
      <c r="BFA1" s="8"/>
      <c r="BFB1" s="9"/>
      <c r="BFC1" s="8"/>
      <c r="BFD1" s="9"/>
      <c r="BFE1" s="8"/>
      <c r="BFF1" s="9"/>
      <c r="BFG1" s="8"/>
      <c r="BFH1" s="9"/>
      <c r="BFI1" s="8"/>
      <c r="BFJ1" s="9"/>
      <c r="BFK1" s="8"/>
      <c r="BFL1" s="9"/>
      <c r="BFM1" s="8"/>
      <c r="BFN1" s="9"/>
      <c r="BFO1" s="8"/>
      <c r="BFP1" s="9"/>
      <c r="BFQ1" s="8"/>
      <c r="BFR1" s="9"/>
      <c r="BFS1" s="8"/>
      <c r="BFT1" s="9"/>
      <c r="BFU1" s="8"/>
      <c r="BFV1" s="9"/>
      <c r="BFW1" s="8"/>
      <c r="BFX1" s="9"/>
      <c r="BFY1" s="8"/>
      <c r="BFZ1" s="9"/>
      <c r="BGA1" s="8"/>
      <c r="BGB1" s="9"/>
      <c r="BGC1" s="8"/>
      <c r="BGD1" s="9"/>
      <c r="BGE1" s="8"/>
      <c r="BGF1" s="9"/>
      <c r="BGG1" s="8"/>
      <c r="BGH1" s="9"/>
      <c r="BGI1" s="8"/>
      <c r="BGJ1" s="9"/>
      <c r="BGK1" s="8"/>
      <c r="BGL1" s="9"/>
      <c r="BGM1" s="8"/>
      <c r="BGN1" s="9"/>
      <c r="BGO1" s="8"/>
      <c r="BGP1" s="9"/>
      <c r="BGQ1" s="8"/>
      <c r="BGR1" s="9"/>
      <c r="BGS1" s="8"/>
      <c r="BGT1" s="9"/>
      <c r="BGU1" s="8"/>
      <c r="BGV1" s="9"/>
      <c r="BGW1" s="8"/>
      <c r="BGX1" s="9"/>
      <c r="BGY1" s="8"/>
      <c r="BGZ1" s="9"/>
      <c r="BHA1" s="8"/>
      <c r="BHB1" s="9"/>
      <c r="BHC1" s="8"/>
      <c r="BHD1" s="9"/>
      <c r="BHE1" s="8"/>
      <c r="BHF1" s="9"/>
      <c r="BHG1" s="8"/>
      <c r="BHH1" s="9"/>
      <c r="BHI1" s="8"/>
      <c r="BHJ1" s="9"/>
      <c r="BHK1" s="8"/>
      <c r="BHL1" s="9"/>
      <c r="BHM1" s="8"/>
      <c r="BHN1" s="9"/>
      <c r="BHO1" s="8"/>
      <c r="BHP1" s="9"/>
      <c r="BHQ1" s="8"/>
      <c r="BHR1" s="9"/>
      <c r="BHS1" s="8"/>
      <c r="BHT1" s="9"/>
      <c r="BHU1" s="8"/>
      <c r="BHV1" s="9"/>
      <c r="BHW1" s="8"/>
      <c r="BHX1" s="9"/>
      <c r="BHY1" s="8"/>
      <c r="BHZ1" s="9"/>
      <c r="BIA1" s="8"/>
      <c r="BIB1" s="9"/>
      <c r="BIC1" s="8"/>
      <c r="BID1" s="9"/>
      <c r="BIE1" s="8"/>
      <c r="BIF1" s="9"/>
      <c r="BIG1" s="8"/>
      <c r="BIH1" s="9"/>
      <c r="BII1" s="8"/>
      <c r="BIJ1" s="9"/>
      <c r="BIK1" s="8"/>
      <c r="BIL1" s="9"/>
      <c r="BIM1" s="8"/>
      <c r="BIN1" s="9"/>
      <c r="BIO1" s="8"/>
      <c r="BIP1" s="9"/>
      <c r="BIQ1" s="8"/>
      <c r="BIR1" s="9"/>
      <c r="BIS1" s="8"/>
      <c r="BIT1" s="9"/>
      <c r="BIU1" s="8"/>
      <c r="BIV1" s="9"/>
      <c r="BIW1" s="8"/>
      <c r="BIX1" s="9"/>
      <c r="BIY1" s="8"/>
      <c r="BIZ1" s="9"/>
      <c r="BJA1" s="8"/>
      <c r="BJB1" s="9"/>
      <c r="BJC1" s="8"/>
      <c r="BJD1" s="9"/>
      <c r="BJE1" s="8"/>
      <c r="BJF1" s="9"/>
      <c r="BJG1" s="8"/>
      <c r="BJH1" s="9"/>
      <c r="BJI1" s="8"/>
      <c r="BJJ1" s="9"/>
      <c r="BJK1" s="8"/>
      <c r="BJL1" s="9"/>
      <c r="BJM1" s="8"/>
      <c r="BJN1" s="9"/>
      <c r="BJO1" s="8"/>
      <c r="BJP1" s="9"/>
      <c r="BJQ1" s="8"/>
      <c r="BJR1" s="9"/>
      <c r="BJS1" s="8"/>
      <c r="BJT1" s="9"/>
      <c r="BJU1" s="8"/>
      <c r="BJV1" s="9"/>
      <c r="BJW1" s="8"/>
      <c r="BJX1" s="9"/>
      <c r="BJY1" s="8"/>
      <c r="BJZ1" s="9"/>
      <c r="BKA1" s="8"/>
      <c r="BKB1" s="9"/>
      <c r="BKC1" s="8"/>
      <c r="BKD1" s="9"/>
      <c r="BKE1" s="8"/>
      <c r="BKF1" s="9"/>
      <c r="BKG1" s="8"/>
      <c r="BKH1" s="9"/>
      <c r="BKI1" s="8"/>
      <c r="BKJ1" s="9"/>
      <c r="BKK1" s="8"/>
      <c r="BKL1" s="9"/>
      <c r="BKM1" s="8"/>
      <c r="BKN1" s="9"/>
      <c r="BKO1" s="8"/>
      <c r="BKP1" s="9"/>
      <c r="BKQ1" s="8"/>
      <c r="BKR1" s="9"/>
      <c r="BKS1" s="8"/>
      <c r="BKT1" s="9"/>
      <c r="BKU1" s="8"/>
      <c r="BKV1" s="9"/>
      <c r="BKW1" s="8"/>
      <c r="BKX1" s="9"/>
      <c r="BKY1" s="8"/>
      <c r="BKZ1" s="9"/>
      <c r="BLA1" s="8"/>
      <c r="BLB1" s="9"/>
      <c r="BLC1" s="8"/>
      <c r="BLD1" s="9"/>
      <c r="BLE1" s="8"/>
      <c r="BLF1" s="9"/>
      <c r="BLG1" s="8"/>
      <c r="BLH1" s="9"/>
      <c r="BLI1" s="8"/>
      <c r="BLJ1" s="9"/>
      <c r="BLK1" s="8"/>
      <c r="BLL1" s="9"/>
      <c r="BLM1" s="8"/>
      <c r="BLN1" s="9"/>
      <c r="BLO1" s="8"/>
      <c r="BLP1" s="9"/>
      <c r="BLQ1" s="8"/>
      <c r="BLR1" s="9"/>
      <c r="BLS1" s="8"/>
      <c r="BLT1" s="9"/>
      <c r="BLU1" s="8"/>
      <c r="BLV1" s="9"/>
      <c r="BLW1" s="8"/>
      <c r="BLX1" s="9"/>
      <c r="BLY1" s="8"/>
      <c r="BLZ1" s="9"/>
      <c r="BMA1" s="8"/>
      <c r="BMB1" s="9"/>
      <c r="BMC1" s="8"/>
      <c r="BMD1" s="9"/>
      <c r="BME1" s="8"/>
      <c r="BMF1" s="9"/>
      <c r="BMG1" s="8"/>
      <c r="BMH1" s="9"/>
      <c r="BMI1" s="8"/>
      <c r="BMJ1" s="9"/>
      <c r="BMK1" s="8"/>
      <c r="BML1" s="9"/>
      <c r="BMM1" s="8"/>
      <c r="BMN1" s="9"/>
      <c r="BMO1" s="8"/>
      <c r="BMP1" s="9"/>
      <c r="BMQ1" s="8"/>
      <c r="BMR1" s="9"/>
      <c r="BMS1" s="8"/>
      <c r="BMT1" s="9"/>
      <c r="BMU1" s="8"/>
      <c r="BMV1" s="9"/>
      <c r="BMW1" s="8"/>
      <c r="BMX1" s="9"/>
      <c r="BMY1" s="8"/>
      <c r="BMZ1" s="9"/>
      <c r="BNA1" s="8"/>
      <c r="BNB1" s="9"/>
      <c r="BNC1" s="8"/>
      <c r="BND1" s="9"/>
      <c r="BNE1" s="8"/>
      <c r="BNF1" s="9"/>
      <c r="BNG1" s="8"/>
      <c r="BNH1" s="9"/>
      <c r="BNI1" s="8"/>
      <c r="BNJ1" s="9"/>
      <c r="BNK1" s="8"/>
      <c r="BNL1" s="9"/>
      <c r="BNM1" s="8"/>
      <c r="BNN1" s="9"/>
      <c r="BNO1" s="8"/>
      <c r="BNP1" s="9"/>
      <c r="BNQ1" s="8"/>
      <c r="BNR1" s="9"/>
      <c r="BNS1" s="8"/>
      <c r="BNT1" s="9"/>
      <c r="BNU1" s="8"/>
      <c r="BNV1" s="9"/>
      <c r="BNW1" s="8"/>
      <c r="BNX1" s="9"/>
      <c r="BNY1" s="8"/>
      <c r="BNZ1" s="9"/>
      <c r="BOA1" s="8"/>
      <c r="BOB1" s="9"/>
      <c r="BOC1" s="8"/>
      <c r="BOD1" s="9"/>
      <c r="BOE1" s="8"/>
      <c r="BOF1" s="9"/>
      <c r="BOG1" s="8"/>
      <c r="BOH1" s="9"/>
      <c r="BOI1" s="8"/>
      <c r="BOJ1" s="9"/>
      <c r="BOK1" s="8"/>
      <c r="BOL1" s="9"/>
      <c r="BOM1" s="8"/>
      <c r="BON1" s="9"/>
      <c r="BOO1" s="8"/>
      <c r="BOP1" s="9"/>
      <c r="BOQ1" s="8"/>
      <c r="BOR1" s="9"/>
      <c r="BOS1" s="8"/>
      <c r="BOT1" s="9"/>
      <c r="BOU1" s="8"/>
      <c r="BOV1" s="9"/>
      <c r="BOW1" s="8"/>
      <c r="BOX1" s="9"/>
      <c r="BOY1" s="8"/>
      <c r="BOZ1" s="9"/>
      <c r="BPA1" s="8"/>
      <c r="BPB1" s="9"/>
      <c r="BPC1" s="8"/>
      <c r="BPD1" s="9"/>
      <c r="BPE1" s="8"/>
      <c r="BPF1" s="9"/>
      <c r="BPG1" s="8"/>
      <c r="BPH1" s="9"/>
      <c r="BPI1" s="8"/>
      <c r="BPJ1" s="9"/>
      <c r="BPK1" s="8"/>
      <c r="BPL1" s="9"/>
      <c r="BPM1" s="8"/>
      <c r="BPN1" s="9"/>
      <c r="BPO1" s="8"/>
      <c r="BPP1" s="9"/>
      <c r="BPQ1" s="8"/>
      <c r="BPR1" s="9"/>
      <c r="BPS1" s="8"/>
      <c r="BPT1" s="9"/>
      <c r="BPU1" s="8"/>
      <c r="BPV1" s="9"/>
      <c r="BPW1" s="8"/>
      <c r="BPX1" s="9"/>
      <c r="BPY1" s="8"/>
      <c r="BPZ1" s="9"/>
      <c r="BQA1" s="8"/>
      <c r="BQB1" s="9"/>
      <c r="BQC1" s="8"/>
      <c r="BQD1" s="9"/>
      <c r="BQE1" s="8"/>
      <c r="BQF1" s="9"/>
      <c r="BQG1" s="8"/>
      <c r="BQH1" s="9"/>
      <c r="BQI1" s="8"/>
      <c r="BQJ1" s="9"/>
      <c r="BQK1" s="8"/>
      <c r="BQL1" s="9"/>
      <c r="BQM1" s="8"/>
      <c r="BQN1" s="9"/>
      <c r="BQO1" s="8"/>
      <c r="BQP1" s="9"/>
      <c r="BQQ1" s="8"/>
      <c r="BQR1" s="9"/>
      <c r="BQS1" s="8"/>
      <c r="BQT1" s="9"/>
      <c r="BQU1" s="8"/>
      <c r="BQV1" s="9"/>
      <c r="BQW1" s="8"/>
      <c r="BQX1" s="9"/>
      <c r="BQY1" s="8"/>
      <c r="BQZ1" s="9"/>
      <c r="BRA1" s="8"/>
      <c r="BRB1" s="9"/>
      <c r="BRC1" s="8"/>
      <c r="BRD1" s="9"/>
      <c r="BRE1" s="8"/>
      <c r="BRF1" s="9"/>
      <c r="BRG1" s="8"/>
      <c r="BRH1" s="9"/>
      <c r="BRI1" s="8"/>
      <c r="BRJ1" s="9"/>
      <c r="BRK1" s="8"/>
      <c r="BRL1" s="9"/>
      <c r="BRM1" s="8"/>
      <c r="BRN1" s="9"/>
      <c r="BRO1" s="8"/>
      <c r="BRP1" s="9"/>
      <c r="BRQ1" s="8"/>
      <c r="BRR1" s="9"/>
      <c r="BRS1" s="8"/>
      <c r="BRT1" s="9"/>
      <c r="BRU1" s="8"/>
      <c r="BRV1" s="9"/>
      <c r="BRW1" s="8"/>
      <c r="BRX1" s="9"/>
      <c r="BRY1" s="8"/>
      <c r="BRZ1" s="9"/>
      <c r="BSA1" s="8"/>
      <c r="BSB1" s="9"/>
      <c r="BSC1" s="8"/>
      <c r="BSD1" s="9"/>
      <c r="BSE1" s="8"/>
      <c r="BSF1" s="9"/>
      <c r="BSG1" s="8"/>
      <c r="BSH1" s="9"/>
      <c r="BSI1" s="8"/>
      <c r="BSJ1" s="9"/>
      <c r="BSK1" s="8"/>
      <c r="BSL1" s="9"/>
      <c r="BSM1" s="8"/>
      <c r="BSN1" s="9"/>
      <c r="BSO1" s="8"/>
      <c r="BSP1" s="9"/>
      <c r="BSQ1" s="8"/>
      <c r="BSR1" s="9"/>
      <c r="BSS1" s="8"/>
      <c r="BST1" s="9"/>
      <c r="BSU1" s="8"/>
      <c r="BSV1" s="9"/>
      <c r="BSW1" s="8"/>
      <c r="BSX1" s="9"/>
      <c r="BSY1" s="8"/>
      <c r="BSZ1" s="9"/>
      <c r="BTA1" s="8"/>
      <c r="BTB1" s="9"/>
      <c r="BTC1" s="8"/>
      <c r="BTD1" s="9"/>
      <c r="BTE1" s="8"/>
      <c r="BTF1" s="9"/>
      <c r="BTG1" s="8"/>
      <c r="BTH1" s="9"/>
      <c r="BTI1" s="8"/>
      <c r="BTJ1" s="9"/>
      <c r="BTK1" s="8"/>
      <c r="BTL1" s="9"/>
      <c r="BTM1" s="8"/>
      <c r="BTN1" s="9"/>
      <c r="BTO1" s="8"/>
      <c r="BTP1" s="9"/>
      <c r="BTQ1" s="8"/>
      <c r="BTR1" s="9"/>
      <c r="BTS1" s="8"/>
      <c r="BTT1" s="9"/>
      <c r="BTU1" s="8"/>
      <c r="BTV1" s="9"/>
      <c r="BTW1" s="8"/>
      <c r="BTX1" s="9"/>
      <c r="BTY1" s="8"/>
      <c r="BTZ1" s="9"/>
      <c r="BUA1" s="8"/>
      <c r="BUB1" s="9"/>
      <c r="BUC1" s="8"/>
      <c r="BUD1" s="9"/>
      <c r="BUE1" s="8"/>
      <c r="BUF1" s="9"/>
      <c r="BUG1" s="8"/>
      <c r="BUH1" s="9"/>
      <c r="BUI1" s="8"/>
      <c r="BUJ1" s="9"/>
      <c r="BUK1" s="8"/>
      <c r="BUL1" s="9"/>
      <c r="BUM1" s="8"/>
      <c r="BUN1" s="9"/>
      <c r="BUO1" s="8"/>
      <c r="BUP1" s="9"/>
      <c r="BUQ1" s="8"/>
      <c r="BUR1" s="9"/>
      <c r="BUS1" s="8"/>
      <c r="BUT1" s="9"/>
      <c r="BUU1" s="8"/>
      <c r="BUV1" s="9"/>
      <c r="BUW1" s="8"/>
      <c r="BUX1" s="9"/>
      <c r="BUY1" s="8"/>
      <c r="BUZ1" s="9"/>
      <c r="BVA1" s="8"/>
      <c r="BVB1" s="9"/>
      <c r="BVC1" s="8"/>
      <c r="BVD1" s="9"/>
      <c r="BVE1" s="8"/>
      <c r="BVF1" s="9"/>
      <c r="BVG1" s="8"/>
      <c r="BVH1" s="9"/>
      <c r="BVI1" s="8"/>
      <c r="BVJ1" s="9"/>
      <c r="BVK1" s="8"/>
      <c r="BVL1" s="9"/>
      <c r="BVM1" s="8"/>
      <c r="BVN1" s="9"/>
      <c r="BVO1" s="8"/>
      <c r="BVP1" s="9"/>
      <c r="BVQ1" s="8"/>
      <c r="BVR1" s="9"/>
      <c r="BVS1" s="8"/>
      <c r="BVT1" s="9"/>
      <c r="BVU1" s="8"/>
      <c r="BVV1" s="9"/>
      <c r="BVW1" s="8"/>
      <c r="BVX1" s="9"/>
      <c r="BVY1" s="8"/>
      <c r="BVZ1" s="9"/>
      <c r="BWA1" s="8"/>
      <c r="BWB1" s="9"/>
      <c r="BWC1" s="8"/>
      <c r="BWD1" s="9"/>
      <c r="BWE1" s="8"/>
      <c r="BWF1" s="9"/>
      <c r="BWG1" s="8"/>
      <c r="BWH1" s="9"/>
      <c r="BWI1" s="8"/>
      <c r="BWJ1" s="9"/>
      <c r="BWK1" s="8"/>
      <c r="BWL1" s="9"/>
      <c r="BWM1" s="8"/>
      <c r="BWN1" s="9"/>
      <c r="BWO1" s="8"/>
      <c r="BWP1" s="9"/>
      <c r="BWQ1" s="8"/>
      <c r="BWR1" s="9"/>
      <c r="BWS1" s="8"/>
      <c r="BWT1" s="9"/>
      <c r="BWU1" s="8"/>
      <c r="BWV1" s="9"/>
      <c r="BWW1" s="8"/>
      <c r="BWX1" s="9"/>
      <c r="BWY1" s="8"/>
      <c r="BWZ1" s="9"/>
      <c r="BXA1" s="8"/>
      <c r="BXB1" s="9"/>
      <c r="BXC1" s="8"/>
      <c r="BXD1" s="9"/>
      <c r="BXE1" s="8"/>
      <c r="BXF1" s="9"/>
      <c r="BXG1" s="8"/>
      <c r="BXH1" s="9"/>
      <c r="BXI1" s="8"/>
      <c r="BXJ1" s="9"/>
      <c r="BXK1" s="8"/>
      <c r="BXL1" s="9"/>
      <c r="BXM1" s="8"/>
      <c r="BXN1" s="9"/>
      <c r="BXO1" s="8"/>
      <c r="BXP1" s="9"/>
      <c r="BXQ1" s="8"/>
      <c r="BXR1" s="9"/>
      <c r="BXS1" s="8"/>
      <c r="BXT1" s="9"/>
      <c r="BXU1" s="8"/>
      <c r="BXV1" s="9"/>
      <c r="BXW1" s="8"/>
      <c r="BXX1" s="9"/>
      <c r="BXY1" s="8"/>
      <c r="BXZ1" s="9"/>
      <c r="BYA1" s="8"/>
      <c r="BYB1" s="9"/>
      <c r="BYC1" s="8"/>
      <c r="BYD1" s="9"/>
      <c r="BYE1" s="8"/>
      <c r="BYF1" s="9"/>
      <c r="BYG1" s="8"/>
      <c r="BYH1" s="9"/>
      <c r="BYI1" s="8"/>
      <c r="BYJ1" s="9"/>
      <c r="BYK1" s="8"/>
      <c r="BYL1" s="9"/>
      <c r="BYM1" s="8"/>
      <c r="BYN1" s="9"/>
      <c r="BYO1" s="8"/>
      <c r="BYP1" s="9"/>
      <c r="BYQ1" s="8"/>
      <c r="BYR1" s="9"/>
      <c r="BYS1" s="8"/>
      <c r="BYT1" s="9"/>
      <c r="BYU1" s="8"/>
      <c r="BYV1" s="9"/>
      <c r="BYW1" s="8"/>
      <c r="BYX1" s="9"/>
      <c r="BYY1" s="8"/>
      <c r="BYZ1" s="9"/>
      <c r="BZA1" s="8"/>
      <c r="BZB1" s="9"/>
      <c r="BZC1" s="8"/>
      <c r="BZD1" s="9"/>
      <c r="BZE1" s="8"/>
      <c r="BZF1" s="9"/>
      <c r="BZG1" s="8"/>
      <c r="BZH1" s="9"/>
      <c r="BZI1" s="8"/>
      <c r="BZJ1" s="9"/>
      <c r="BZK1" s="8"/>
      <c r="BZL1" s="9"/>
      <c r="BZM1" s="8"/>
      <c r="BZN1" s="9"/>
      <c r="BZO1" s="8"/>
      <c r="BZP1" s="9"/>
      <c r="BZQ1" s="8"/>
      <c r="BZR1" s="9"/>
      <c r="BZS1" s="8"/>
      <c r="BZT1" s="9"/>
      <c r="BZU1" s="8"/>
      <c r="BZV1" s="9"/>
      <c r="BZW1" s="8"/>
      <c r="BZX1" s="9"/>
      <c r="BZY1" s="8"/>
      <c r="BZZ1" s="9"/>
      <c r="CAA1" s="8"/>
      <c r="CAB1" s="9"/>
      <c r="CAC1" s="8"/>
      <c r="CAD1" s="9"/>
      <c r="CAE1" s="8"/>
      <c r="CAF1" s="9"/>
      <c r="CAG1" s="8"/>
      <c r="CAH1" s="9"/>
      <c r="CAI1" s="8"/>
      <c r="CAJ1" s="9"/>
      <c r="CAK1" s="8"/>
      <c r="CAL1" s="9"/>
      <c r="CAM1" s="8"/>
      <c r="CAN1" s="9"/>
      <c r="CAO1" s="8"/>
      <c r="CAP1" s="9"/>
      <c r="CAQ1" s="8"/>
      <c r="CAR1" s="9"/>
      <c r="CAS1" s="8"/>
      <c r="CAT1" s="9"/>
      <c r="CAU1" s="8"/>
      <c r="CAV1" s="9"/>
      <c r="CAW1" s="8"/>
      <c r="CAX1" s="9"/>
      <c r="CAY1" s="8"/>
      <c r="CAZ1" s="9"/>
      <c r="CBA1" s="8"/>
      <c r="CBB1" s="9"/>
      <c r="CBC1" s="8"/>
      <c r="CBD1" s="9"/>
      <c r="CBE1" s="8"/>
      <c r="CBF1" s="9"/>
      <c r="CBG1" s="8"/>
      <c r="CBH1" s="9"/>
      <c r="CBI1" s="8"/>
      <c r="CBJ1" s="9"/>
      <c r="CBK1" s="8"/>
      <c r="CBL1" s="9"/>
      <c r="CBM1" s="8"/>
      <c r="CBN1" s="9"/>
      <c r="CBO1" s="8"/>
      <c r="CBP1" s="9"/>
      <c r="CBQ1" s="8"/>
      <c r="CBR1" s="9"/>
      <c r="CBS1" s="8"/>
      <c r="CBT1" s="9"/>
      <c r="CBU1" s="8"/>
      <c r="CBV1" s="9"/>
      <c r="CBW1" s="8"/>
      <c r="CBX1" s="9"/>
      <c r="CBY1" s="8"/>
      <c r="CBZ1" s="9"/>
      <c r="CCA1" s="8"/>
      <c r="CCB1" s="9"/>
      <c r="CCC1" s="8"/>
      <c r="CCD1" s="9"/>
      <c r="CCE1" s="8"/>
      <c r="CCF1" s="9"/>
      <c r="CCG1" s="8"/>
      <c r="CCH1" s="9"/>
      <c r="CCI1" s="8"/>
      <c r="CCJ1" s="9"/>
      <c r="CCK1" s="8"/>
      <c r="CCL1" s="9"/>
      <c r="CCM1" s="8"/>
      <c r="CCN1" s="9"/>
      <c r="CCO1" s="8"/>
      <c r="CCP1" s="9"/>
      <c r="CCQ1" s="8"/>
      <c r="CCR1" s="9"/>
      <c r="CCS1" s="8"/>
      <c r="CCT1" s="9"/>
      <c r="CCU1" s="8"/>
      <c r="CCV1" s="9"/>
      <c r="CCW1" s="8"/>
      <c r="CCX1" s="9"/>
      <c r="CCY1" s="8"/>
      <c r="CCZ1" s="9"/>
      <c r="CDA1" s="8"/>
      <c r="CDB1" s="9"/>
      <c r="CDC1" s="8"/>
      <c r="CDD1" s="9"/>
      <c r="CDE1" s="8"/>
      <c r="CDF1" s="9"/>
      <c r="CDG1" s="8"/>
      <c r="CDH1" s="9"/>
      <c r="CDI1" s="8"/>
      <c r="CDJ1" s="9"/>
      <c r="CDK1" s="8"/>
      <c r="CDL1" s="9"/>
      <c r="CDM1" s="8"/>
      <c r="CDN1" s="9"/>
      <c r="CDO1" s="8"/>
      <c r="CDP1" s="9"/>
      <c r="CDQ1" s="8"/>
      <c r="CDR1" s="9"/>
      <c r="CDS1" s="8"/>
      <c r="CDT1" s="9"/>
      <c r="CDU1" s="8"/>
      <c r="CDV1" s="9"/>
      <c r="CDW1" s="8"/>
      <c r="CDX1" s="9"/>
      <c r="CDY1" s="8"/>
      <c r="CDZ1" s="9"/>
      <c r="CEA1" s="8"/>
      <c r="CEB1" s="9"/>
      <c r="CEC1" s="8"/>
      <c r="CED1" s="9"/>
      <c r="CEE1" s="8"/>
      <c r="CEF1" s="9"/>
      <c r="CEG1" s="8"/>
      <c r="CEH1" s="9"/>
      <c r="CEI1" s="8"/>
      <c r="CEJ1" s="9"/>
      <c r="CEK1" s="8"/>
      <c r="CEL1" s="9"/>
      <c r="CEM1" s="8"/>
      <c r="CEN1" s="9"/>
      <c r="CEO1" s="8"/>
      <c r="CEP1" s="9"/>
      <c r="CEQ1" s="8"/>
      <c r="CER1" s="9"/>
      <c r="CES1" s="8"/>
      <c r="CET1" s="9"/>
      <c r="CEU1" s="8"/>
      <c r="CEV1" s="9"/>
      <c r="CEW1" s="8"/>
      <c r="CEX1" s="9"/>
      <c r="CEY1" s="8"/>
      <c r="CEZ1" s="9"/>
      <c r="CFA1" s="8"/>
      <c r="CFB1" s="9"/>
      <c r="CFC1" s="8"/>
      <c r="CFD1" s="9"/>
      <c r="CFE1" s="8"/>
      <c r="CFF1" s="9"/>
      <c r="CFG1" s="8"/>
      <c r="CFH1" s="9"/>
      <c r="CFI1" s="8"/>
      <c r="CFJ1" s="9"/>
      <c r="CFK1" s="8"/>
      <c r="CFL1" s="9"/>
      <c r="CFM1" s="8"/>
      <c r="CFN1" s="9"/>
      <c r="CFO1" s="8"/>
      <c r="CFP1" s="9"/>
      <c r="CFQ1" s="8"/>
      <c r="CFR1" s="9"/>
      <c r="CFS1" s="8"/>
      <c r="CFT1" s="9"/>
      <c r="CFU1" s="8"/>
      <c r="CFV1" s="9"/>
      <c r="CFW1" s="8"/>
      <c r="CFX1" s="9"/>
      <c r="CFY1" s="8"/>
      <c r="CFZ1" s="9"/>
      <c r="CGA1" s="8"/>
      <c r="CGB1" s="9"/>
      <c r="CGC1" s="8"/>
      <c r="CGD1" s="9"/>
      <c r="CGE1" s="8"/>
      <c r="CGF1" s="9"/>
      <c r="CGG1" s="8"/>
      <c r="CGH1" s="9"/>
      <c r="CGI1" s="8"/>
      <c r="CGJ1" s="9"/>
      <c r="CGK1" s="8"/>
      <c r="CGL1" s="9"/>
      <c r="CGM1" s="8"/>
      <c r="CGN1" s="9"/>
      <c r="CGO1" s="8"/>
      <c r="CGP1" s="9"/>
      <c r="CGQ1" s="8"/>
      <c r="CGR1" s="9"/>
      <c r="CGS1" s="8"/>
      <c r="CGT1" s="9"/>
      <c r="CGU1" s="8"/>
      <c r="CGV1" s="9"/>
      <c r="CGW1" s="8"/>
      <c r="CGX1" s="9"/>
      <c r="CGY1" s="8"/>
      <c r="CGZ1" s="9"/>
      <c r="CHA1" s="8"/>
      <c r="CHB1" s="9"/>
      <c r="CHC1" s="8"/>
      <c r="CHD1" s="9"/>
      <c r="CHE1" s="8"/>
      <c r="CHF1" s="9"/>
      <c r="CHG1" s="8"/>
      <c r="CHH1" s="9"/>
      <c r="CHI1" s="8"/>
      <c r="CHJ1" s="9"/>
      <c r="CHK1" s="8"/>
      <c r="CHL1" s="9"/>
      <c r="CHM1" s="8"/>
      <c r="CHN1" s="9"/>
      <c r="CHO1" s="8"/>
      <c r="CHP1" s="9"/>
      <c r="CHQ1" s="8"/>
      <c r="CHR1" s="9"/>
      <c r="CHS1" s="8"/>
      <c r="CHT1" s="9"/>
      <c r="CHU1" s="8"/>
      <c r="CHV1" s="9"/>
      <c r="CHW1" s="8"/>
      <c r="CHX1" s="9"/>
      <c r="CHY1" s="8"/>
      <c r="CHZ1" s="9"/>
      <c r="CIA1" s="8"/>
      <c r="CIB1" s="9"/>
      <c r="CIC1" s="8"/>
      <c r="CID1" s="9"/>
      <c r="CIE1" s="8"/>
      <c r="CIF1" s="9"/>
      <c r="CIG1" s="8"/>
      <c r="CIH1" s="9"/>
      <c r="CII1" s="8"/>
      <c r="CIJ1" s="9"/>
      <c r="CIK1" s="8"/>
      <c r="CIL1" s="9"/>
      <c r="CIM1" s="8"/>
      <c r="CIN1" s="9"/>
      <c r="CIO1" s="8"/>
      <c r="CIP1" s="9"/>
      <c r="CIQ1" s="8"/>
      <c r="CIR1" s="9"/>
      <c r="CIS1" s="8"/>
      <c r="CIT1" s="9"/>
      <c r="CIU1" s="8"/>
      <c r="CIV1" s="9"/>
      <c r="CIW1" s="8"/>
      <c r="CIX1" s="9"/>
      <c r="CIY1" s="8"/>
      <c r="CIZ1" s="9"/>
      <c r="CJA1" s="8"/>
      <c r="CJB1" s="9"/>
      <c r="CJC1" s="8"/>
      <c r="CJD1" s="9"/>
      <c r="CJE1" s="8"/>
      <c r="CJF1" s="9"/>
      <c r="CJG1" s="8"/>
      <c r="CJH1" s="9"/>
      <c r="CJI1" s="8"/>
      <c r="CJJ1" s="9"/>
      <c r="CJK1" s="8"/>
      <c r="CJL1" s="9"/>
      <c r="CJM1" s="8"/>
      <c r="CJN1" s="9"/>
      <c r="CJO1" s="8"/>
      <c r="CJP1" s="9"/>
      <c r="CJQ1" s="8"/>
      <c r="CJR1" s="9"/>
      <c r="CJS1" s="8"/>
      <c r="CJT1" s="9"/>
      <c r="CJU1" s="8"/>
      <c r="CJV1" s="9"/>
      <c r="CJW1" s="8"/>
      <c r="CJX1" s="9"/>
      <c r="CJY1" s="8"/>
      <c r="CJZ1" s="9"/>
      <c r="CKA1" s="8"/>
      <c r="CKB1" s="9"/>
      <c r="CKC1" s="8"/>
      <c r="CKD1" s="9"/>
      <c r="CKE1" s="8"/>
      <c r="CKF1" s="9"/>
      <c r="CKG1" s="8"/>
      <c r="CKH1" s="9"/>
      <c r="CKI1" s="8"/>
      <c r="CKJ1" s="9"/>
      <c r="CKK1" s="8"/>
      <c r="CKL1" s="9"/>
      <c r="CKM1" s="8"/>
      <c r="CKN1" s="9"/>
      <c r="CKO1" s="8"/>
      <c r="CKP1" s="9"/>
      <c r="CKQ1" s="8"/>
      <c r="CKR1" s="9"/>
      <c r="CKS1" s="8"/>
      <c r="CKT1" s="9"/>
      <c r="CKU1" s="8"/>
      <c r="CKV1" s="9"/>
      <c r="CKW1" s="8"/>
      <c r="CKX1" s="9"/>
      <c r="CKY1" s="8"/>
      <c r="CKZ1" s="9"/>
      <c r="CLA1" s="8"/>
      <c r="CLB1" s="9"/>
      <c r="CLC1" s="8"/>
      <c r="CLD1" s="9"/>
      <c r="CLE1" s="8"/>
      <c r="CLF1" s="9"/>
      <c r="CLG1" s="8"/>
      <c r="CLH1" s="9"/>
      <c r="CLI1" s="8"/>
      <c r="CLJ1" s="9"/>
      <c r="CLK1" s="8"/>
      <c r="CLL1" s="9"/>
      <c r="CLM1" s="8"/>
      <c r="CLN1" s="9"/>
      <c r="CLO1" s="8"/>
      <c r="CLP1" s="9"/>
      <c r="CLQ1" s="8"/>
      <c r="CLR1" s="9"/>
      <c r="CLS1" s="8"/>
      <c r="CLT1" s="9"/>
      <c r="CLU1" s="8"/>
      <c r="CLV1" s="9"/>
      <c r="CLW1" s="8"/>
      <c r="CLX1" s="9"/>
      <c r="CLY1" s="8"/>
      <c r="CLZ1" s="9"/>
      <c r="CMA1" s="8"/>
      <c r="CMB1" s="9"/>
      <c r="CMC1" s="8"/>
      <c r="CMD1" s="9"/>
      <c r="CME1" s="8"/>
      <c r="CMF1" s="9"/>
      <c r="CMG1" s="8"/>
      <c r="CMH1" s="9"/>
      <c r="CMI1" s="8"/>
      <c r="CMJ1" s="9"/>
      <c r="CMK1" s="8"/>
      <c r="CML1" s="9"/>
      <c r="CMM1" s="8"/>
      <c r="CMN1" s="9"/>
      <c r="CMO1" s="8"/>
      <c r="CMP1" s="9"/>
      <c r="CMQ1" s="8"/>
      <c r="CMR1" s="9"/>
      <c r="CMS1" s="8"/>
      <c r="CMT1" s="9"/>
      <c r="CMU1" s="8"/>
      <c r="CMV1" s="9"/>
      <c r="CMW1" s="8"/>
      <c r="CMX1" s="9"/>
      <c r="CMY1" s="8"/>
      <c r="CMZ1" s="9"/>
      <c r="CNA1" s="8"/>
      <c r="CNB1" s="9"/>
      <c r="CNC1" s="8"/>
      <c r="CND1" s="9"/>
      <c r="CNE1" s="8"/>
      <c r="CNF1" s="9"/>
      <c r="CNG1" s="8"/>
      <c r="CNH1" s="9"/>
      <c r="CNI1" s="8"/>
      <c r="CNJ1" s="9"/>
      <c r="CNK1" s="8"/>
      <c r="CNL1" s="9"/>
      <c r="CNM1" s="8"/>
      <c r="CNN1" s="9"/>
      <c r="CNO1" s="8"/>
      <c r="CNP1" s="9"/>
      <c r="CNQ1" s="8"/>
      <c r="CNR1" s="9"/>
      <c r="CNS1" s="8"/>
      <c r="CNT1" s="9"/>
      <c r="CNU1" s="8"/>
      <c r="CNV1" s="9"/>
      <c r="CNW1" s="8"/>
      <c r="CNX1" s="9"/>
      <c r="CNY1" s="8"/>
      <c r="CNZ1" s="9"/>
      <c r="COA1" s="8"/>
      <c r="COB1" s="9"/>
      <c r="COC1" s="8"/>
      <c r="COD1" s="9"/>
      <c r="COE1" s="8"/>
      <c r="COF1" s="9"/>
      <c r="COG1" s="8"/>
      <c r="COH1" s="9"/>
      <c r="COI1" s="8"/>
      <c r="COJ1" s="9"/>
      <c r="COK1" s="8"/>
      <c r="COL1" s="9"/>
      <c r="COM1" s="8"/>
      <c r="CON1" s="9"/>
      <c r="COO1" s="8"/>
      <c r="COP1" s="9"/>
      <c r="COQ1" s="8"/>
      <c r="COR1" s="9"/>
      <c r="COS1" s="8"/>
      <c r="COT1" s="9"/>
      <c r="COU1" s="8"/>
      <c r="COV1" s="9"/>
      <c r="COW1" s="8"/>
      <c r="COX1" s="9"/>
      <c r="COY1" s="8"/>
      <c r="COZ1" s="9"/>
      <c r="CPA1" s="8"/>
      <c r="CPB1" s="9"/>
      <c r="CPC1" s="8"/>
      <c r="CPD1" s="9"/>
      <c r="CPE1" s="8"/>
      <c r="CPF1" s="9"/>
      <c r="CPG1" s="8"/>
      <c r="CPH1" s="9"/>
      <c r="CPI1" s="8"/>
      <c r="CPJ1" s="9"/>
      <c r="CPK1" s="8"/>
      <c r="CPL1" s="9"/>
      <c r="CPM1" s="8"/>
      <c r="CPN1" s="9"/>
      <c r="CPO1" s="8"/>
      <c r="CPP1" s="9"/>
      <c r="CPQ1" s="8"/>
      <c r="CPR1" s="9"/>
      <c r="CPS1" s="8"/>
      <c r="CPT1" s="9"/>
      <c r="CPU1" s="8"/>
      <c r="CPV1" s="9"/>
      <c r="CPW1" s="8"/>
      <c r="CPX1" s="9"/>
      <c r="CPY1" s="8"/>
      <c r="CPZ1" s="9"/>
      <c r="CQA1" s="8"/>
      <c r="CQB1" s="9"/>
      <c r="CQC1" s="8"/>
      <c r="CQD1" s="9"/>
      <c r="CQE1" s="8"/>
      <c r="CQF1" s="9"/>
      <c r="CQG1" s="8"/>
      <c r="CQH1" s="9"/>
      <c r="CQI1" s="8"/>
      <c r="CQJ1" s="9"/>
      <c r="CQK1" s="8"/>
      <c r="CQL1" s="9"/>
      <c r="CQM1" s="8"/>
      <c r="CQN1" s="9"/>
      <c r="CQO1" s="8"/>
      <c r="CQP1" s="9"/>
      <c r="CQQ1" s="8"/>
      <c r="CQR1" s="9"/>
      <c r="CQS1" s="8"/>
      <c r="CQT1" s="9"/>
      <c r="CQU1" s="8"/>
      <c r="CQV1" s="9"/>
      <c r="CQW1" s="8"/>
      <c r="CQX1" s="9"/>
      <c r="CQY1" s="8"/>
      <c r="CQZ1" s="9"/>
      <c r="CRA1" s="8"/>
      <c r="CRB1" s="9"/>
      <c r="CRC1" s="8"/>
      <c r="CRD1" s="9"/>
      <c r="CRE1" s="8"/>
      <c r="CRF1" s="9"/>
      <c r="CRG1" s="8"/>
      <c r="CRH1" s="9"/>
      <c r="CRI1" s="8"/>
      <c r="CRJ1" s="9"/>
      <c r="CRK1" s="8"/>
      <c r="CRL1" s="9"/>
      <c r="CRM1" s="8"/>
      <c r="CRN1" s="9"/>
      <c r="CRO1" s="8"/>
      <c r="CRP1" s="9"/>
      <c r="CRQ1" s="8"/>
      <c r="CRR1" s="9"/>
      <c r="CRS1" s="8"/>
      <c r="CRT1" s="9"/>
      <c r="CRU1" s="8"/>
      <c r="CRV1" s="9"/>
      <c r="CRW1" s="8"/>
      <c r="CRX1" s="9"/>
      <c r="CRY1" s="8"/>
      <c r="CRZ1" s="9"/>
      <c r="CSA1" s="8"/>
      <c r="CSB1" s="9"/>
      <c r="CSC1" s="8"/>
      <c r="CSD1" s="9"/>
      <c r="CSE1" s="8"/>
      <c r="CSF1" s="9"/>
      <c r="CSG1" s="8"/>
      <c r="CSH1" s="9"/>
      <c r="CSI1" s="8"/>
      <c r="CSJ1" s="9"/>
      <c r="CSK1" s="8"/>
      <c r="CSL1" s="9"/>
      <c r="CSM1" s="8"/>
      <c r="CSN1" s="9"/>
      <c r="CSO1" s="8"/>
      <c r="CSP1" s="9"/>
      <c r="CSQ1" s="8"/>
      <c r="CSR1" s="9"/>
      <c r="CSS1" s="8"/>
      <c r="CST1" s="9"/>
      <c r="CSU1" s="8"/>
      <c r="CSV1" s="9"/>
      <c r="CSW1" s="8"/>
      <c r="CSX1" s="9"/>
      <c r="CSY1" s="8"/>
      <c r="CSZ1" s="9"/>
      <c r="CTA1" s="8"/>
      <c r="CTB1" s="9"/>
      <c r="CTC1" s="8"/>
      <c r="CTD1" s="9"/>
      <c r="CTE1" s="8"/>
      <c r="CTF1" s="9"/>
      <c r="CTG1" s="8"/>
      <c r="CTH1" s="9"/>
      <c r="CTI1" s="8"/>
      <c r="CTJ1" s="9"/>
      <c r="CTK1" s="8"/>
      <c r="CTL1" s="9"/>
      <c r="CTM1" s="8"/>
      <c r="CTN1" s="9"/>
      <c r="CTO1" s="8"/>
      <c r="CTP1" s="9"/>
      <c r="CTQ1" s="8"/>
      <c r="CTR1" s="9"/>
      <c r="CTS1" s="8"/>
      <c r="CTT1" s="9"/>
      <c r="CTU1" s="8"/>
      <c r="CTV1" s="9"/>
      <c r="CTW1" s="8"/>
      <c r="CTX1" s="9"/>
      <c r="CTY1" s="8"/>
      <c r="CTZ1" s="9"/>
      <c r="CUA1" s="8"/>
      <c r="CUB1" s="9"/>
      <c r="CUC1" s="8"/>
      <c r="CUD1" s="9"/>
      <c r="CUE1" s="8"/>
      <c r="CUF1" s="9"/>
      <c r="CUG1" s="8"/>
      <c r="CUH1" s="9"/>
      <c r="CUI1" s="8"/>
      <c r="CUJ1" s="9"/>
      <c r="CUK1" s="8"/>
      <c r="CUL1" s="9"/>
      <c r="CUM1" s="8"/>
      <c r="CUN1" s="9"/>
      <c r="CUO1" s="8"/>
      <c r="CUP1" s="9"/>
      <c r="CUQ1" s="8"/>
      <c r="CUR1" s="9"/>
      <c r="CUS1" s="8"/>
      <c r="CUT1" s="9"/>
      <c r="CUU1" s="8"/>
      <c r="CUV1" s="9"/>
      <c r="CUW1" s="8"/>
      <c r="CUX1" s="9"/>
      <c r="CUY1" s="8"/>
      <c r="CUZ1" s="9"/>
      <c r="CVA1" s="8"/>
      <c r="CVB1" s="9"/>
      <c r="CVC1" s="8"/>
      <c r="CVD1" s="9"/>
      <c r="CVE1" s="8"/>
      <c r="CVF1" s="9"/>
      <c r="CVG1" s="8"/>
      <c r="CVH1" s="9"/>
      <c r="CVI1" s="8"/>
      <c r="CVJ1" s="9"/>
      <c r="CVK1" s="8"/>
      <c r="CVL1" s="9"/>
      <c r="CVM1" s="8"/>
      <c r="CVN1" s="9"/>
      <c r="CVO1" s="8"/>
      <c r="CVP1" s="9"/>
      <c r="CVQ1" s="8"/>
      <c r="CVR1" s="9"/>
      <c r="CVS1" s="8"/>
      <c r="CVT1" s="9"/>
      <c r="CVU1" s="8"/>
      <c r="CVV1" s="9"/>
      <c r="CVW1" s="8"/>
      <c r="CVX1" s="9"/>
      <c r="CVY1" s="8"/>
      <c r="CVZ1" s="9"/>
      <c r="CWA1" s="8"/>
      <c r="CWB1" s="9"/>
      <c r="CWC1" s="8"/>
      <c r="CWD1" s="9"/>
      <c r="CWE1" s="8"/>
      <c r="CWF1" s="9"/>
      <c r="CWG1" s="8"/>
      <c r="CWH1" s="9"/>
      <c r="CWI1" s="8"/>
      <c r="CWJ1" s="9"/>
      <c r="CWK1" s="8"/>
      <c r="CWL1" s="9"/>
      <c r="CWM1" s="8"/>
      <c r="CWN1" s="9"/>
      <c r="CWO1" s="8"/>
      <c r="CWP1" s="9"/>
      <c r="CWQ1" s="8"/>
      <c r="CWR1" s="9"/>
      <c r="CWS1" s="8"/>
      <c r="CWT1" s="9"/>
      <c r="CWU1" s="8"/>
      <c r="CWV1" s="9"/>
      <c r="CWW1" s="8"/>
      <c r="CWX1" s="9"/>
      <c r="CWY1" s="8"/>
      <c r="CWZ1" s="9"/>
      <c r="CXA1" s="8"/>
      <c r="CXB1" s="9"/>
      <c r="CXC1" s="8"/>
      <c r="CXD1" s="9"/>
      <c r="CXE1" s="8"/>
      <c r="CXF1" s="9"/>
      <c r="CXG1" s="8"/>
      <c r="CXH1" s="9"/>
      <c r="CXI1" s="8"/>
      <c r="CXJ1" s="9"/>
      <c r="CXK1" s="8"/>
      <c r="CXL1" s="9"/>
      <c r="CXM1" s="8"/>
      <c r="CXN1" s="9"/>
      <c r="CXO1" s="8"/>
      <c r="CXP1" s="9"/>
      <c r="CXQ1" s="8"/>
      <c r="CXR1" s="9"/>
      <c r="CXS1" s="8"/>
      <c r="CXT1" s="9"/>
      <c r="CXU1" s="8"/>
      <c r="CXV1" s="9"/>
      <c r="CXW1" s="8"/>
      <c r="CXX1" s="9"/>
      <c r="CXY1" s="8"/>
      <c r="CXZ1" s="9"/>
      <c r="CYA1" s="8"/>
      <c r="CYB1" s="9"/>
      <c r="CYC1" s="8"/>
      <c r="CYD1" s="9"/>
      <c r="CYE1" s="8"/>
      <c r="CYF1" s="9"/>
      <c r="CYG1" s="8"/>
      <c r="CYH1" s="9"/>
      <c r="CYI1" s="8"/>
      <c r="CYJ1" s="9"/>
      <c r="CYK1" s="8"/>
      <c r="CYL1" s="9"/>
      <c r="CYM1" s="8"/>
      <c r="CYN1" s="9"/>
      <c r="CYO1" s="8"/>
      <c r="CYP1" s="9"/>
      <c r="CYQ1" s="8"/>
      <c r="CYR1" s="9"/>
      <c r="CYS1" s="8"/>
      <c r="CYT1" s="9"/>
      <c r="CYU1" s="8"/>
      <c r="CYV1" s="9"/>
      <c r="CYW1" s="8"/>
      <c r="CYX1" s="9"/>
      <c r="CYY1" s="8"/>
      <c r="CYZ1" s="9"/>
      <c r="CZA1" s="8"/>
      <c r="CZB1" s="9"/>
      <c r="CZC1" s="8"/>
      <c r="CZD1" s="9"/>
      <c r="CZE1" s="8"/>
      <c r="CZF1" s="9"/>
      <c r="CZG1" s="8"/>
      <c r="CZH1" s="9"/>
      <c r="CZI1" s="8"/>
      <c r="CZJ1" s="9"/>
      <c r="CZK1" s="8"/>
      <c r="CZL1" s="9"/>
      <c r="CZM1" s="8"/>
      <c r="CZN1" s="9"/>
      <c r="CZO1" s="8"/>
      <c r="CZP1" s="9"/>
      <c r="CZQ1" s="8"/>
      <c r="CZR1" s="9"/>
      <c r="CZS1" s="8"/>
      <c r="CZT1" s="9"/>
      <c r="CZU1" s="8"/>
      <c r="CZV1" s="9"/>
      <c r="CZW1" s="8"/>
      <c r="CZX1" s="9"/>
      <c r="CZY1" s="8"/>
      <c r="CZZ1" s="9"/>
      <c r="DAA1" s="8"/>
      <c r="DAB1" s="9"/>
      <c r="DAC1" s="8"/>
      <c r="DAD1" s="9"/>
      <c r="DAE1" s="8"/>
      <c r="DAF1" s="9"/>
      <c r="DAG1" s="8"/>
      <c r="DAH1" s="9"/>
      <c r="DAI1" s="8"/>
      <c r="DAJ1" s="9"/>
      <c r="DAK1" s="8"/>
      <c r="DAL1" s="9"/>
      <c r="DAM1" s="8"/>
      <c r="DAN1" s="9"/>
      <c r="DAO1" s="8"/>
      <c r="DAP1" s="9"/>
      <c r="DAQ1" s="8"/>
      <c r="DAR1" s="9"/>
      <c r="DAS1" s="8"/>
      <c r="DAT1" s="9"/>
      <c r="DAU1" s="8"/>
      <c r="DAV1" s="9"/>
      <c r="DAW1" s="8"/>
      <c r="DAX1" s="9"/>
      <c r="DAY1" s="8"/>
      <c r="DAZ1" s="9"/>
      <c r="DBA1" s="8"/>
      <c r="DBB1" s="9"/>
      <c r="DBC1" s="8"/>
      <c r="DBD1" s="9"/>
      <c r="DBE1" s="8"/>
      <c r="DBF1" s="9"/>
      <c r="DBG1" s="8"/>
      <c r="DBH1" s="9"/>
      <c r="DBI1" s="8"/>
      <c r="DBJ1" s="9"/>
      <c r="DBK1" s="8"/>
      <c r="DBL1" s="9"/>
      <c r="DBM1" s="8"/>
      <c r="DBN1" s="9"/>
      <c r="DBO1" s="8"/>
      <c r="DBP1" s="9"/>
      <c r="DBQ1" s="8"/>
      <c r="DBR1" s="9"/>
      <c r="DBS1" s="8"/>
      <c r="DBT1" s="9"/>
      <c r="DBU1" s="8"/>
      <c r="DBV1" s="9"/>
      <c r="DBW1" s="8"/>
      <c r="DBX1" s="9"/>
      <c r="DBY1" s="8"/>
      <c r="DBZ1" s="9"/>
      <c r="DCA1" s="8"/>
      <c r="DCB1" s="9"/>
      <c r="DCC1" s="8"/>
      <c r="DCD1" s="9"/>
      <c r="DCE1" s="8"/>
      <c r="DCF1" s="9"/>
      <c r="DCG1" s="8"/>
      <c r="DCH1" s="9"/>
      <c r="DCI1" s="8"/>
      <c r="DCJ1" s="9"/>
      <c r="DCK1" s="8"/>
      <c r="DCL1" s="9"/>
      <c r="DCM1" s="8"/>
      <c r="DCN1" s="9"/>
      <c r="DCO1" s="8"/>
      <c r="DCP1" s="9"/>
      <c r="DCQ1" s="8"/>
      <c r="DCR1" s="9"/>
      <c r="DCS1" s="8"/>
      <c r="DCT1" s="9"/>
      <c r="DCU1" s="8"/>
      <c r="DCV1" s="9"/>
      <c r="DCW1" s="8"/>
      <c r="DCX1" s="9"/>
      <c r="DCY1" s="8"/>
      <c r="DCZ1" s="9"/>
      <c r="DDA1" s="8"/>
      <c r="DDB1" s="9"/>
      <c r="DDC1" s="8"/>
      <c r="DDD1" s="9"/>
      <c r="DDE1" s="8"/>
      <c r="DDF1" s="9"/>
      <c r="DDG1" s="8"/>
      <c r="DDH1" s="9"/>
      <c r="DDI1" s="8"/>
      <c r="DDJ1" s="9"/>
      <c r="DDK1" s="8"/>
      <c r="DDL1" s="9"/>
      <c r="DDM1" s="8"/>
      <c r="DDN1" s="9"/>
      <c r="DDO1" s="8"/>
      <c r="DDP1" s="9"/>
      <c r="DDQ1" s="8"/>
      <c r="DDR1" s="9"/>
      <c r="DDS1" s="8"/>
      <c r="DDT1" s="9"/>
      <c r="DDU1" s="8"/>
      <c r="DDV1" s="9"/>
      <c r="DDW1" s="8"/>
      <c r="DDX1" s="9"/>
      <c r="DDY1" s="8"/>
      <c r="DDZ1" s="9"/>
      <c r="DEA1" s="8"/>
      <c r="DEB1" s="9"/>
      <c r="DEC1" s="8"/>
      <c r="DED1" s="9"/>
      <c r="DEE1" s="8"/>
      <c r="DEF1" s="9"/>
      <c r="DEG1" s="8"/>
      <c r="DEH1" s="9"/>
      <c r="DEI1" s="8"/>
      <c r="DEJ1" s="9"/>
      <c r="DEK1" s="8"/>
      <c r="DEL1" s="9"/>
      <c r="DEM1" s="8"/>
      <c r="DEN1" s="9"/>
      <c r="DEO1" s="8"/>
      <c r="DEP1" s="9"/>
      <c r="DEQ1" s="8"/>
      <c r="DER1" s="9"/>
      <c r="DES1" s="8"/>
      <c r="DET1" s="9"/>
      <c r="DEU1" s="8"/>
      <c r="DEV1" s="9"/>
      <c r="DEW1" s="8"/>
      <c r="DEX1" s="9"/>
      <c r="DEY1" s="8"/>
      <c r="DEZ1" s="9"/>
      <c r="DFA1" s="8"/>
      <c r="DFB1" s="9"/>
      <c r="DFC1" s="8"/>
      <c r="DFD1" s="9"/>
      <c r="DFE1" s="8"/>
      <c r="DFF1" s="9"/>
      <c r="DFG1" s="8"/>
      <c r="DFH1" s="9"/>
      <c r="DFI1" s="8"/>
      <c r="DFJ1" s="9"/>
      <c r="DFK1" s="8"/>
      <c r="DFL1" s="9"/>
      <c r="DFM1" s="8"/>
      <c r="DFN1" s="9"/>
      <c r="DFO1" s="8"/>
      <c r="DFP1" s="9"/>
      <c r="DFQ1" s="8"/>
      <c r="DFR1" s="9"/>
      <c r="DFS1" s="8"/>
      <c r="DFT1" s="9"/>
      <c r="DFU1" s="8"/>
      <c r="DFV1" s="9"/>
      <c r="DFW1" s="8"/>
      <c r="DFX1" s="9"/>
      <c r="DFY1" s="8"/>
      <c r="DFZ1" s="9"/>
      <c r="DGA1" s="8"/>
      <c r="DGB1" s="9"/>
      <c r="DGC1" s="8"/>
      <c r="DGD1" s="9"/>
      <c r="DGE1" s="8"/>
      <c r="DGF1" s="9"/>
      <c r="DGG1" s="8"/>
      <c r="DGH1" s="9"/>
      <c r="DGI1" s="8"/>
      <c r="DGJ1" s="9"/>
      <c r="DGK1" s="8"/>
      <c r="DGL1" s="9"/>
      <c r="DGM1" s="8"/>
      <c r="DGN1" s="9"/>
      <c r="DGO1" s="8"/>
      <c r="DGP1" s="9"/>
      <c r="DGQ1" s="8"/>
      <c r="DGR1" s="9"/>
      <c r="DGS1" s="8"/>
      <c r="DGT1" s="9"/>
      <c r="DGU1" s="8"/>
      <c r="DGV1" s="9"/>
      <c r="DGW1" s="8"/>
      <c r="DGX1" s="9"/>
      <c r="DGY1" s="8"/>
      <c r="DGZ1" s="9"/>
      <c r="DHA1" s="8"/>
      <c r="DHB1" s="9"/>
      <c r="DHC1" s="8"/>
      <c r="DHD1" s="9"/>
      <c r="DHE1" s="8"/>
      <c r="DHF1" s="9"/>
      <c r="DHG1" s="8"/>
      <c r="DHH1" s="9"/>
      <c r="DHI1" s="8"/>
      <c r="DHJ1" s="9"/>
      <c r="DHK1" s="8"/>
      <c r="DHL1" s="9"/>
      <c r="DHM1" s="8"/>
      <c r="DHN1" s="9"/>
      <c r="DHO1" s="8"/>
      <c r="DHP1" s="9"/>
      <c r="DHQ1" s="8"/>
      <c r="DHR1" s="9"/>
      <c r="DHS1" s="8"/>
      <c r="DHT1" s="9"/>
      <c r="DHU1" s="8"/>
      <c r="DHV1" s="9"/>
      <c r="DHW1" s="8"/>
      <c r="DHX1" s="9"/>
      <c r="DHY1" s="8"/>
      <c r="DHZ1" s="9"/>
      <c r="DIA1" s="8"/>
      <c r="DIB1" s="9"/>
      <c r="DIC1" s="8"/>
      <c r="DID1" s="9"/>
      <c r="DIE1" s="8"/>
      <c r="DIF1" s="9"/>
      <c r="DIG1" s="8"/>
      <c r="DIH1" s="9"/>
      <c r="DII1" s="8"/>
      <c r="DIJ1" s="9"/>
      <c r="DIK1" s="8"/>
      <c r="DIL1" s="9"/>
      <c r="DIM1" s="8"/>
      <c r="DIN1" s="9"/>
      <c r="DIO1" s="8"/>
      <c r="DIP1" s="9"/>
      <c r="DIQ1" s="8"/>
      <c r="DIR1" s="9"/>
      <c r="DIS1" s="8"/>
      <c r="DIT1" s="9"/>
      <c r="DIU1" s="8"/>
      <c r="DIV1" s="9"/>
      <c r="DIW1" s="8"/>
      <c r="DIX1" s="9"/>
      <c r="DIY1" s="8"/>
      <c r="DIZ1" s="9"/>
      <c r="DJA1" s="8"/>
      <c r="DJB1" s="9"/>
      <c r="DJC1" s="8"/>
      <c r="DJD1" s="9"/>
      <c r="DJE1" s="8"/>
      <c r="DJF1" s="9"/>
      <c r="DJG1" s="8"/>
      <c r="DJH1" s="9"/>
      <c r="DJI1" s="8"/>
      <c r="DJJ1" s="9"/>
      <c r="DJK1" s="8"/>
      <c r="DJL1" s="9"/>
      <c r="DJM1" s="8"/>
      <c r="DJN1" s="9"/>
      <c r="DJO1" s="8"/>
      <c r="DJP1" s="9"/>
      <c r="DJQ1" s="8"/>
      <c r="DJR1" s="9"/>
      <c r="DJS1" s="8"/>
      <c r="DJT1" s="9"/>
      <c r="DJU1" s="8"/>
      <c r="DJV1" s="9"/>
      <c r="DJW1" s="8"/>
      <c r="DJX1" s="9"/>
      <c r="DJY1" s="8"/>
      <c r="DJZ1" s="9"/>
      <c r="DKA1" s="8"/>
      <c r="DKB1" s="9"/>
      <c r="DKC1" s="8"/>
      <c r="DKD1" s="9"/>
      <c r="DKE1" s="8"/>
      <c r="DKF1" s="9"/>
      <c r="DKG1" s="8"/>
      <c r="DKH1" s="9"/>
      <c r="DKI1" s="8"/>
      <c r="DKJ1" s="9"/>
      <c r="DKK1" s="8"/>
      <c r="DKL1" s="9"/>
      <c r="DKM1" s="8"/>
      <c r="DKN1" s="9"/>
      <c r="DKO1" s="8"/>
      <c r="DKP1" s="9"/>
      <c r="DKQ1" s="8"/>
      <c r="DKR1" s="9"/>
      <c r="DKS1" s="8"/>
      <c r="DKT1" s="9"/>
      <c r="DKU1" s="8"/>
      <c r="DKV1" s="9"/>
      <c r="DKW1" s="8"/>
      <c r="DKX1" s="9"/>
      <c r="DKY1" s="8"/>
      <c r="DKZ1" s="9"/>
      <c r="DLA1" s="8"/>
      <c r="DLB1" s="9"/>
      <c r="DLC1" s="8"/>
      <c r="DLD1" s="9"/>
      <c r="DLE1" s="8"/>
      <c r="DLF1" s="9"/>
      <c r="DLG1" s="8"/>
      <c r="DLH1" s="9"/>
      <c r="DLI1" s="8"/>
      <c r="DLJ1" s="9"/>
      <c r="DLK1" s="8"/>
      <c r="DLL1" s="9"/>
      <c r="DLM1" s="8"/>
      <c r="DLN1" s="9"/>
      <c r="DLO1" s="8"/>
      <c r="DLP1" s="9"/>
      <c r="DLQ1" s="8"/>
      <c r="DLR1" s="9"/>
      <c r="DLS1" s="8"/>
      <c r="DLT1" s="9"/>
      <c r="DLU1" s="8"/>
      <c r="DLV1" s="9"/>
      <c r="DLW1" s="8"/>
      <c r="DLX1" s="9"/>
      <c r="DLY1" s="8"/>
      <c r="DLZ1" s="9"/>
      <c r="DMA1" s="8"/>
      <c r="DMB1" s="9"/>
      <c r="DMC1" s="8"/>
      <c r="DMD1" s="9"/>
      <c r="DME1" s="8"/>
      <c r="DMF1" s="9"/>
      <c r="DMG1" s="8"/>
      <c r="DMH1" s="9"/>
      <c r="DMI1" s="8"/>
      <c r="DMJ1" s="9"/>
      <c r="DMK1" s="8"/>
      <c r="DML1" s="9"/>
      <c r="DMM1" s="8"/>
      <c r="DMN1" s="9"/>
      <c r="DMO1" s="8"/>
      <c r="DMP1" s="9"/>
      <c r="DMQ1" s="8"/>
      <c r="DMR1" s="9"/>
      <c r="DMS1" s="8"/>
      <c r="DMT1" s="9"/>
      <c r="DMU1" s="8"/>
      <c r="DMV1" s="9"/>
      <c r="DMW1" s="8"/>
      <c r="DMX1" s="9"/>
      <c r="DMY1" s="8"/>
      <c r="DMZ1" s="9"/>
      <c r="DNA1" s="8"/>
      <c r="DNB1" s="9"/>
      <c r="DNC1" s="8"/>
      <c r="DND1" s="9"/>
      <c r="DNE1" s="8"/>
      <c r="DNF1" s="9"/>
      <c r="DNG1" s="8"/>
      <c r="DNH1" s="9"/>
      <c r="DNI1" s="8"/>
      <c r="DNJ1" s="9"/>
      <c r="DNK1" s="8"/>
      <c r="DNL1" s="9"/>
      <c r="DNM1" s="8"/>
      <c r="DNN1" s="9"/>
      <c r="DNO1" s="8"/>
      <c r="DNP1" s="9"/>
      <c r="DNQ1" s="8"/>
      <c r="DNR1" s="9"/>
      <c r="DNS1" s="8"/>
      <c r="DNT1" s="9"/>
      <c r="DNU1" s="8"/>
      <c r="DNV1" s="9"/>
      <c r="DNW1" s="8"/>
      <c r="DNX1" s="9"/>
      <c r="DNY1" s="8"/>
      <c r="DNZ1" s="9"/>
      <c r="DOA1" s="8"/>
      <c r="DOB1" s="9"/>
      <c r="DOC1" s="8"/>
      <c r="DOD1" s="9"/>
      <c r="DOE1" s="8"/>
      <c r="DOF1" s="9"/>
      <c r="DOG1" s="8"/>
      <c r="DOH1" s="9"/>
      <c r="DOI1" s="8"/>
      <c r="DOJ1" s="9"/>
      <c r="DOK1" s="8"/>
      <c r="DOL1" s="9"/>
      <c r="DOM1" s="8"/>
      <c r="DON1" s="9"/>
      <c r="DOO1" s="8"/>
      <c r="DOP1" s="9"/>
      <c r="DOQ1" s="8"/>
      <c r="DOR1" s="9"/>
      <c r="DOS1" s="8"/>
      <c r="DOT1" s="9"/>
      <c r="DOU1" s="8"/>
      <c r="DOV1" s="9"/>
      <c r="DOW1" s="8"/>
      <c r="DOX1" s="9"/>
      <c r="DOY1" s="8"/>
      <c r="DOZ1" s="9"/>
      <c r="DPA1" s="8"/>
      <c r="DPB1" s="9"/>
      <c r="DPC1" s="8"/>
      <c r="DPD1" s="9"/>
      <c r="DPE1" s="8"/>
      <c r="DPF1" s="9"/>
      <c r="DPG1" s="8"/>
      <c r="DPH1" s="9"/>
      <c r="DPI1" s="8"/>
      <c r="DPJ1" s="9"/>
      <c r="DPK1" s="8"/>
      <c r="DPL1" s="9"/>
      <c r="DPM1" s="8"/>
      <c r="DPN1" s="9"/>
      <c r="DPO1" s="8"/>
      <c r="DPP1" s="9"/>
      <c r="DPQ1" s="8"/>
      <c r="DPR1" s="9"/>
      <c r="DPS1" s="8"/>
      <c r="DPT1" s="9"/>
      <c r="DPU1" s="8"/>
      <c r="DPV1" s="9"/>
      <c r="DPW1" s="8"/>
      <c r="DPX1" s="9"/>
      <c r="DPY1" s="8"/>
      <c r="DPZ1" s="9"/>
      <c r="DQA1" s="8"/>
      <c r="DQB1" s="9"/>
      <c r="DQC1" s="8"/>
      <c r="DQD1" s="9"/>
      <c r="DQE1" s="8"/>
      <c r="DQF1" s="9"/>
      <c r="DQG1" s="8"/>
      <c r="DQH1" s="9"/>
      <c r="DQI1" s="8"/>
      <c r="DQJ1" s="9"/>
      <c r="DQK1" s="8"/>
      <c r="DQL1" s="9"/>
      <c r="DQM1" s="8"/>
      <c r="DQN1" s="9"/>
      <c r="DQO1" s="8"/>
      <c r="DQP1" s="9"/>
      <c r="DQQ1" s="8"/>
      <c r="DQR1" s="9"/>
      <c r="DQS1" s="8"/>
      <c r="DQT1" s="9"/>
      <c r="DQU1" s="8"/>
      <c r="DQV1" s="9"/>
      <c r="DQW1" s="8"/>
      <c r="DQX1" s="9"/>
      <c r="DQY1" s="8"/>
      <c r="DQZ1" s="9"/>
      <c r="DRA1" s="8"/>
      <c r="DRB1" s="9"/>
      <c r="DRC1" s="8"/>
      <c r="DRD1" s="9"/>
      <c r="DRE1" s="8"/>
      <c r="DRF1" s="9"/>
      <c r="DRG1" s="8"/>
      <c r="DRH1" s="9"/>
      <c r="DRI1" s="8"/>
      <c r="DRJ1" s="9"/>
      <c r="DRK1" s="8"/>
      <c r="DRL1" s="9"/>
      <c r="DRM1" s="8"/>
      <c r="DRN1" s="9"/>
      <c r="DRO1" s="8"/>
      <c r="DRP1" s="9"/>
      <c r="DRQ1" s="8"/>
      <c r="DRR1" s="9"/>
      <c r="DRS1" s="8"/>
      <c r="DRT1" s="9"/>
      <c r="DRU1" s="8"/>
      <c r="DRV1" s="9"/>
      <c r="DRW1" s="8"/>
      <c r="DRX1" s="9"/>
      <c r="DRY1" s="8"/>
      <c r="DRZ1" s="9"/>
      <c r="DSA1" s="8"/>
      <c r="DSB1" s="9"/>
      <c r="DSC1" s="8"/>
      <c r="DSD1" s="9"/>
      <c r="DSE1" s="8"/>
      <c r="DSF1" s="9"/>
      <c r="DSG1" s="8"/>
      <c r="DSH1" s="9"/>
      <c r="DSI1" s="8"/>
      <c r="DSJ1" s="9"/>
      <c r="DSK1" s="8"/>
      <c r="DSL1" s="9"/>
      <c r="DSM1" s="8"/>
      <c r="DSN1" s="9"/>
      <c r="DSO1" s="8"/>
      <c r="DSP1" s="9"/>
      <c r="DSQ1" s="8"/>
      <c r="DSR1" s="9"/>
      <c r="DSS1" s="8"/>
      <c r="DST1" s="9"/>
      <c r="DSU1" s="8"/>
      <c r="DSV1" s="9"/>
      <c r="DSW1" s="8"/>
      <c r="DSX1" s="9"/>
      <c r="DSY1" s="8"/>
      <c r="DSZ1" s="9"/>
      <c r="DTA1" s="8"/>
      <c r="DTB1" s="9"/>
      <c r="DTC1" s="8"/>
      <c r="DTD1" s="9"/>
      <c r="DTE1" s="8"/>
      <c r="DTF1" s="9"/>
      <c r="DTG1" s="8"/>
      <c r="DTH1" s="9"/>
      <c r="DTI1" s="8"/>
      <c r="DTJ1" s="9"/>
      <c r="DTK1" s="8"/>
      <c r="DTL1" s="9"/>
      <c r="DTM1" s="8"/>
      <c r="DTN1" s="9"/>
      <c r="DTO1" s="8"/>
      <c r="DTP1" s="9"/>
      <c r="DTQ1" s="8"/>
      <c r="DTR1" s="9"/>
      <c r="DTS1" s="8"/>
      <c r="DTT1" s="9"/>
      <c r="DTU1" s="8"/>
      <c r="DTV1" s="9"/>
      <c r="DTW1" s="8"/>
      <c r="DTX1" s="9"/>
      <c r="DTY1" s="8"/>
      <c r="DTZ1" s="9"/>
      <c r="DUA1" s="8"/>
      <c r="DUB1" s="9"/>
      <c r="DUC1" s="8"/>
      <c r="DUD1" s="9"/>
      <c r="DUE1" s="8"/>
      <c r="DUF1" s="9"/>
      <c r="DUG1" s="8"/>
      <c r="DUH1" s="9"/>
      <c r="DUI1" s="8"/>
      <c r="DUJ1" s="9"/>
      <c r="DUK1" s="8"/>
      <c r="DUL1" s="9"/>
      <c r="DUM1" s="8"/>
      <c r="DUN1" s="9"/>
      <c r="DUO1" s="8"/>
      <c r="DUP1" s="9"/>
      <c r="DUQ1" s="8"/>
      <c r="DUR1" s="9"/>
      <c r="DUS1" s="8"/>
      <c r="DUT1" s="9"/>
      <c r="DUU1" s="8"/>
      <c r="DUV1" s="9"/>
      <c r="DUW1" s="8"/>
      <c r="DUX1" s="9"/>
      <c r="DUY1" s="8"/>
      <c r="DUZ1" s="9"/>
      <c r="DVA1" s="8"/>
      <c r="DVB1" s="9"/>
      <c r="DVC1" s="8"/>
      <c r="DVD1" s="9"/>
      <c r="DVE1" s="8"/>
      <c r="DVF1" s="9"/>
      <c r="DVG1" s="8"/>
      <c r="DVH1" s="9"/>
      <c r="DVI1" s="8"/>
      <c r="DVJ1" s="9"/>
      <c r="DVK1" s="8"/>
      <c r="DVL1" s="9"/>
      <c r="DVM1" s="8"/>
      <c r="DVN1" s="9"/>
      <c r="DVO1" s="8"/>
      <c r="DVP1" s="9"/>
      <c r="DVQ1" s="8"/>
      <c r="DVR1" s="9"/>
      <c r="DVS1" s="8"/>
      <c r="DVT1" s="9"/>
      <c r="DVU1" s="8"/>
      <c r="DVV1" s="9"/>
      <c r="DVW1" s="8"/>
      <c r="DVX1" s="9"/>
      <c r="DVY1" s="8"/>
      <c r="DVZ1" s="9"/>
      <c r="DWA1" s="8"/>
      <c r="DWB1" s="9"/>
      <c r="DWC1" s="8"/>
      <c r="DWD1" s="9"/>
      <c r="DWE1" s="8"/>
      <c r="DWF1" s="9"/>
      <c r="DWG1" s="8"/>
      <c r="DWH1" s="9"/>
      <c r="DWI1" s="8"/>
      <c r="DWJ1" s="9"/>
      <c r="DWK1" s="8"/>
      <c r="DWL1" s="9"/>
      <c r="DWM1" s="8"/>
      <c r="DWN1" s="9"/>
      <c r="DWO1" s="8"/>
      <c r="DWP1" s="9"/>
      <c r="DWQ1" s="8"/>
      <c r="DWR1" s="9"/>
      <c r="DWS1" s="8"/>
      <c r="DWT1" s="9"/>
      <c r="DWU1" s="8"/>
      <c r="DWV1" s="9"/>
      <c r="DWW1" s="8"/>
      <c r="DWX1" s="9"/>
      <c r="DWY1" s="8"/>
      <c r="DWZ1" s="9"/>
      <c r="DXA1" s="8"/>
      <c r="DXB1" s="9"/>
      <c r="DXC1" s="8"/>
      <c r="DXD1" s="9"/>
      <c r="DXE1" s="8"/>
      <c r="DXF1" s="9"/>
      <c r="DXG1" s="8"/>
      <c r="DXH1" s="9"/>
      <c r="DXI1" s="8"/>
      <c r="DXJ1" s="9"/>
      <c r="DXK1" s="8"/>
      <c r="DXL1" s="9"/>
      <c r="DXM1" s="8"/>
      <c r="DXN1" s="9"/>
      <c r="DXO1" s="8"/>
      <c r="DXP1" s="9"/>
      <c r="DXQ1" s="8"/>
      <c r="DXR1" s="9"/>
      <c r="DXS1" s="8"/>
      <c r="DXT1" s="9"/>
      <c r="DXU1" s="8"/>
      <c r="DXV1" s="9"/>
      <c r="DXW1" s="8"/>
      <c r="DXX1" s="9"/>
      <c r="DXY1" s="8"/>
      <c r="DXZ1" s="9"/>
      <c r="DYA1" s="8"/>
      <c r="DYB1" s="9"/>
      <c r="DYC1" s="8"/>
      <c r="DYD1" s="9"/>
      <c r="DYE1" s="8"/>
      <c r="DYF1" s="9"/>
      <c r="DYG1" s="8"/>
      <c r="DYH1" s="9"/>
      <c r="DYI1" s="8"/>
      <c r="DYJ1" s="9"/>
      <c r="DYK1" s="8"/>
      <c r="DYL1" s="9"/>
      <c r="DYM1" s="8"/>
      <c r="DYN1" s="9"/>
      <c r="DYO1" s="8"/>
      <c r="DYP1" s="9"/>
      <c r="DYQ1" s="8"/>
      <c r="DYR1" s="9"/>
      <c r="DYS1" s="8"/>
      <c r="DYT1" s="9"/>
      <c r="DYU1" s="8"/>
      <c r="DYV1" s="9"/>
      <c r="DYW1" s="8"/>
      <c r="DYX1" s="9"/>
      <c r="DYY1" s="8"/>
      <c r="DYZ1" s="9"/>
      <c r="DZA1" s="8"/>
      <c r="DZB1" s="9"/>
      <c r="DZC1" s="8"/>
      <c r="DZD1" s="9"/>
      <c r="DZE1" s="8"/>
      <c r="DZF1" s="9"/>
      <c r="DZG1" s="8"/>
      <c r="DZH1" s="9"/>
      <c r="DZI1" s="8"/>
      <c r="DZJ1" s="9"/>
      <c r="DZK1" s="8"/>
      <c r="DZL1" s="9"/>
      <c r="DZM1" s="8"/>
      <c r="DZN1" s="9"/>
      <c r="DZO1" s="8"/>
      <c r="DZP1" s="9"/>
      <c r="DZQ1" s="8"/>
      <c r="DZR1" s="9"/>
      <c r="DZS1" s="8"/>
      <c r="DZT1" s="9"/>
      <c r="DZU1" s="8"/>
      <c r="DZV1" s="9"/>
      <c r="DZW1" s="8"/>
      <c r="DZX1" s="9"/>
      <c r="DZY1" s="8"/>
      <c r="DZZ1" s="9"/>
      <c r="EAA1" s="8"/>
      <c r="EAB1" s="9"/>
      <c r="EAC1" s="8"/>
      <c r="EAD1" s="9"/>
      <c r="EAE1" s="8"/>
      <c r="EAF1" s="9"/>
      <c r="EAG1" s="8"/>
      <c r="EAH1" s="9"/>
      <c r="EAI1" s="8"/>
      <c r="EAJ1" s="9"/>
      <c r="EAK1" s="8"/>
      <c r="EAL1" s="9"/>
      <c r="EAM1" s="8"/>
      <c r="EAN1" s="9"/>
      <c r="EAO1" s="8"/>
      <c r="EAP1" s="9"/>
      <c r="EAQ1" s="8"/>
      <c r="EAR1" s="9"/>
      <c r="EAS1" s="8"/>
      <c r="EAT1" s="9"/>
      <c r="EAU1" s="8"/>
      <c r="EAV1" s="9"/>
      <c r="EAW1" s="8"/>
      <c r="EAX1" s="9"/>
      <c r="EAY1" s="8"/>
      <c r="EAZ1" s="9"/>
      <c r="EBA1" s="8"/>
      <c r="EBB1" s="9"/>
      <c r="EBC1" s="8"/>
      <c r="EBD1" s="9"/>
      <c r="EBE1" s="8"/>
      <c r="EBF1" s="9"/>
      <c r="EBG1" s="8"/>
      <c r="EBH1" s="9"/>
      <c r="EBI1" s="8"/>
      <c r="EBJ1" s="9"/>
      <c r="EBK1" s="8"/>
      <c r="EBL1" s="9"/>
      <c r="EBM1" s="8"/>
      <c r="EBN1" s="9"/>
      <c r="EBO1" s="8"/>
      <c r="EBP1" s="9"/>
      <c r="EBQ1" s="8"/>
      <c r="EBR1" s="9"/>
      <c r="EBS1" s="8"/>
      <c r="EBT1" s="9"/>
      <c r="EBU1" s="8"/>
      <c r="EBV1" s="9"/>
      <c r="EBW1" s="8"/>
      <c r="EBX1" s="9"/>
      <c r="EBY1" s="8"/>
      <c r="EBZ1" s="9"/>
      <c r="ECA1" s="8"/>
      <c r="ECB1" s="9"/>
      <c r="ECC1" s="8"/>
      <c r="ECD1" s="9"/>
      <c r="ECE1" s="8"/>
      <c r="ECF1" s="9"/>
      <c r="ECG1" s="8"/>
      <c r="ECH1" s="9"/>
      <c r="ECI1" s="8"/>
      <c r="ECJ1" s="9"/>
      <c r="ECK1" s="8"/>
      <c r="ECL1" s="9"/>
      <c r="ECM1" s="8"/>
      <c r="ECN1" s="9"/>
      <c r="ECO1" s="8"/>
      <c r="ECP1" s="9"/>
      <c r="ECQ1" s="8"/>
      <c r="ECR1" s="9"/>
      <c r="ECS1" s="8"/>
      <c r="ECT1" s="9"/>
      <c r="ECU1" s="8"/>
      <c r="ECV1" s="9"/>
      <c r="ECW1" s="8"/>
      <c r="ECX1" s="9"/>
      <c r="ECY1" s="8"/>
      <c r="ECZ1" s="9"/>
      <c r="EDA1" s="8"/>
      <c r="EDB1" s="9"/>
      <c r="EDC1" s="8"/>
      <c r="EDD1" s="9"/>
      <c r="EDE1" s="8"/>
      <c r="EDF1" s="9"/>
      <c r="EDG1" s="8"/>
      <c r="EDH1" s="9"/>
      <c r="EDI1" s="8"/>
      <c r="EDJ1" s="9"/>
      <c r="EDK1" s="8"/>
      <c r="EDL1" s="9"/>
      <c r="EDM1" s="8"/>
      <c r="EDN1" s="9"/>
      <c r="EDO1" s="8"/>
      <c r="EDP1" s="9"/>
      <c r="EDQ1" s="8"/>
      <c r="EDR1" s="9"/>
      <c r="EDS1" s="8"/>
      <c r="EDT1" s="9"/>
      <c r="EDU1" s="8"/>
      <c r="EDV1" s="9"/>
      <c r="EDW1" s="8"/>
      <c r="EDX1" s="9"/>
      <c r="EDY1" s="8"/>
      <c r="EDZ1" s="9"/>
      <c r="EEA1" s="8"/>
      <c r="EEB1" s="9"/>
      <c r="EEC1" s="8"/>
      <c r="EED1" s="9"/>
      <c r="EEE1" s="8"/>
      <c r="EEF1" s="9"/>
      <c r="EEG1" s="8"/>
      <c r="EEH1" s="9"/>
      <c r="EEI1" s="8"/>
      <c r="EEJ1" s="9"/>
      <c r="EEK1" s="8"/>
      <c r="EEL1" s="9"/>
      <c r="EEM1" s="8"/>
      <c r="EEN1" s="9"/>
      <c r="EEO1" s="8"/>
      <c r="EEP1" s="9"/>
      <c r="EEQ1" s="8"/>
      <c r="EER1" s="9"/>
      <c r="EES1" s="8"/>
      <c r="EET1" s="9"/>
      <c r="EEU1" s="8"/>
      <c r="EEV1" s="9"/>
      <c r="EEW1" s="8"/>
      <c r="EEX1" s="9"/>
      <c r="EEY1" s="8"/>
      <c r="EEZ1" s="9"/>
      <c r="EFA1" s="8"/>
      <c r="EFB1" s="9"/>
      <c r="EFC1" s="8"/>
      <c r="EFD1" s="9"/>
      <c r="EFE1" s="8"/>
      <c r="EFF1" s="9"/>
      <c r="EFG1" s="8"/>
      <c r="EFH1" s="9"/>
      <c r="EFI1" s="8"/>
      <c r="EFJ1" s="9"/>
      <c r="EFK1" s="8"/>
      <c r="EFL1" s="9"/>
      <c r="EFM1" s="8"/>
      <c r="EFN1" s="9"/>
      <c r="EFO1" s="8"/>
      <c r="EFP1" s="9"/>
      <c r="EFQ1" s="8"/>
      <c r="EFR1" s="9"/>
      <c r="EFS1" s="8"/>
      <c r="EFT1" s="9"/>
      <c r="EFU1" s="8"/>
      <c r="EFV1" s="9"/>
      <c r="EFW1" s="8"/>
      <c r="EFX1" s="9"/>
      <c r="EFY1" s="8"/>
      <c r="EFZ1" s="9"/>
      <c r="EGA1" s="8"/>
      <c r="EGB1" s="9"/>
      <c r="EGC1" s="8"/>
      <c r="EGD1" s="9"/>
      <c r="EGE1" s="8"/>
      <c r="EGF1" s="9"/>
      <c r="EGG1" s="8"/>
      <c r="EGH1" s="9"/>
      <c r="EGI1" s="8"/>
      <c r="EGJ1" s="9"/>
      <c r="EGK1" s="8"/>
      <c r="EGL1" s="9"/>
      <c r="EGM1" s="8"/>
      <c r="EGN1" s="9"/>
      <c r="EGO1" s="8"/>
      <c r="EGP1" s="9"/>
      <c r="EGQ1" s="8"/>
      <c r="EGR1" s="9"/>
      <c r="EGS1" s="8"/>
      <c r="EGT1" s="9"/>
      <c r="EGU1" s="8"/>
      <c r="EGV1" s="9"/>
      <c r="EGW1" s="8"/>
      <c r="EGX1" s="9"/>
      <c r="EGY1" s="8"/>
      <c r="EGZ1" s="9"/>
      <c r="EHA1" s="8"/>
      <c r="EHB1" s="9"/>
      <c r="EHC1" s="8"/>
      <c r="EHD1" s="9"/>
      <c r="EHE1" s="8"/>
      <c r="EHF1" s="9"/>
      <c r="EHG1" s="8"/>
      <c r="EHH1" s="9"/>
      <c r="EHI1" s="8"/>
      <c r="EHJ1" s="9"/>
      <c r="EHK1" s="8"/>
      <c r="EHL1" s="9"/>
      <c r="EHM1" s="8"/>
      <c r="EHN1" s="9"/>
      <c r="EHO1" s="8"/>
      <c r="EHP1" s="9"/>
      <c r="EHQ1" s="8"/>
      <c r="EHR1" s="9"/>
      <c r="EHS1" s="8"/>
      <c r="EHT1" s="9"/>
      <c r="EHU1" s="8"/>
      <c r="EHV1" s="9"/>
      <c r="EHW1" s="8"/>
      <c r="EHX1" s="9"/>
      <c r="EHY1" s="8"/>
      <c r="EHZ1" s="9"/>
      <c r="EIA1" s="8"/>
      <c r="EIB1" s="9"/>
      <c r="EIC1" s="8"/>
      <c r="EID1" s="9"/>
      <c r="EIE1" s="8"/>
      <c r="EIF1" s="9"/>
      <c r="EIG1" s="8"/>
      <c r="EIH1" s="9"/>
      <c r="EII1" s="8"/>
      <c r="EIJ1" s="9"/>
      <c r="EIK1" s="8"/>
      <c r="EIL1" s="9"/>
      <c r="EIM1" s="8"/>
      <c r="EIN1" s="9"/>
      <c r="EIO1" s="8"/>
      <c r="EIP1" s="9"/>
      <c r="EIQ1" s="8"/>
      <c r="EIR1" s="9"/>
      <c r="EIS1" s="8"/>
      <c r="EIT1" s="9"/>
      <c r="EIU1" s="8"/>
      <c r="EIV1" s="9"/>
      <c r="EIW1" s="8"/>
      <c r="EIX1" s="9"/>
      <c r="EIY1" s="8"/>
      <c r="EIZ1" s="9"/>
      <c r="EJA1" s="8"/>
      <c r="EJB1" s="9"/>
      <c r="EJC1" s="8"/>
      <c r="EJD1" s="9"/>
      <c r="EJE1" s="8"/>
      <c r="EJF1" s="9"/>
      <c r="EJG1" s="8"/>
      <c r="EJH1" s="9"/>
      <c r="EJI1" s="8"/>
      <c r="EJJ1" s="9"/>
      <c r="EJK1" s="8"/>
      <c r="EJL1" s="9"/>
      <c r="EJM1" s="8"/>
      <c r="EJN1" s="9"/>
      <c r="EJO1" s="8"/>
      <c r="EJP1" s="9"/>
      <c r="EJQ1" s="8"/>
      <c r="EJR1" s="9"/>
      <c r="EJS1" s="8"/>
      <c r="EJT1" s="9"/>
      <c r="EJU1" s="8"/>
      <c r="EJV1" s="9"/>
      <c r="EJW1" s="8"/>
      <c r="EJX1" s="9"/>
      <c r="EJY1" s="8"/>
      <c r="EJZ1" s="9"/>
      <c r="EKA1" s="8"/>
      <c r="EKB1" s="9"/>
      <c r="EKC1" s="8"/>
      <c r="EKD1" s="9"/>
      <c r="EKE1" s="8"/>
      <c r="EKF1" s="9"/>
      <c r="EKG1" s="8"/>
      <c r="EKH1" s="9"/>
      <c r="EKI1" s="8"/>
      <c r="EKJ1" s="9"/>
      <c r="EKK1" s="8"/>
      <c r="EKL1" s="9"/>
      <c r="EKM1" s="8"/>
      <c r="EKN1" s="9"/>
      <c r="EKO1" s="8"/>
      <c r="EKP1" s="9"/>
      <c r="EKQ1" s="8"/>
      <c r="EKR1" s="9"/>
      <c r="EKS1" s="8"/>
      <c r="EKT1" s="9"/>
      <c r="EKU1" s="8"/>
      <c r="EKV1" s="9"/>
      <c r="EKW1" s="8"/>
      <c r="EKX1" s="9"/>
      <c r="EKY1" s="8"/>
      <c r="EKZ1" s="9"/>
      <c r="ELA1" s="8"/>
      <c r="ELB1" s="9"/>
      <c r="ELC1" s="8"/>
      <c r="ELD1" s="9"/>
      <c r="ELE1" s="8"/>
      <c r="ELF1" s="9"/>
      <c r="ELG1" s="8"/>
      <c r="ELH1" s="9"/>
      <c r="ELI1" s="8"/>
      <c r="ELJ1" s="9"/>
      <c r="ELK1" s="8"/>
      <c r="ELL1" s="9"/>
      <c r="ELM1" s="8"/>
      <c r="ELN1" s="9"/>
      <c r="ELO1" s="8"/>
      <c r="ELP1" s="9"/>
      <c r="ELQ1" s="8"/>
      <c r="ELR1" s="9"/>
      <c r="ELS1" s="8"/>
      <c r="ELT1" s="9"/>
      <c r="ELU1" s="8"/>
      <c r="ELV1" s="9"/>
      <c r="ELW1" s="8"/>
      <c r="ELX1" s="9"/>
      <c r="ELY1" s="8"/>
      <c r="ELZ1" s="9"/>
      <c r="EMA1" s="8"/>
      <c r="EMB1" s="9"/>
      <c r="EMC1" s="8"/>
      <c r="EMD1" s="9"/>
      <c r="EME1" s="8"/>
      <c r="EMF1" s="9"/>
      <c r="EMG1" s="8"/>
      <c r="EMH1" s="9"/>
      <c r="EMI1" s="8"/>
      <c r="EMJ1" s="9"/>
      <c r="EMK1" s="8"/>
      <c r="EML1" s="9"/>
      <c r="EMM1" s="8"/>
      <c r="EMN1" s="9"/>
      <c r="EMO1" s="8"/>
      <c r="EMP1" s="9"/>
      <c r="EMQ1" s="8"/>
      <c r="EMR1" s="9"/>
      <c r="EMS1" s="8"/>
      <c r="EMT1" s="9"/>
      <c r="EMU1" s="8"/>
      <c r="EMV1" s="9"/>
      <c r="EMW1" s="8"/>
      <c r="EMX1" s="9"/>
      <c r="EMY1" s="8"/>
      <c r="EMZ1" s="9"/>
      <c r="ENA1" s="8"/>
      <c r="ENB1" s="9"/>
      <c r="ENC1" s="8"/>
      <c r="END1" s="9"/>
      <c r="ENE1" s="8"/>
      <c r="ENF1" s="9"/>
      <c r="ENG1" s="8"/>
      <c r="ENH1" s="9"/>
      <c r="ENI1" s="8"/>
      <c r="ENJ1" s="9"/>
      <c r="ENK1" s="8"/>
      <c r="ENL1" s="9"/>
      <c r="ENM1" s="8"/>
      <c r="ENN1" s="9"/>
      <c r="ENO1" s="8"/>
      <c r="ENP1" s="9"/>
      <c r="ENQ1" s="8"/>
      <c r="ENR1" s="9"/>
      <c r="ENS1" s="8"/>
      <c r="ENT1" s="9"/>
      <c r="ENU1" s="8"/>
      <c r="ENV1" s="9"/>
      <c r="ENW1" s="8"/>
      <c r="ENX1" s="9"/>
      <c r="ENY1" s="8"/>
      <c r="ENZ1" s="9"/>
      <c r="EOA1" s="8"/>
      <c r="EOB1" s="9"/>
      <c r="EOC1" s="8"/>
      <c r="EOD1" s="9"/>
      <c r="EOE1" s="8"/>
      <c r="EOF1" s="9"/>
      <c r="EOG1" s="8"/>
      <c r="EOH1" s="9"/>
      <c r="EOI1" s="8"/>
      <c r="EOJ1" s="9"/>
      <c r="EOK1" s="8"/>
      <c r="EOL1" s="9"/>
      <c r="EOM1" s="8"/>
      <c r="EON1" s="9"/>
      <c r="EOO1" s="8"/>
      <c r="EOP1" s="9"/>
      <c r="EOQ1" s="8"/>
      <c r="EOR1" s="9"/>
      <c r="EOS1" s="8"/>
      <c r="EOT1" s="9"/>
      <c r="EOU1" s="8"/>
      <c r="EOV1" s="9"/>
      <c r="EOW1" s="8"/>
      <c r="EOX1" s="9"/>
      <c r="EOY1" s="8"/>
      <c r="EOZ1" s="9"/>
      <c r="EPA1" s="8"/>
      <c r="EPB1" s="9"/>
      <c r="EPC1" s="8"/>
      <c r="EPD1" s="9"/>
      <c r="EPE1" s="8"/>
      <c r="EPF1" s="9"/>
      <c r="EPG1" s="8"/>
      <c r="EPH1" s="9"/>
      <c r="EPI1" s="8"/>
      <c r="EPJ1" s="9"/>
      <c r="EPK1" s="8"/>
      <c r="EPL1" s="9"/>
      <c r="EPM1" s="8"/>
      <c r="EPN1" s="9"/>
      <c r="EPO1" s="8"/>
      <c r="EPP1" s="9"/>
      <c r="EPQ1" s="8"/>
      <c r="EPR1" s="9"/>
      <c r="EPS1" s="8"/>
      <c r="EPT1" s="9"/>
      <c r="EPU1" s="8"/>
      <c r="EPV1" s="9"/>
      <c r="EPW1" s="8"/>
      <c r="EPX1" s="9"/>
      <c r="EPY1" s="8"/>
      <c r="EPZ1" s="9"/>
      <c r="EQA1" s="8"/>
      <c r="EQB1" s="9"/>
      <c r="EQC1" s="8"/>
      <c r="EQD1" s="9"/>
      <c r="EQE1" s="8"/>
      <c r="EQF1" s="9"/>
      <c r="EQG1" s="8"/>
      <c r="EQH1" s="9"/>
      <c r="EQI1" s="8"/>
      <c r="EQJ1" s="9"/>
      <c r="EQK1" s="8"/>
      <c r="EQL1" s="9"/>
      <c r="EQM1" s="8"/>
      <c r="EQN1" s="9"/>
      <c r="EQO1" s="8"/>
      <c r="EQP1" s="9"/>
      <c r="EQQ1" s="8"/>
      <c r="EQR1" s="9"/>
      <c r="EQS1" s="8"/>
      <c r="EQT1" s="9"/>
      <c r="EQU1" s="8"/>
      <c r="EQV1" s="9"/>
      <c r="EQW1" s="8"/>
      <c r="EQX1" s="9"/>
      <c r="EQY1" s="8"/>
      <c r="EQZ1" s="9"/>
      <c r="ERA1" s="8"/>
      <c r="ERB1" s="9"/>
      <c r="ERC1" s="8"/>
      <c r="ERD1" s="9"/>
      <c r="ERE1" s="8"/>
      <c r="ERF1" s="9"/>
      <c r="ERG1" s="8"/>
      <c r="ERH1" s="9"/>
      <c r="ERI1" s="8"/>
      <c r="ERJ1" s="9"/>
      <c r="ERK1" s="8"/>
      <c r="ERL1" s="9"/>
      <c r="ERM1" s="8"/>
      <c r="ERN1" s="9"/>
      <c r="ERO1" s="8"/>
      <c r="ERP1" s="9"/>
      <c r="ERQ1" s="8"/>
      <c r="ERR1" s="9"/>
      <c r="ERS1" s="8"/>
      <c r="ERT1" s="9"/>
      <c r="ERU1" s="8"/>
      <c r="ERV1" s="9"/>
      <c r="ERW1" s="8"/>
      <c r="ERX1" s="9"/>
      <c r="ERY1" s="8"/>
      <c r="ERZ1" s="9"/>
      <c r="ESA1" s="8"/>
      <c r="ESB1" s="9"/>
      <c r="ESC1" s="8"/>
      <c r="ESD1" s="9"/>
      <c r="ESE1" s="8"/>
      <c r="ESF1" s="9"/>
      <c r="ESG1" s="8"/>
      <c r="ESH1" s="9"/>
      <c r="ESI1" s="8"/>
      <c r="ESJ1" s="9"/>
      <c r="ESK1" s="8"/>
      <c r="ESL1" s="9"/>
      <c r="ESM1" s="8"/>
      <c r="ESN1" s="9"/>
      <c r="ESO1" s="8"/>
      <c r="ESP1" s="9"/>
      <c r="ESQ1" s="8"/>
      <c r="ESR1" s="9"/>
      <c r="ESS1" s="8"/>
      <c r="EST1" s="9"/>
      <c r="ESU1" s="8"/>
      <c r="ESV1" s="9"/>
      <c r="ESW1" s="8"/>
      <c r="ESX1" s="9"/>
      <c r="ESY1" s="8"/>
      <c r="ESZ1" s="9"/>
      <c r="ETA1" s="8"/>
      <c r="ETB1" s="9"/>
      <c r="ETC1" s="8"/>
      <c r="ETD1" s="9"/>
      <c r="ETE1" s="8"/>
      <c r="ETF1" s="9"/>
      <c r="ETG1" s="8"/>
      <c r="ETH1" s="9"/>
      <c r="ETI1" s="8"/>
      <c r="ETJ1" s="9"/>
      <c r="ETK1" s="8"/>
      <c r="ETL1" s="9"/>
      <c r="ETM1" s="8"/>
      <c r="ETN1" s="9"/>
      <c r="ETO1" s="8"/>
      <c r="ETP1" s="9"/>
      <c r="ETQ1" s="8"/>
      <c r="ETR1" s="9"/>
      <c r="ETS1" s="8"/>
      <c r="ETT1" s="9"/>
      <c r="ETU1" s="8"/>
      <c r="ETV1" s="9"/>
      <c r="ETW1" s="8"/>
      <c r="ETX1" s="9"/>
      <c r="ETY1" s="8"/>
      <c r="ETZ1" s="9"/>
      <c r="EUA1" s="8"/>
      <c r="EUB1" s="9"/>
      <c r="EUC1" s="8"/>
      <c r="EUD1" s="9"/>
      <c r="EUE1" s="8"/>
      <c r="EUF1" s="9"/>
      <c r="EUG1" s="8"/>
      <c r="EUH1" s="9"/>
      <c r="EUI1" s="8"/>
      <c r="EUJ1" s="9"/>
      <c r="EUK1" s="8"/>
      <c r="EUL1" s="9"/>
      <c r="EUM1" s="8"/>
      <c r="EUN1" s="9"/>
      <c r="EUO1" s="8"/>
      <c r="EUP1" s="9"/>
      <c r="EUQ1" s="8"/>
      <c r="EUR1" s="9"/>
      <c r="EUS1" s="8"/>
      <c r="EUT1" s="9"/>
      <c r="EUU1" s="8"/>
      <c r="EUV1" s="9"/>
      <c r="EUW1" s="8"/>
      <c r="EUX1" s="9"/>
      <c r="EUY1" s="8"/>
      <c r="EUZ1" s="9"/>
      <c r="EVA1" s="8"/>
      <c r="EVB1" s="9"/>
      <c r="EVC1" s="8"/>
      <c r="EVD1" s="9"/>
      <c r="EVE1" s="8"/>
      <c r="EVF1" s="9"/>
      <c r="EVG1" s="8"/>
      <c r="EVH1" s="9"/>
      <c r="EVI1" s="8"/>
      <c r="EVJ1" s="9"/>
      <c r="EVK1" s="8"/>
      <c r="EVL1" s="9"/>
      <c r="EVM1" s="8"/>
      <c r="EVN1" s="9"/>
      <c r="EVO1" s="8"/>
      <c r="EVP1" s="9"/>
      <c r="EVQ1" s="8"/>
      <c r="EVR1" s="9"/>
      <c r="EVS1" s="8"/>
      <c r="EVT1" s="9"/>
      <c r="EVU1" s="8"/>
      <c r="EVV1" s="9"/>
      <c r="EVW1" s="8"/>
      <c r="EVX1" s="9"/>
      <c r="EVY1" s="8"/>
      <c r="EVZ1" s="9"/>
      <c r="EWA1" s="8"/>
      <c r="EWB1" s="9"/>
      <c r="EWC1" s="8"/>
      <c r="EWD1" s="9"/>
      <c r="EWE1" s="8"/>
      <c r="EWF1" s="9"/>
      <c r="EWG1" s="8"/>
      <c r="EWH1" s="9"/>
      <c r="EWI1" s="8"/>
      <c r="EWJ1" s="9"/>
      <c r="EWK1" s="8"/>
      <c r="EWL1" s="9"/>
      <c r="EWM1" s="8"/>
      <c r="EWN1" s="9"/>
      <c r="EWO1" s="8"/>
      <c r="EWP1" s="9"/>
      <c r="EWQ1" s="8"/>
      <c r="EWR1" s="9"/>
      <c r="EWS1" s="8"/>
      <c r="EWT1" s="9"/>
      <c r="EWU1" s="8"/>
      <c r="EWV1" s="9"/>
      <c r="EWW1" s="8"/>
      <c r="EWX1" s="9"/>
      <c r="EWY1" s="8"/>
      <c r="EWZ1" s="9"/>
      <c r="EXA1" s="8"/>
      <c r="EXB1" s="9"/>
      <c r="EXC1" s="8"/>
      <c r="EXD1" s="9"/>
      <c r="EXE1" s="8"/>
      <c r="EXF1" s="9"/>
      <c r="EXG1" s="8"/>
      <c r="EXH1" s="9"/>
      <c r="EXI1" s="8"/>
      <c r="EXJ1" s="9"/>
      <c r="EXK1" s="8"/>
      <c r="EXL1" s="9"/>
      <c r="EXM1" s="8"/>
      <c r="EXN1" s="9"/>
      <c r="EXO1" s="8"/>
      <c r="EXP1" s="9"/>
      <c r="EXQ1" s="8"/>
      <c r="EXR1" s="9"/>
      <c r="EXS1" s="8"/>
      <c r="EXT1" s="9"/>
      <c r="EXU1" s="8"/>
      <c r="EXV1" s="9"/>
      <c r="EXW1" s="8"/>
      <c r="EXX1" s="9"/>
      <c r="EXY1" s="8"/>
      <c r="EXZ1" s="9"/>
      <c r="EYA1" s="8"/>
      <c r="EYB1" s="9"/>
      <c r="EYC1" s="8"/>
      <c r="EYD1" s="9"/>
      <c r="EYE1" s="8"/>
      <c r="EYF1" s="9"/>
      <c r="EYG1" s="8"/>
      <c r="EYH1" s="9"/>
      <c r="EYI1" s="8"/>
      <c r="EYJ1" s="9"/>
      <c r="EYK1" s="8"/>
      <c r="EYL1" s="9"/>
      <c r="EYM1" s="8"/>
      <c r="EYN1" s="9"/>
      <c r="EYO1" s="8"/>
      <c r="EYP1" s="9"/>
      <c r="EYQ1" s="8"/>
      <c r="EYR1" s="9"/>
      <c r="EYS1" s="8"/>
      <c r="EYT1" s="9"/>
      <c r="EYU1" s="8"/>
      <c r="EYV1" s="9"/>
      <c r="EYW1" s="8"/>
      <c r="EYX1" s="9"/>
      <c r="EYY1" s="8"/>
      <c r="EYZ1" s="9"/>
      <c r="EZA1" s="8"/>
      <c r="EZB1" s="9"/>
      <c r="EZC1" s="8"/>
      <c r="EZD1" s="9"/>
      <c r="EZE1" s="8"/>
      <c r="EZF1" s="9"/>
      <c r="EZG1" s="8"/>
      <c r="EZH1" s="9"/>
      <c r="EZI1" s="8"/>
      <c r="EZJ1" s="9"/>
      <c r="EZK1" s="8"/>
      <c r="EZL1" s="9"/>
      <c r="EZM1" s="8"/>
      <c r="EZN1" s="9"/>
      <c r="EZO1" s="8"/>
      <c r="EZP1" s="9"/>
      <c r="EZQ1" s="8"/>
      <c r="EZR1" s="9"/>
      <c r="EZS1" s="8"/>
      <c r="EZT1" s="9"/>
      <c r="EZU1" s="8"/>
      <c r="EZV1" s="9"/>
      <c r="EZW1" s="8"/>
      <c r="EZX1" s="9"/>
      <c r="EZY1" s="8"/>
      <c r="EZZ1" s="9"/>
      <c r="FAA1" s="8"/>
      <c r="FAB1" s="9"/>
      <c r="FAC1" s="8"/>
      <c r="FAD1" s="9"/>
      <c r="FAE1" s="8"/>
      <c r="FAF1" s="9"/>
      <c r="FAG1" s="8"/>
      <c r="FAH1" s="9"/>
      <c r="FAI1" s="8"/>
      <c r="FAJ1" s="9"/>
      <c r="FAK1" s="8"/>
      <c r="FAL1" s="9"/>
      <c r="FAM1" s="8"/>
      <c r="FAN1" s="9"/>
      <c r="FAO1" s="8"/>
      <c r="FAP1" s="9"/>
      <c r="FAQ1" s="8"/>
      <c r="FAR1" s="9"/>
      <c r="FAS1" s="8"/>
      <c r="FAT1" s="9"/>
      <c r="FAU1" s="8"/>
      <c r="FAV1" s="9"/>
      <c r="FAW1" s="8"/>
      <c r="FAX1" s="9"/>
      <c r="FAY1" s="8"/>
      <c r="FAZ1" s="9"/>
      <c r="FBA1" s="8"/>
      <c r="FBB1" s="9"/>
      <c r="FBC1" s="8"/>
      <c r="FBD1" s="9"/>
      <c r="FBE1" s="8"/>
      <c r="FBF1" s="9"/>
      <c r="FBG1" s="8"/>
      <c r="FBH1" s="9"/>
      <c r="FBI1" s="8"/>
      <c r="FBJ1" s="9"/>
      <c r="FBK1" s="8"/>
      <c r="FBL1" s="9"/>
      <c r="FBM1" s="8"/>
      <c r="FBN1" s="9"/>
      <c r="FBO1" s="8"/>
      <c r="FBP1" s="9"/>
      <c r="FBQ1" s="8"/>
      <c r="FBR1" s="9"/>
      <c r="FBS1" s="8"/>
      <c r="FBT1" s="9"/>
      <c r="FBU1" s="8"/>
      <c r="FBV1" s="9"/>
      <c r="FBW1" s="8"/>
      <c r="FBX1" s="9"/>
      <c r="FBY1" s="8"/>
      <c r="FBZ1" s="9"/>
      <c r="FCA1" s="8"/>
      <c r="FCB1" s="9"/>
      <c r="FCC1" s="8"/>
      <c r="FCD1" s="9"/>
      <c r="FCE1" s="8"/>
      <c r="FCF1" s="9"/>
      <c r="FCG1" s="8"/>
      <c r="FCH1" s="9"/>
      <c r="FCI1" s="8"/>
      <c r="FCJ1" s="9"/>
      <c r="FCK1" s="8"/>
      <c r="FCL1" s="9"/>
      <c r="FCM1" s="8"/>
      <c r="FCN1" s="9"/>
      <c r="FCO1" s="8"/>
      <c r="FCP1" s="9"/>
      <c r="FCQ1" s="8"/>
      <c r="FCR1" s="9"/>
      <c r="FCS1" s="8"/>
      <c r="FCT1" s="9"/>
      <c r="FCU1" s="8"/>
      <c r="FCV1" s="9"/>
      <c r="FCW1" s="8"/>
      <c r="FCX1" s="9"/>
      <c r="FCY1" s="8"/>
      <c r="FCZ1" s="9"/>
      <c r="FDA1" s="8"/>
      <c r="FDB1" s="9"/>
      <c r="FDC1" s="8"/>
      <c r="FDD1" s="9"/>
      <c r="FDE1" s="8"/>
      <c r="FDF1" s="9"/>
      <c r="FDG1" s="8"/>
      <c r="FDH1" s="9"/>
      <c r="FDI1" s="8"/>
      <c r="FDJ1" s="9"/>
      <c r="FDK1" s="8"/>
      <c r="FDL1" s="9"/>
      <c r="FDM1" s="8"/>
      <c r="FDN1" s="9"/>
      <c r="FDO1" s="8"/>
      <c r="FDP1" s="9"/>
      <c r="FDQ1" s="8"/>
      <c r="FDR1" s="9"/>
      <c r="FDS1" s="8"/>
      <c r="FDT1" s="9"/>
      <c r="FDU1" s="8"/>
      <c r="FDV1" s="9"/>
      <c r="FDW1" s="8"/>
      <c r="FDX1" s="9"/>
      <c r="FDY1" s="8"/>
      <c r="FDZ1" s="9"/>
      <c r="FEA1" s="8"/>
      <c r="FEB1" s="9"/>
      <c r="FEC1" s="8"/>
      <c r="FED1" s="9"/>
      <c r="FEE1" s="8"/>
      <c r="FEF1" s="9"/>
      <c r="FEG1" s="8"/>
      <c r="FEH1" s="9"/>
      <c r="FEI1" s="8"/>
      <c r="FEJ1" s="9"/>
      <c r="FEK1" s="8"/>
      <c r="FEL1" s="9"/>
      <c r="FEM1" s="8"/>
      <c r="FEN1" s="9"/>
      <c r="FEO1" s="8"/>
      <c r="FEP1" s="9"/>
      <c r="FEQ1" s="8"/>
      <c r="FER1" s="9"/>
      <c r="FES1" s="8"/>
      <c r="FET1" s="9"/>
      <c r="FEU1" s="8"/>
      <c r="FEV1" s="9"/>
      <c r="FEW1" s="8"/>
      <c r="FEX1" s="9"/>
      <c r="FEY1" s="8"/>
      <c r="FEZ1" s="9"/>
      <c r="FFA1" s="8"/>
      <c r="FFB1" s="9"/>
      <c r="FFC1" s="8"/>
      <c r="FFD1" s="9"/>
      <c r="FFE1" s="8"/>
      <c r="FFF1" s="9"/>
      <c r="FFG1" s="8"/>
      <c r="FFH1" s="9"/>
      <c r="FFI1" s="8"/>
      <c r="FFJ1" s="9"/>
      <c r="FFK1" s="8"/>
      <c r="FFL1" s="9"/>
      <c r="FFM1" s="8"/>
      <c r="FFN1" s="9"/>
      <c r="FFO1" s="8"/>
      <c r="FFP1" s="9"/>
      <c r="FFQ1" s="8"/>
      <c r="FFR1" s="9"/>
      <c r="FFS1" s="8"/>
      <c r="FFT1" s="9"/>
      <c r="FFU1" s="8"/>
      <c r="FFV1" s="9"/>
      <c r="FFW1" s="8"/>
      <c r="FFX1" s="9"/>
      <c r="FFY1" s="8"/>
      <c r="FFZ1" s="9"/>
      <c r="FGA1" s="8"/>
      <c r="FGB1" s="9"/>
      <c r="FGC1" s="8"/>
      <c r="FGD1" s="9"/>
      <c r="FGE1" s="8"/>
      <c r="FGF1" s="9"/>
      <c r="FGG1" s="8"/>
      <c r="FGH1" s="9"/>
      <c r="FGI1" s="8"/>
      <c r="FGJ1" s="9"/>
      <c r="FGK1" s="8"/>
      <c r="FGL1" s="9"/>
      <c r="FGM1" s="8"/>
      <c r="FGN1" s="9"/>
      <c r="FGO1" s="8"/>
      <c r="FGP1" s="9"/>
      <c r="FGQ1" s="8"/>
      <c r="FGR1" s="9"/>
      <c r="FGS1" s="8"/>
      <c r="FGT1" s="9"/>
      <c r="FGU1" s="8"/>
      <c r="FGV1" s="9"/>
      <c r="FGW1" s="8"/>
      <c r="FGX1" s="9"/>
      <c r="FGY1" s="8"/>
      <c r="FGZ1" s="9"/>
      <c r="FHA1" s="8"/>
      <c r="FHB1" s="9"/>
      <c r="FHC1" s="8"/>
      <c r="FHD1" s="9"/>
      <c r="FHE1" s="8"/>
      <c r="FHF1" s="9"/>
      <c r="FHG1" s="8"/>
      <c r="FHH1" s="9"/>
      <c r="FHI1" s="8"/>
      <c r="FHJ1" s="9"/>
      <c r="FHK1" s="8"/>
      <c r="FHL1" s="9"/>
      <c r="FHM1" s="8"/>
      <c r="FHN1" s="9"/>
      <c r="FHO1" s="8"/>
      <c r="FHP1" s="9"/>
      <c r="FHQ1" s="8"/>
      <c r="FHR1" s="9"/>
      <c r="FHS1" s="8"/>
      <c r="FHT1" s="9"/>
      <c r="FHU1" s="8"/>
      <c r="FHV1" s="9"/>
      <c r="FHW1" s="8"/>
      <c r="FHX1" s="9"/>
      <c r="FHY1" s="8"/>
      <c r="FHZ1" s="9"/>
      <c r="FIA1" s="8"/>
      <c r="FIB1" s="9"/>
      <c r="FIC1" s="8"/>
      <c r="FID1" s="9"/>
      <c r="FIE1" s="8"/>
      <c r="FIF1" s="9"/>
      <c r="FIG1" s="8"/>
      <c r="FIH1" s="9"/>
      <c r="FII1" s="8"/>
      <c r="FIJ1" s="9"/>
      <c r="FIK1" s="8"/>
      <c r="FIL1" s="9"/>
      <c r="FIM1" s="8"/>
      <c r="FIN1" s="9"/>
      <c r="FIO1" s="8"/>
      <c r="FIP1" s="9"/>
      <c r="FIQ1" s="8"/>
      <c r="FIR1" s="9"/>
      <c r="FIS1" s="8"/>
      <c r="FIT1" s="9"/>
      <c r="FIU1" s="8"/>
      <c r="FIV1" s="9"/>
      <c r="FIW1" s="8"/>
      <c r="FIX1" s="9"/>
      <c r="FIY1" s="8"/>
      <c r="FIZ1" s="9"/>
      <c r="FJA1" s="8"/>
      <c r="FJB1" s="9"/>
      <c r="FJC1" s="8"/>
      <c r="FJD1" s="9"/>
      <c r="FJE1" s="8"/>
      <c r="FJF1" s="9"/>
      <c r="FJG1" s="8"/>
      <c r="FJH1" s="9"/>
      <c r="FJI1" s="8"/>
      <c r="FJJ1" s="9"/>
      <c r="FJK1" s="8"/>
      <c r="FJL1" s="9"/>
      <c r="FJM1" s="8"/>
      <c r="FJN1" s="9"/>
      <c r="FJO1" s="8"/>
      <c r="FJP1" s="9"/>
      <c r="FJQ1" s="8"/>
      <c r="FJR1" s="9"/>
      <c r="FJS1" s="8"/>
      <c r="FJT1" s="9"/>
      <c r="FJU1" s="8"/>
      <c r="FJV1" s="9"/>
      <c r="FJW1" s="8"/>
      <c r="FJX1" s="9"/>
      <c r="FJY1" s="8"/>
      <c r="FJZ1" s="9"/>
      <c r="FKA1" s="8"/>
      <c r="FKB1" s="9"/>
      <c r="FKC1" s="8"/>
      <c r="FKD1" s="9"/>
      <c r="FKE1" s="8"/>
      <c r="FKF1" s="9"/>
      <c r="FKG1" s="8"/>
      <c r="FKH1" s="9"/>
      <c r="FKI1" s="8"/>
      <c r="FKJ1" s="9"/>
      <c r="FKK1" s="8"/>
      <c r="FKL1" s="9"/>
      <c r="FKM1" s="8"/>
      <c r="FKN1" s="9"/>
      <c r="FKO1" s="8"/>
      <c r="FKP1" s="9"/>
      <c r="FKQ1" s="8"/>
      <c r="FKR1" s="9"/>
      <c r="FKS1" s="8"/>
      <c r="FKT1" s="9"/>
      <c r="FKU1" s="8"/>
      <c r="FKV1" s="9"/>
      <c r="FKW1" s="8"/>
      <c r="FKX1" s="9"/>
      <c r="FKY1" s="8"/>
      <c r="FKZ1" s="9"/>
      <c r="FLA1" s="8"/>
      <c r="FLB1" s="9"/>
      <c r="FLC1" s="8"/>
      <c r="FLD1" s="9"/>
      <c r="FLE1" s="8"/>
      <c r="FLF1" s="9"/>
      <c r="FLG1" s="8"/>
      <c r="FLH1" s="9"/>
      <c r="FLI1" s="8"/>
      <c r="FLJ1" s="9"/>
      <c r="FLK1" s="8"/>
      <c r="FLL1" s="9"/>
      <c r="FLM1" s="8"/>
      <c r="FLN1" s="9"/>
      <c r="FLO1" s="8"/>
      <c r="FLP1" s="9"/>
      <c r="FLQ1" s="8"/>
      <c r="FLR1" s="9"/>
      <c r="FLS1" s="8"/>
      <c r="FLT1" s="9"/>
      <c r="FLU1" s="8"/>
      <c r="FLV1" s="9"/>
      <c r="FLW1" s="8"/>
      <c r="FLX1" s="9"/>
      <c r="FLY1" s="8"/>
      <c r="FLZ1" s="9"/>
      <c r="FMA1" s="8"/>
      <c r="FMB1" s="9"/>
      <c r="FMC1" s="8"/>
      <c r="FMD1" s="9"/>
      <c r="FME1" s="8"/>
      <c r="FMF1" s="9"/>
      <c r="FMG1" s="8"/>
      <c r="FMH1" s="9"/>
      <c r="FMI1" s="8"/>
      <c r="FMJ1" s="9"/>
      <c r="FMK1" s="8"/>
      <c r="FML1" s="9"/>
      <c r="FMM1" s="8"/>
      <c r="FMN1" s="9"/>
      <c r="FMO1" s="8"/>
      <c r="FMP1" s="9"/>
      <c r="FMQ1" s="8"/>
      <c r="FMR1" s="9"/>
      <c r="FMS1" s="8"/>
      <c r="FMT1" s="9"/>
      <c r="FMU1" s="8"/>
      <c r="FMV1" s="9"/>
      <c r="FMW1" s="8"/>
      <c r="FMX1" s="9"/>
      <c r="FMY1" s="8"/>
      <c r="FMZ1" s="9"/>
      <c r="FNA1" s="8"/>
      <c r="FNB1" s="9"/>
      <c r="FNC1" s="8"/>
      <c r="FND1" s="9"/>
      <c r="FNE1" s="8"/>
      <c r="FNF1" s="9"/>
      <c r="FNG1" s="8"/>
      <c r="FNH1" s="9"/>
      <c r="FNI1" s="8"/>
      <c r="FNJ1" s="9"/>
      <c r="FNK1" s="8"/>
      <c r="FNL1" s="9"/>
      <c r="FNM1" s="8"/>
      <c r="FNN1" s="9"/>
      <c r="FNO1" s="8"/>
      <c r="FNP1" s="9"/>
      <c r="FNQ1" s="8"/>
      <c r="FNR1" s="9"/>
      <c r="FNS1" s="8"/>
      <c r="FNT1" s="9"/>
      <c r="FNU1" s="8"/>
      <c r="FNV1" s="9"/>
      <c r="FNW1" s="8"/>
      <c r="FNX1" s="9"/>
      <c r="FNY1" s="8"/>
      <c r="FNZ1" s="9"/>
      <c r="FOA1" s="8"/>
      <c r="FOB1" s="9"/>
      <c r="FOC1" s="8"/>
      <c r="FOD1" s="9"/>
      <c r="FOE1" s="8"/>
      <c r="FOF1" s="9"/>
      <c r="FOG1" s="8"/>
      <c r="FOH1" s="9"/>
      <c r="FOI1" s="8"/>
      <c r="FOJ1" s="9"/>
      <c r="FOK1" s="8"/>
      <c r="FOL1" s="9"/>
      <c r="FOM1" s="8"/>
      <c r="FON1" s="9"/>
      <c r="FOO1" s="8"/>
      <c r="FOP1" s="9"/>
      <c r="FOQ1" s="8"/>
      <c r="FOR1" s="9"/>
      <c r="FOS1" s="8"/>
      <c r="FOT1" s="9"/>
      <c r="FOU1" s="8"/>
      <c r="FOV1" s="9"/>
      <c r="FOW1" s="8"/>
      <c r="FOX1" s="9"/>
      <c r="FOY1" s="8"/>
      <c r="FOZ1" s="9"/>
      <c r="FPA1" s="8"/>
      <c r="FPB1" s="9"/>
      <c r="FPC1" s="8"/>
      <c r="FPD1" s="9"/>
      <c r="FPE1" s="8"/>
      <c r="FPF1" s="9"/>
      <c r="FPG1" s="8"/>
      <c r="FPH1" s="9"/>
      <c r="FPI1" s="8"/>
      <c r="FPJ1" s="9"/>
      <c r="FPK1" s="8"/>
      <c r="FPL1" s="9"/>
      <c r="FPM1" s="8"/>
      <c r="FPN1" s="9"/>
      <c r="FPO1" s="8"/>
      <c r="FPP1" s="9"/>
      <c r="FPQ1" s="8"/>
      <c r="FPR1" s="9"/>
      <c r="FPS1" s="8"/>
      <c r="FPT1" s="9"/>
      <c r="FPU1" s="8"/>
      <c r="FPV1" s="9"/>
      <c r="FPW1" s="8"/>
      <c r="FPX1" s="9"/>
      <c r="FPY1" s="8"/>
      <c r="FPZ1" s="9"/>
      <c r="FQA1" s="8"/>
      <c r="FQB1" s="9"/>
      <c r="FQC1" s="8"/>
      <c r="FQD1" s="9"/>
      <c r="FQE1" s="8"/>
      <c r="FQF1" s="9"/>
      <c r="FQG1" s="8"/>
      <c r="FQH1" s="9"/>
      <c r="FQI1" s="8"/>
      <c r="FQJ1" s="9"/>
      <c r="FQK1" s="8"/>
      <c r="FQL1" s="9"/>
      <c r="FQM1" s="8"/>
      <c r="FQN1" s="9"/>
      <c r="FQO1" s="8"/>
      <c r="FQP1" s="9"/>
      <c r="FQQ1" s="8"/>
      <c r="FQR1" s="9"/>
      <c r="FQS1" s="8"/>
      <c r="FQT1" s="9"/>
      <c r="FQU1" s="8"/>
      <c r="FQV1" s="9"/>
      <c r="FQW1" s="8"/>
      <c r="FQX1" s="9"/>
      <c r="FQY1" s="8"/>
      <c r="FQZ1" s="9"/>
      <c r="FRA1" s="8"/>
      <c r="FRB1" s="9"/>
      <c r="FRC1" s="8"/>
      <c r="FRD1" s="9"/>
      <c r="FRE1" s="8"/>
      <c r="FRF1" s="9"/>
      <c r="FRG1" s="8"/>
      <c r="FRH1" s="9"/>
      <c r="FRI1" s="8"/>
      <c r="FRJ1" s="9"/>
      <c r="FRK1" s="8"/>
      <c r="FRL1" s="9"/>
      <c r="FRM1" s="8"/>
      <c r="FRN1" s="9"/>
      <c r="FRO1" s="8"/>
      <c r="FRP1" s="9"/>
      <c r="FRQ1" s="8"/>
      <c r="FRR1" s="9"/>
      <c r="FRS1" s="8"/>
      <c r="FRT1" s="9"/>
      <c r="FRU1" s="8"/>
      <c r="FRV1" s="9"/>
      <c r="FRW1" s="8"/>
      <c r="FRX1" s="9"/>
      <c r="FRY1" s="8"/>
      <c r="FRZ1" s="9"/>
      <c r="FSA1" s="8"/>
      <c r="FSB1" s="9"/>
      <c r="FSC1" s="8"/>
      <c r="FSD1" s="9"/>
      <c r="FSE1" s="8"/>
      <c r="FSF1" s="9"/>
      <c r="FSG1" s="8"/>
      <c r="FSH1" s="9"/>
      <c r="FSI1" s="8"/>
      <c r="FSJ1" s="9"/>
      <c r="FSK1" s="8"/>
      <c r="FSL1" s="9"/>
      <c r="FSM1" s="8"/>
      <c r="FSN1" s="9"/>
      <c r="FSO1" s="8"/>
      <c r="FSP1" s="9"/>
      <c r="FSQ1" s="8"/>
      <c r="FSR1" s="9"/>
      <c r="FSS1" s="8"/>
      <c r="FST1" s="9"/>
      <c r="FSU1" s="8"/>
      <c r="FSV1" s="9"/>
      <c r="FSW1" s="8"/>
      <c r="FSX1" s="9"/>
      <c r="FSY1" s="8"/>
      <c r="FSZ1" s="9"/>
      <c r="FTA1" s="8"/>
      <c r="FTB1" s="9"/>
      <c r="FTC1" s="8"/>
      <c r="FTD1" s="9"/>
      <c r="FTE1" s="8"/>
      <c r="FTF1" s="9"/>
      <c r="FTG1" s="8"/>
      <c r="FTH1" s="9"/>
      <c r="FTI1" s="8"/>
      <c r="FTJ1" s="9"/>
      <c r="FTK1" s="8"/>
      <c r="FTL1" s="9"/>
      <c r="FTM1" s="8"/>
      <c r="FTN1" s="9"/>
      <c r="FTO1" s="8"/>
      <c r="FTP1" s="9"/>
      <c r="FTQ1" s="8"/>
      <c r="FTR1" s="9"/>
      <c r="FTS1" s="8"/>
      <c r="FTT1" s="9"/>
      <c r="FTU1" s="8"/>
      <c r="FTV1" s="9"/>
      <c r="FTW1" s="8"/>
      <c r="FTX1" s="9"/>
      <c r="FTY1" s="8"/>
      <c r="FTZ1" s="9"/>
      <c r="FUA1" s="8"/>
      <c r="FUB1" s="9"/>
      <c r="FUC1" s="8"/>
      <c r="FUD1" s="9"/>
      <c r="FUE1" s="8"/>
      <c r="FUF1" s="9"/>
      <c r="FUG1" s="8"/>
      <c r="FUH1" s="9"/>
      <c r="FUI1" s="8"/>
      <c r="FUJ1" s="9"/>
      <c r="FUK1" s="8"/>
      <c r="FUL1" s="9"/>
      <c r="FUM1" s="8"/>
      <c r="FUN1" s="9"/>
      <c r="FUO1" s="8"/>
      <c r="FUP1" s="9"/>
      <c r="FUQ1" s="8"/>
      <c r="FUR1" s="9"/>
      <c r="FUS1" s="8"/>
      <c r="FUT1" s="9"/>
      <c r="FUU1" s="8"/>
      <c r="FUV1" s="9"/>
      <c r="FUW1" s="8"/>
      <c r="FUX1" s="9"/>
      <c r="FUY1" s="8"/>
      <c r="FUZ1" s="9"/>
      <c r="FVA1" s="8"/>
      <c r="FVB1" s="9"/>
      <c r="FVC1" s="8"/>
      <c r="FVD1" s="9"/>
      <c r="FVE1" s="8"/>
      <c r="FVF1" s="9"/>
      <c r="FVG1" s="8"/>
      <c r="FVH1" s="9"/>
      <c r="FVI1" s="8"/>
      <c r="FVJ1" s="9"/>
      <c r="FVK1" s="8"/>
      <c r="FVL1" s="9"/>
      <c r="FVM1" s="8"/>
      <c r="FVN1" s="9"/>
      <c r="FVO1" s="8"/>
      <c r="FVP1" s="9"/>
      <c r="FVQ1" s="8"/>
      <c r="FVR1" s="9"/>
      <c r="FVS1" s="8"/>
      <c r="FVT1" s="9"/>
      <c r="FVU1" s="8"/>
      <c r="FVV1" s="9"/>
      <c r="FVW1" s="8"/>
      <c r="FVX1" s="9"/>
      <c r="FVY1" s="8"/>
      <c r="FVZ1" s="9"/>
      <c r="FWA1" s="8"/>
      <c r="FWB1" s="9"/>
      <c r="FWC1" s="8"/>
      <c r="FWD1" s="9"/>
      <c r="FWE1" s="8"/>
      <c r="FWF1" s="9"/>
      <c r="FWG1" s="8"/>
      <c r="FWH1" s="9"/>
      <c r="FWI1" s="8"/>
      <c r="FWJ1" s="9"/>
      <c r="FWK1" s="8"/>
      <c r="FWL1" s="9"/>
      <c r="FWM1" s="8"/>
      <c r="FWN1" s="9"/>
      <c r="FWO1" s="8"/>
      <c r="FWP1" s="9"/>
      <c r="FWQ1" s="8"/>
      <c r="FWR1" s="9"/>
      <c r="FWS1" s="8"/>
      <c r="FWT1" s="9"/>
      <c r="FWU1" s="8"/>
      <c r="FWV1" s="9"/>
      <c r="FWW1" s="8"/>
      <c r="FWX1" s="9"/>
      <c r="FWY1" s="8"/>
      <c r="FWZ1" s="9"/>
      <c r="FXA1" s="8"/>
      <c r="FXB1" s="9"/>
      <c r="FXC1" s="8"/>
      <c r="FXD1" s="9"/>
      <c r="FXE1" s="8"/>
      <c r="FXF1" s="9"/>
      <c r="FXG1" s="8"/>
      <c r="FXH1" s="9"/>
      <c r="FXI1" s="8"/>
      <c r="FXJ1" s="9"/>
      <c r="FXK1" s="8"/>
      <c r="FXL1" s="9"/>
      <c r="FXM1" s="8"/>
      <c r="FXN1" s="9"/>
      <c r="FXO1" s="8"/>
      <c r="FXP1" s="9"/>
      <c r="FXQ1" s="8"/>
      <c r="FXR1" s="9"/>
      <c r="FXS1" s="8"/>
      <c r="FXT1" s="9"/>
      <c r="FXU1" s="8"/>
      <c r="FXV1" s="9"/>
      <c r="FXW1" s="8"/>
      <c r="FXX1" s="9"/>
      <c r="FXY1" s="8"/>
      <c r="FXZ1" s="9"/>
      <c r="FYA1" s="8"/>
      <c r="FYB1" s="9"/>
      <c r="FYC1" s="8"/>
      <c r="FYD1" s="9"/>
      <c r="FYE1" s="8"/>
      <c r="FYF1" s="9"/>
      <c r="FYG1" s="8"/>
      <c r="FYH1" s="9"/>
      <c r="FYI1" s="8"/>
      <c r="FYJ1" s="9"/>
      <c r="FYK1" s="8"/>
      <c r="FYL1" s="9"/>
      <c r="FYM1" s="8"/>
      <c r="FYN1" s="9"/>
      <c r="FYO1" s="8"/>
      <c r="FYP1" s="9"/>
      <c r="FYQ1" s="8"/>
      <c r="FYR1" s="9"/>
      <c r="FYS1" s="8"/>
      <c r="FYT1" s="9"/>
      <c r="FYU1" s="8"/>
      <c r="FYV1" s="9"/>
      <c r="FYW1" s="8"/>
      <c r="FYX1" s="9"/>
      <c r="FYY1" s="8"/>
      <c r="FYZ1" s="9"/>
      <c r="FZA1" s="8"/>
      <c r="FZB1" s="9"/>
      <c r="FZC1" s="8"/>
      <c r="FZD1" s="9"/>
      <c r="FZE1" s="8"/>
      <c r="FZF1" s="9"/>
      <c r="FZG1" s="8"/>
      <c r="FZH1" s="9"/>
      <c r="FZI1" s="8"/>
      <c r="FZJ1" s="9"/>
      <c r="FZK1" s="8"/>
      <c r="FZL1" s="9"/>
      <c r="FZM1" s="8"/>
      <c r="FZN1" s="9"/>
      <c r="FZO1" s="8"/>
      <c r="FZP1" s="9"/>
      <c r="FZQ1" s="8"/>
      <c r="FZR1" s="9"/>
      <c r="FZS1" s="8"/>
      <c r="FZT1" s="9"/>
      <c r="FZU1" s="8"/>
      <c r="FZV1" s="9"/>
      <c r="FZW1" s="8"/>
      <c r="FZX1" s="9"/>
      <c r="FZY1" s="8"/>
      <c r="FZZ1" s="9"/>
      <c r="GAA1" s="8"/>
      <c r="GAB1" s="9"/>
      <c r="GAC1" s="8"/>
      <c r="GAD1" s="9"/>
      <c r="GAE1" s="8"/>
      <c r="GAF1" s="9"/>
      <c r="GAG1" s="8"/>
      <c r="GAH1" s="9"/>
      <c r="GAI1" s="8"/>
      <c r="GAJ1" s="9"/>
      <c r="GAK1" s="8"/>
      <c r="GAL1" s="9"/>
      <c r="GAM1" s="8"/>
      <c r="GAN1" s="9"/>
      <c r="GAO1" s="8"/>
      <c r="GAP1" s="9"/>
      <c r="GAQ1" s="8"/>
      <c r="GAR1" s="9"/>
      <c r="GAS1" s="8"/>
      <c r="GAT1" s="9"/>
      <c r="GAU1" s="8"/>
      <c r="GAV1" s="9"/>
      <c r="GAW1" s="8"/>
      <c r="GAX1" s="9"/>
      <c r="GAY1" s="8"/>
      <c r="GAZ1" s="9"/>
      <c r="GBA1" s="8"/>
      <c r="GBB1" s="9"/>
      <c r="GBC1" s="8"/>
      <c r="GBD1" s="9"/>
      <c r="GBE1" s="8"/>
      <c r="GBF1" s="9"/>
      <c r="GBG1" s="8"/>
      <c r="GBH1" s="9"/>
      <c r="GBI1" s="8"/>
      <c r="GBJ1" s="9"/>
      <c r="GBK1" s="8"/>
      <c r="GBL1" s="9"/>
      <c r="GBM1" s="8"/>
      <c r="GBN1" s="9"/>
      <c r="GBO1" s="8"/>
      <c r="GBP1" s="9"/>
      <c r="GBQ1" s="8"/>
      <c r="GBR1" s="9"/>
      <c r="GBS1" s="8"/>
      <c r="GBT1" s="9"/>
      <c r="GBU1" s="8"/>
      <c r="GBV1" s="9"/>
      <c r="GBW1" s="8"/>
      <c r="GBX1" s="9"/>
      <c r="GBY1" s="8"/>
      <c r="GBZ1" s="9"/>
      <c r="GCA1" s="8"/>
      <c r="GCB1" s="9"/>
      <c r="GCC1" s="8"/>
      <c r="GCD1" s="9"/>
      <c r="GCE1" s="8"/>
      <c r="GCF1" s="9"/>
      <c r="GCG1" s="8"/>
      <c r="GCH1" s="9"/>
      <c r="GCI1" s="8"/>
      <c r="GCJ1" s="9"/>
      <c r="GCK1" s="8"/>
      <c r="GCL1" s="9"/>
      <c r="GCM1" s="8"/>
      <c r="GCN1" s="9"/>
      <c r="GCO1" s="8"/>
      <c r="GCP1" s="9"/>
      <c r="GCQ1" s="8"/>
      <c r="GCR1" s="9"/>
      <c r="GCS1" s="8"/>
      <c r="GCT1" s="9"/>
      <c r="GCU1" s="8"/>
      <c r="GCV1" s="9"/>
      <c r="GCW1" s="8"/>
      <c r="GCX1" s="9"/>
      <c r="GCY1" s="8"/>
      <c r="GCZ1" s="9"/>
      <c r="GDA1" s="8"/>
      <c r="GDB1" s="9"/>
      <c r="GDC1" s="8"/>
      <c r="GDD1" s="9"/>
      <c r="GDE1" s="8"/>
      <c r="GDF1" s="9"/>
      <c r="GDG1" s="8"/>
      <c r="GDH1" s="9"/>
      <c r="GDI1" s="8"/>
      <c r="GDJ1" s="9"/>
      <c r="GDK1" s="8"/>
      <c r="GDL1" s="9"/>
      <c r="GDM1" s="8"/>
      <c r="GDN1" s="9"/>
      <c r="GDO1" s="8"/>
      <c r="GDP1" s="9"/>
      <c r="GDQ1" s="8"/>
      <c r="GDR1" s="9"/>
      <c r="GDS1" s="8"/>
      <c r="GDT1" s="9"/>
      <c r="GDU1" s="8"/>
      <c r="GDV1" s="9"/>
      <c r="GDW1" s="8"/>
      <c r="GDX1" s="9"/>
      <c r="GDY1" s="8"/>
      <c r="GDZ1" s="9"/>
      <c r="GEA1" s="8"/>
      <c r="GEB1" s="9"/>
      <c r="GEC1" s="8"/>
      <c r="GED1" s="9"/>
      <c r="GEE1" s="8"/>
      <c r="GEF1" s="9"/>
      <c r="GEG1" s="8"/>
      <c r="GEH1" s="9"/>
      <c r="GEI1" s="8"/>
      <c r="GEJ1" s="9"/>
      <c r="GEK1" s="8"/>
      <c r="GEL1" s="9"/>
      <c r="GEM1" s="8"/>
      <c r="GEN1" s="9"/>
      <c r="GEO1" s="8"/>
      <c r="GEP1" s="9"/>
      <c r="GEQ1" s="8"/>
      <c r="GER1" s="9"/>
      <c r="GES1" s="8"/>
      <c r="GET1" s="9"/>
      <c r="GEU1" s="8"/>
      <c r="GEV1" s="9"/>
      <c r="GEW1" s="8"/>
      <c r="GEX1" s="9"/>
      <c r="GEY1" s="8"/>
      <c r="GEZ1" s="9"/>
      <c r="GFA1" s="8"/>
      <c r="GFB1" s="9"/>
      <c r="GFC1" s="8"/>
      <c r="GFD1" s="9"/>
      <c r="GFE1" s="8"/>
      <c r="GFF1" s="9"/>
      <c r="GFG1" s="8"/>
      <c r="GFH1" s="9"/>
      <c r="GFI1" s="8"/>
      <c r="GFJ1" s="9"/>
      <c r="GFK1" s="8"/>
      <c r="GFL1" s="9"/>
      <c r="GFM1" s="8"/>
      <c r="GFN1" s="9"/>
      <c r="GFO1" s="8"/>
      <c r="GFP1" s="9"/>
      <c r="GFQ1" s="8"/>
      <c r="GFR1" s="9"/>
      <c r="GFS1" s="8"/>
      <c r="GFT1" s="9"/>
      <c r="GFU1" s="8"/>
      <c r="GFV1" s="9"/>
      <c r="GFW1" s="8"/>
      <c r="GFX1" s="9"/>
      <c r="GFY1" s="8"/>
      <c r="GFZ1" s="9"/>
      <c r="GGA1" s="8"/>
      <c r="GGB1" s="9"/>
      <c r="GGC1" s="8"/>
      <c r="GGD1" s="9"/>
      <c r="GGE1" s="8"/>
      <c r="GGF1" s="9"/>
      <c r="GGG1" s="8"/>
      <c r="GGH1" s="9"/>
      <c r="GGI1" s="8"/>
      <c r="GGJ1" s="9"/>
      <c r="GGK1" s="8"/>
      <c r="GGL1" s="9"/>
      <c r="GGM1" s="8"/>
      <c r="GGN1" s="9"/>
      <c r="GGO1" s="8"/>
      <c r="GGP1" s="9"/>
      <c r="GGQ1" s="8"/>
      <c r="GGR1" s="9"/>
      <c r="GGS1" s="8"/>
      <c r="GGT1" s="9"/>
      <c r="GGU1" s="8"/>
      <c r="GGV1" s="9"/>
      <c r="GGW1" s="8"/>
      <c r="GGX1" s="9"/>
      <c r="GGY1" s="8"/>
      <c r="GGZ1" s="9"/>
      <c r="GHA1" s="8"/>
      <c r="GHB1" s="9"/>
      <c r="GHC1" s="8"/>
      <c r="GHD1" s="9"/>
      <c r="GHE1" s="8"/>
      <c r="GHF1" s="9"/>
      <c r="GHG1" s="8"/>
      <c r="GHH1" s="9"/>
      <c r="GHI1" s="8"/>
      <c r="GHJ1" s="9"/>
      <c r="GHK1" s="8"/>
      <c r="GHL1" s="9"/>
      <c r="GHM1" s="8"/>
      <c r="GHN1" s="9"/>
      <c r="GHO1" s="8"/>
      <c r="GHP1" s="9"/>
      <c r="GHQ1" s="8"/>
      <c r="GHR1" s="9"/>
      <c r="GHS1" s="8"/>
      <c r="GHT1" s="9"/>
      <c r="GHU1" s="8"/>
      <c r="GHV1" s="9"/>
      <c r="GHW1" s="8"/>
      <c r="GHX1" s="9"/>
      <c r="GHY1" s="8"/>
      <c r="GHZ1" s="9"/>
      <c r="GIA1" s="8"/>
      <c r="GIB1" s="9"/>
      <c r="GIC1" s="8"/>
      <c r="GID1" s="9"/>
      <c r="GIE1" s="8"/>
      <c r="GIF1" s="9"/>
      <c r="GIG1" s="8"/>
      <c r="GIH1" s="9"/>
      <c r="GII1" s="8"/>
      <c r="GIJ1" s="9"/>
      <c r="GIK1" s="8"/>
      <c r="GIL1" s="9"/>
      <c r="GIM1" s="8"/>
      <c r="GIN1" s="9"/>
      <c r="GIO1" s="8"/>
      <c r="GIP1" s="9"/>
      <c r="GIQ1" s="8"/>
      <c r="GIR1" s="9"/>
      <c r="GIS1" s="8"/>
      <c r="GIT1" s="9"/>
      <c r="GIU1" s="8"/>
      <c r="GIV1" s="9"/>
      <c r="GIW1" s="8"/>
      <c r="GIX1" s="9"/>
      <c r="GIY1" s="8"/>
      <c r="GIZ1" s="9"/>
      <c r="GJA1" s="8"/>
      <c r="GJB1" s="9"/>
      <c r="GJC1" s="8"/>
      <c r="GJD1" s="9"/>
      <c r="GJE1" s="8"/>
      <c r="GJF1" s="9"/>
      <c r="GJG1" s="8"/>
      <c r="GJH1" s="9"/>
      <c r="GJI1" s="8"/>
      <c r="GJJ1" s="9"/>
      <c r="GJK1" s="8"/>
      <c r="GJL1" s="9"/>
      <c r="GJM1" s="8"/>
      <c r="GJN1" s="9"/>
      <c r="GJO1" s="8"/>
      <c r="GJP1" s="9"/>
      <c r="GJQ1" s="8"/>
      <c r="GJR1" s="9"/>
      <c r="GJS1" s="8"/>
      <c r="GJT1" s="9"/>
      <c r="GJU1" s="8"/>
      <c r="GJV1" s="9"/>
      <c r="GJW1" s="8"/>
      <c r="GJX1" s="9"/>
      <c r="GJY1" s="8"/>
      <c r="GJZ1" s="9"/>
      <c r="GKA1" s="8"/>
      <c r="GKB1" s="9"/>
      <c r="GKC1" s="8"/>
      <c r="GKD1" s="9"/>
      <c r="GKE1" s="8"/>
      <c r="GKF1" s="9"/>
      <c r="GKG1" s="8"/>
      <c r="GKH1" s="9"/>
      <c r="GKI1" s="8"/>
      <c r="GKJ1" s="9"/>
      <c r="GKK1" s="8"/>
      <c r="GKL1" s="9"/>
      <c r="GKM1" s="8"/>
      <c r="GKN1" s="9"/>
      <c r="GKO1" s="8"/>
      <c r="GKP1" s="9"/>
      <c r="GKQ1" s="8"/>
      <c r="GKR1" s="9"/>
      <c r="GKS1" s="8"/>
      <c r="GKT1" s="9"/>
      <c r="GKU1" s="8"/>
      <c r="GKV1" s="9"/>
      <c r="GKW1" s="8"/>
      <c r="GKX1" s="9"/>
      <c r="GKY1" s="8"/>
      <c r="GKZ1" s="9"/>
      <c r="GLA1" s="8"/>
      <c r="GLB1" s="9"/>
      <c r="GLC1" s="8"/>
      <c r="GLD1" s="9"/>
      <c r="GLE1" s="8"/>
      <c r="GLF1" s="9"/>
      <c r="GLG1" s="8"/>
      <c r="GLH1" s="9"/>
      <c r="GLI1" s="8"/>
      <c r="GLJ1" s="9"/>
      <c r="GLK1" s="8"/>
      <c r="GLL1" s="9"/>
      <c r="GLM1" s="8"/>
      <c r="GLN1" s="9"/>
      <c r="GLO1" s="8"/>
      <c r="GLP1" s="9"/>
      <c r="GLQ1" s="8"/>
      <c r="GLR1" s="9"/>
      <c r="GLS1" s="8"/>
      <c r="GLT1" s="9"/>
      <c r="GLU1" s="8"/>
      <c r="GLV1" s="9"/>
      <c r="GLW1" s="8"/>
      <c r="GLX1" s="9"/>
      <c r="GLY1" s="8"/>
      <c r="GLZ1" s="9"/>
      <c r="GMA1" s="8"/>
      <c r="GMB1" s="9"/>
      <c r="GMC1" s="8"/>
      <c r="GMD1" s="9"/>
      <c r="GME1" s="8"/>
      <c r="GMF1" s="9"/>
      <c r="GMG1" s="8"/>
      <c r="GMH1" s="9"/>
      <c r="GMI1" s="8"/>
      <c r="GMJ1" s="9"/>
      <c r="GMK1" s="8"/>
      <c r="GML1" s="9"/>
      <c r="GMM1" s="8"/>
      <c r="GMN1" s="9"/>
      <c r="GMO1" s="8"/>
      <c r="GMP1" s="9"/>
      <c r="GMQ1" s="8"/>
      <c r="GMR1" s="9"/>
      <c r="GMS1" s="8"/>
      <c r="GMT1" s="9"/>
      <c r="GMU1" s="8"/>
      <c r="GMV1" s="9"/>
      <c r="GMW1" s="8"/>
      <c r="GMX1" s="9"/>
      <c r="GMY1" s="8"/>
      <c r="GMZ1" s="9"/>
      <c r="GNA1" s="8"/>
      <c r="GNB1" s="9"/>
      <c r="GNC1" s="8"/>
      <c r="GND1" s="9"/>
      <c r="GNE1" s="8"/>
      <c r="GNF1" s="9"/>
      <c r="GNG1" s="8"/>
      <c r="GNH1" s="9"/>
      <c r="GNI1" s="8"/>
      <c r="GNJ1" s="9"/>
      <c r="GNK1" s="8"/>
      <c r="GNL1" s="9"/>
      <c r="GNM1" s="8"/>
      <c r="GNN1" s="9"/>
      <c r="GNO1" s="8"/>
      <c r="GNP1" s="9"/>
      <c r="GNQ1" s="8"/>
      <c r="GNR1" s="9"/>
      <c r="GNS1" s="8"/>
      <c r="GNT1" s="9"/>
      <c r="GNU1" s="8"/>
      <c r="GNV1" s="9"/>
      <c r="GNW1" s="8"/>
      <c r="GNX1" s="9"/>
      <c r="GNY1" s="8"/>
      <c r="GNZ1" s="9"/>
      <c r="GOA1" s="8"/>
      <c r="GOB1" s="9"/>
      <c r="GOC1" s="8"/>
      <c r="GOD1" s="9"/>
      <c r="GOE1" s="8"/>
      <c r="GOF1" s="9"/>
      <c r="GOG1" s="8"/>
      <c r="GOH1" s="9"/>
      <c r="GOI1" s="8"/>
      <c r="GOJ1" s="9"/>
      <c r="GOK1" s="8"/>
      <c r="GOL1" s="9"/>
      <c r="GOM1" s="8"/>
      <c r="GON1" s="9"/>
      <c r="GOO1" s="8"/>
      <c r="GOP1" s="9"/>
      <c r="GOQ1" s="8"/>
      <c r="GOR1" s="9"/>
      <c r="GOS1" s="8"/>
      <c r="GOT1" s="9"/>
      <c r="GOU1" s="8"/>
      <c r="GOV1" s="9"/>
      <c r="GOW1" s="8"/>
      <c r="GOX1" s="9"/>
      <c r="GOY1" s="8"/>
      <c r="GOZ1" s="9"/>
      <c r="GPA1" s="8"/>
      <c r="GPB1" s="9"/>
      <c r="GPC1" s="8"/>
      <c r="GPD1" s="9"/>
      <c r="GPE1" s="8"/>
      <c r="GPF1" s="9"/>
      <c r="GPG1" s="8"/>
      <c r="GPH1" s="9"/>
      <c r="GPI1" s="8"/>
      <c r="GPJ1" s="9"/>
      <c r="GPK1" s="8"/>
      <c r="GPL1" s="9"/>
      <c r="GPM1" s="8"/>
      <c r="GPN1" s="9"/>
      <c r="GPO1" s="8"/>
      <c r="GPP1" s="9"/>
      <c r="GPQ1" s="8"/>
      <c r="GPR1" s="9"/>
      <c r="GPS1" s="8"/>
      <c r="GPT1" s="9"/>
      <c r="GPU1" s="8"/>
      <c r="GPV1" s="9"/>
      <c r="GPW1" s="8"/>
      <c r="GPX1" s="9"/>
      <c r="GPY1" s="8"/>
      <c r="GPZ1" s="9"/>
      <c r="GQA1" s="8"/>
      <c r="GQB1" s="9"/>
      <c r="GQC1" s="8"/>
      <c r="GQD1" s="9"/>
      <c r="GQE1" s="8"/>
      <c r="GQF1" s="9"/>
      <c r="GQG1" s="8"/>
      <c r="GQH1" s="9"/>
      <c r="GQI1" s="8"/>
      <c r="GQJ1" s="9"/>
      <c r="GQK1" s="8"/>
      <c r="GQL1" s="9"/>
      <c r="GQM1" s="8"/>
      <c r="GQN1" s="9"/>
      <c r="GQO1" s="8"/>
      <c r="GQP1" s="9"/>
      <c r="GQQ1" s="8"/>
      <c r="GQR1" s="9"/>
      <c r="GQS1" s="8"/>
      <c r="GQT1" s="9"/>
      <c r="GQU1" s="8"/>
      <c r="GQV1" s="9"/>
      <c r="GQW1" s="8"/>
      <c r="GQX1" s="9"/>
      <c r="GQY1" s="8"/>
      <c r="GQZ1" s="9"/>
      <c r="GRA1" s="8"/>
      <c r="GRB1" s="9"/>
      <c r="GRC1" s="8"/>
      <c r="GRD1" s="9"/>
      <c r="GRE1" s="8"/>
      <c r="GRF1" s="9"/>
      <c r="GRG1" s="8"/>
      <c r="GRH1" s="9"/>
      <c r="GRI1" s="8"/>
      <c r="GRJ1" s="9"/>
      <c r="GRK1" s="8"/>
      <c r="GRL1" s="9"/>
      <c r="GRM1" s="8"/>
      <c r="GRN1" s="9"/>
      <c r="GRO1" s="8"/>
      <c r="GRP1" s="9"/>
      <c r="GRQ1" s="8"/>
      <c r="GRR1" s="9"/>
      <c r="GRS1" s="8"/>
      <c r="GRT1" s="9"/>
      <c r="GRU1" s="8"/>
      <c r="GRV1" s="9"/>
      <c r="GRW1" s="8"/>
      <c r="GRX1" s="9"/>
      <c r="GRY1" s="8"/>
      <c r="GRZ1" s="9"/>
      <c r="GSA1" s="8"/>
      <c r="GSB1" s="9"/>
      <c r="GSC1" s="8"/>
      <c r="GSD1" s="9"/>
      <c r="GSE1" s="8"/>
      <c r="GSF1" s="9"/>
      <c r="GSG1" s="8"/>
      <c r="GSH1" s="9"/>
      <c r="GSI1" s="8"/>
      <c r="GSJ1" s="9"/>
      <c r="GSK1" s="8"/>
      <c r="GSL1" s="9"/>
      <c r="GSM1" s="8"/>
      <c r="GSN1" s="9"/>
      <c r="GSO1" s="8"/>
      <c r="GSP1" s="9"/>
      <c r="GSQ1" s="8"/>
      <c r="GSR1" s="9"/>
      <c r="GSS1" s="8"/>
      <c r="GST1" s="9"/>
      <c r="GSU1" s="8"/>
      <c r="GSV1" s="9"/>
      <c r="GSW1" s="8"/>
      <c r="GSX1" s="9"/>
      <c r="GSY1" s="8"/>
      <c r="GSZ1" s="9"/>
      <c r="GTA1" s="8"/>
      <c r="GTB1" s="9"/>
      <c r="GTC1" s="8"/>
      <c r="GTD1" s="9"/>
      <c r="GTE1" s="8"/>
      <c r="GTF1" s="9"/>
      <c r="GTG1" s="8"/>
      <c r="GTH1" s="9"/>
      <c r="GTI1" s="8"/>
      <c r="GTJ1" s="9"/>
      <c r="GTK1" s="8"/>
      <c r="GTL1" s="9"/>
      <c r="GTM1" s="8"/>
      <c r="GTN1" s="9"/>
      <c r="GTO1" s="8"/>
      <c r="GTP1" s="9"/>
      <c r="GTQ1" s="8"/>
      <c r="GTR1" s="9"/>
      <c r="GTS1" s="8"/>
      <c r="GTT1" s="9"/>
      <c r="GTU1" s="8"/>
      <c r="GTV1" s="9"/>
      <c r="GTW1" s="8"/>
      <c r="GTX1" s="9"/>
      <c r="GTY1" s="8"/>
      <c r="GTZ1" s="9"/>
      <c r="GUA1" s="8"/>
      <c r="GUB1" s="9"/>
      <c r="GUC1" s="8"/>
      <c r="GUD1" s="9"/>
      <c r="GUE1" s="8"/>
      <c r="GUF1" s="9"/>
      <c r="GUG1" s="8"/>
      <c r="GUH1" s="9"/>
      <c r="GUI1" s="8"/>
      <c r="GUJ1" s="9"/>
      <c r="GUK1" s="8"/>
      <c r="GUL1" s="9"/>
      <c r="GUM1" s="8"/>
      <c r="GUN1" s="9"/>
      <c r="GUO1" s="8"/>
      <c r="GUP1" s="9"/>
      <c r="GUQ1" s="8"/>
      <c r="GUR1" s="9"/>
      <c r="GUS1" s="8"/>
      <c r="GUT1" s="9"/>
      <c r="GUU1" s="8"/>
      <c r="GUV1" s="9"/>
      <c r="GUW1" s="8"/>
      <c r="GUX1" s="9"/>
      <c r="GUY1" s="8"/>
      <c r="GUZ1" s="9"/>
      <c r="GVA1" s="8"/>
      <c r="GVB1" s="9"/>
      <c r="GVC1" s="8"/>
      <c r="GVD1" s="9"/>
      <c r="GVE1" s="8"/>
      <c r="GVF1" s="9"/>
      <c r="GVG1" s="8"/>
      <c r="GVH1" s="9"/>
      <c r="GVI1" s="8"/>
      <c r="GVJ1" s="9"/>
      <c r="GVK1" s="8"/>
      <c r="GVL1" s="9"/>
      <c r="GVM1" s="8"/>
      <c r="GVN1" s="9"/>
      <c r="GVO1" s="8"/>
      <c r="GVP1" s="9"/>
      <c r="GVQ1" s="8"/>
      <c r="GVR1" s="9"/>
      <c r="GVS1" s="8"/>
      <c r="GVT1" s="9"/>
      <c r="GVU1" s="8"/>
      <c r="GVV1" s="9"/>
      <c r="GVW1" s="8"/>
      <c r="GVX1" s="9"/>
      <c r="GVY1" s="8"/>
      <c r="GVZ1" s="9"/>
      <c r="GWA1" s="8"/>
      <c r="GWB1" s="9"/>
      <c r="GWC1" s="8"/>
      <c r="GWD1" s="9"/>
      <c r="GWE1" s="8"/>
      <c r="GWF1" s="9"/>
      <c r="GWG1" s="8"/>
      <c r="GWH1" s="9"/>
      <c r="GWI1" s="8"/>
      <c r="GWJ1" s="9"/>
      <c r="GWK1" s="8"/>
      <c r="GWL1" s="9"/>
      <c r="GWM1" s="8"/>
      <c r="GWN1" s="9"/>
      <c r="GWO1" s="8"/>
      <c r="GWP1" s="9"/>
      <c r="GWQ1" s="8"/>
      <c r="GWR1" s="9"/>
      <c r="GWS1" s="8"/>
      <c r="GWT1" s="9"/>
      <c r="GWU1" s="8"/>
      <c r="GWV1" s="9"/>
      <c r="GWW1" s="8"/>
      <c r="GWX1" s="9"/>
      <c r="GWY1" s="8"/>
      <c r="GWZ1" s="9"/>
      <c r="GXA1" s="8"/>
      <c r="GXB1" s="9"/>
      <c r="GXC1" s="8"/>
      <c r="GXD1" s="9"/>
      <c r="GXE1" s="8"/>
      <c r="GXF1" s="9"/>
      <c r="GXG1" s="8"/>
      <c r="GXH1" s="9"/>
      <c r="GXI1" s="8"/>
      <c r="GXJ1" s="9"/>
      <c r="GXK1" s="8"/>
      <c r="GXL1" s="9"/>
      <c r="GXM1" s="8"/>
      <c r="GXN1" s="9"/>
      <c r="GXO1" s="8"/>
      <c r="GXP1" s="9"/>
      <c r="GXQ1" s="8"/>
      <c r="GXR1" s="9"/>
      <c r="GXS1" s="8"/>
      <c r="GXT1" s="9"/>
      <c r="GXU1" s="8"/>
      <c r="GXV1" s="9"/>
      <c r="GXW1" s="8"/>
      <c r="GXX1" s="9"/>
      <c r="GXY1" s="8"/>
      <c r="GXZ1" s="9"/>
      <c r="GYA1" s="8"/>
      <c r="GYB1" s="9"/>
      <c r="GYC1" s="8"/>
      <c r="GYD1" s="9"/>
      <c r="GYE1" s="8"/>
      <c r="GYF1" s="9"/>
      <c r="GYG1" s="8"/>
      <c r="GYH1" s="9"/>
      <c r="GYI1" s="8"/>
      <c r="GYJ1" s="9"/>
      <c r="GYK1" s="8"/>
      <c r="GYL1" s="9"/>
      <c r="GYM1" s="8"/>
      <c r="GYN1" s="9"/>
      <c r="GYO1" s="8"/>
      <c r="GYP1" s="9"/>
      <c r="GYQ1" s="8"/>
      <c r="GYR1" s="9"/>
      <c r="GYS1" s="8"/>
      <c r="GYT1" s="9"/>
      <c r="GYU1" s="8"/>
      <c r="GYV1" s="9"/>
      <c r="GYW1" s="8"/>
      <c r="GYX1" s="9"/>
      <c r="GYY1" s="8"/>
      <c r="GYZ1" s="9"/>
      <c r="GZA1" s="8"/>
      <c r="GZB1" s="9"/>
      <c r="GZC1" s="8"/>
      <c r="GZD1" s="9"/>
      <c r="GZE1" s="8"/>
      <c r="GZF1" s="9"/>
      <c r="GZG1" s="8"/>
      <c r="GZH1" s="9"/>
      <c r="GZI1" s="8"/>
      <c r="GZJ1" s="9"/>
      <c r="GZK1" s="8"/>
      <c r="GZL1" s="9"/>
      <c r="GZM1" s="8"/>
      <c r="GZN1" s="9"/>
      <c r="GZO1" s="8"/>
      <c r="GZP1" s="9"/>
      <c r="GZQ1" s="8"/>
      <c r="GZR1" s="9"/>
      <c r="GZS1" s="8"/>
      <c r="GZT1" s="9"/>
      <c r="GZU1" s="8"/>
      <c r="GZV1" s="9"/>
      <c r="GZW1" s="8"/>
      <c r="GZX1" s="9"/>
      <c r="GZY1" s="8"/>
      <c r="GZZ1" s="9"/>
      <c r="HAA1" s="8"/>
      <c r="HAB1" s="9"/>
      <c r="HAC1" s="8"/>
      <c r="HAD1" s="9"/>
      <c r="HAE1" s="8"/>
      <c r="HAF1" s="9"/>
      <c r="HAG1" s="8"/>
      <c r="HAH1" s="9"/>
      <c r="HAI1" s="8"/>
      <c r="HAJ1" s="9"/>
      <c r="HAK1" s="8"/>
      <c r="HAL1" s="9"/>
      <c r="HAM1" s="8"/>
      <c r="HAN1" s="9"/>
      <c r="HAO1" s="8"/>
      <c r="HAP1" s="9"/>
      <c r="HAQ1" s="8"/>
      <c r="HAR1" s="9"/>
      <c r="HAS1" s="8"/>
      <c r="HAT1" s="9"/>
      <c r="HAU1" s="8"/>
      <c r="HAV1" s="9"/>
      <c r="HAW1" s="8"/>
      <c r="HAX1" s="9"/>
      <c r="HAY1" s="8"/>
      <c r="HAZ1" s="9"/>
      <c r="HBA1" s="8"/>
      <c r="HBB1" s="9"/>
      <c r="HBC1" s="8"/>
      <c r="HBD1" s="9"/>
      <c r="HBE1" s="8"/>
      <c r="HBF1" s="9"/>
      <c r="HBG1" s="8"/>
      <c r="HBH1" s="9"/>
      <c r="HBI1" s="8"/>
      <c r="HBJ1" s="9"/>
      <c r="HBK1" s="8"/>
      <c r="HBL1" s="9"/>
      <c r="HBM1" s="8"/>
      <c r="HBN1" s="9"/>
      <c r="HBO1" s="8"/>
      <c r="HBP1" s="9"/>
      <c r="HBQ1" s="8"/>
      <c r="HBR1" s="9"/>
      <c r="HBS1" s="8"/>
      <c r="HBT1" s="9"/>
      <c r="HBU1" s="8"/>
      <c r="HBV1" s="9"/>
      <c r="HBW1" s="8"/>
      <c r="HBX1" s="9"/>
      <c r="HBY1" s="8"/>
      <c r="HBZ1" s="9"/>
      <c r="HCA1" s="8"/>
      <c r="HCB1" s="9"/>
      <c r="HCC1" s="8"/>
      <c r="HCD1" s="9"/>
      <c r="HCE1" s="8"/>
      <c r="HCF1" s="9"/>
      <c r="HCG1" s="8"/>
      <c r="HCH1" s="9"/>
      <c r="HCI1" s="8"/>
      <c r="HCJ1" s="9"/>
      <c r="HCK1" s="8"/>
      <c r="HCL1" s="9"/>
      <c r="HCM1" s="8"/>
      <c r="HCN1" s="9"/>
      <c r="HCO1" s="8"/>
      <c r="HCP1" s="9"/>
      <c r="HCQ1" s="8"/>
      <c r="HCR1" s="9"/>
      <c r="HCS1" s="8"/>
      <c r="HCT1" s="9"/>
      <c r="HCU1" s="8"/>
      <c r="HCV1" s="9"/>
      <c r="HCW1" s="8"/>
      <c r="HCX1" s="9"/>
      <c r="HCY1" s="8"/>
      <c r="HCZ1" s="9"/>
      <c r="HDA1" s="8"/>
      <c r="HDB1" s="9"/>
      <c r="HDC1" s="8"/>
      <c r="HDD1" s="9"/>
      <c r="HDE1" s="8"/>
      <c r="HDF1" s="9"/>
      <c r="HDG1" s="8"/>
      <c r="HDH1" s="9"/>
      <c r="HDI1" s="8"/>
      <c r="HDJ1" s="9"/>
      <c r="HDK1" s="8"/>
      <c r="HDL1" s="9"/>
      <c r="HDM1" s="8"/>
      <c r="HDN1" s="9"/>
      <c r="HDO1" s="8"/>
      <c r="HDP1" s="9"/>
      <c r="HDQ1" s="8"/>
      <c r="HDR1" s="9"/>
      <c r="HDS1" s="8"/>
      <c r="HDT1" s="9"/>
      <c r="HDU1" s="8"/>
      <c r="HDV1" s="9"/>
      <c r="HDW1" s="8"/>
      <c r="HDX1" s="9"/>
      <c r="HDY1" s="8"/>
      <c r="HDZ1" s="9"/>
      <c r="HEA1" s="8"/>
      <c r="HEB1" s="9"/>
      <c r="HEC1" s="8"/>
      <c r="HED1" s="9"/>
      <c r="HEE1" s="8"/>
      <c r="HEF1" s="9"/>
      <c r="HEG1" s="8"/>
      <c r="HEH1" s="9"/>
      <c r="HEI1" s="8"/>
      <c r="HEJ1" s="9"/>
      <c r="HEK1" s="8"/>
      <c r="HEL1" s="9"/>
      <c r="HEM1" s="8"/>
      <c r="HEN1" s="9"/>
      <c r="HEO1" s="8"/>
      <c r="HEP1" s="9"/>
      <c r="HEQ1" s="8"/>
      <c r="HER1" s="9"/>
      <c r="HES1" s="8"/>
      <c r="HET1" s="9"/>
      <c r="HEU1" s="8"/>
      <c r="HEV1" s="9"/>
      <c r="HEW1" s="8"/>
      <c r="HEX1" s="9"/>
      <c r="HEY1" s="8"/>
      <c r="HEZ1" s="9"/>
      <c r="HFA1" s="8"/>
      <c r="HFB1" s="9"/>
      <c r="HFC1" s="8"/>
      <c r="HFD1" s="9"/>
      <c r="HFE1" s="8"/>
      <c r="HFF1" s="9"/>
      <c r="HFG1" s="8"/>
      <c r="HFH1" s="9"/>
      <c r="HFI1" s="8"/>
      <c r="HFJ1" s="9"/>
      <c r="HFK1" s="8"/>
      <c r="HFL1" s="9"/>
      <c r="HFM1" s="8"/>
      <c r="HFN1" s="9"/>
      <c r="HFO1" s="8"/>
      <c r="HFP1" s="9"/>
      <c r="HFQ1" s="8"/>
      <c r="HFR1" s="9"/>
      <c r="HFS1" s="8"/>
      <c r="HFT1" s="9"/>
      <c r="HFU1" s="8"/>
      <c r="HFV1" s="9"/>
      <c r="HFW1" s="8"/>
      <c r="HFX1" s="9"/>
      <c r="HFY1" s="8"/>
      <c r="HFZ1" s="9"/>
      <c r="HGA1" s="8"/>
      <c r="HGB1" s="9"/>
      <c r="HGC1" s="8"/>
      <c r="HGD1" s="9"/>
      <c r="HGE1" s="8"/>
      <c r="HGF1" s="9"/>
      <c r="HGG1" s="8"/>
      <c r="HGH1" s="9"/>
      <c r="HGI1" s="8"/>
      <c r="HGJ1" s="9"/>
      <c r="HGK1" s="8"/>
      <c r="HGL1" s="9"/>
      <c r="HGM1" s="8"/>
      <c r="HGN1" s="9"/>
      <c r="HGO1" s="8"/>
      <c r="HGP1" s="9"/>
      <c r="HGQ1" s="8"/>
      <c r="HGR1" s="9"/>
      <c r="HGS1" s="8"/>
      <c r="HGT1" s="9"/>
      <c r="HGU1" s="8"/>
      <c r="HGV1" s="9"/>
      <c r="HGW1" s="8"/>
      <c r="HGX1" s="9"/>
      <c r="HGY1" s="8"/>
      <c r="HGZ1" s="9"/>
      <c r="HHA1" s="8"/>
      <c r="HHB1" s="9"/>
      <c r="HHC1" s="8"/>
      <c r="HHD1" s="9"/>
      <c r="HHE1" s="8"/>
      <c r="HHF1" s="9"/>
      <c r="HHG1" s="8"/>
      <c r="HHH1" s="9"/>
      <c r="HHI1" s="8"/>
      <c r="HHJ1" s="9"/>
      <c r="HHK1" s="8"/>
      <c r="HHL1" s="9"/>
      <c r="HHM1" s="8"/>
      <c r="HHN1" s="9"/>
      <c r="HHO1" s="8"/>
      <c r="HHP1" s="9"/>
      <c r="HHQ1" s="8"/>
      <c r="HHR1" s="9"/>
      <c r="HHS1" s="8"/>
      <c r="HHT1" s="9"/>
      <c r="HHU1" s="8"/>
      <c r="HHV1" s="9"/>
      <c r="HHW1" s="8"/>
      <c r="HHX1" s="9"/>
      <c r="HHY1" s="8"/>
      <c r="HHZ1" s="9"/>
      <c r="HIA1" s="8"/>
      <c r="HIB1" s="9"/>
      <c r="HIC1" s="8"/>
      <c r="HID1" s="9"/>
      <c r="HIE1" s="8"/>
      <c r="HIF1" s="9"/>
      <c r="HIG1" s="8"/>
      <c r="HIH1" s="9"/>
      <c r="HII1" s="8"/>
      <c r="HIJ1" s="9"/>
      <c r="HIK1" s="8"/>
      <c r="HIL1" s="9"/>
      <c r="HIM1" s="8"/>
      <c r="HIN1" s="9"/>
      <c r="HIO1" s="8"/>
      <c r="HIP1" s="9"/>
      <c r="HIQ1" s="8"/>
      <c r="HIR1" s="9"/>
      <c r="HIS1" s="8"/>
      <c r="HIT1" s="9"/>
      <c r="HIU1" s="8"/>
      <c r="HIV1" s="9"/>
      <c r="HIW1" s="8"/>
      <c r="HIX1" s="9"/>
      <c r="HIY1" s="8"/>
      <c r="HIZ1" s="9"/>
      <c r="HJA1" s="8"/>
      <c r="HJB1" s="9"/>
      <c r="HJC1" s="8"/>
      <c r="HJD1" s="9"/>
      <c r="HJE1" s="8"/>
      <c r="HJF1" s="9"/>
      <c r="HJG1" s="8"/>
      <c r="HJH1" s="9"/>
      <c r="HJI1" s="8"/>
      <c r="HJJ1" s="9"/>
      <c r="HJK1" s="8"/>
      <c r="HJL1" s="9"/>
      <c r="HJM1" s="8"/>
      <c r="HJN1" s="9"/>
      <c r="HJO1" s="8"/>
      <c r="HJP1" s="9"/>
      <c r="HJQ1" s="8"/>
      <c r="HJR1" s="9"/>
      <c r="HJS1" s="8"/>
      <c r="HJT1" s="9"/>
      <c r="HJU1" s="8"/>
      <c r="HJV1" s="9"/>
      <c r="HJW1" s="8"/>
      <c r="HJX1" s="9"/>
      <c r="HJY1" s="8"/>
      <c r="HJZ1" s="9"/>
      <c r="HKA1" s="8"/>
      <c r="HKB1" s="9"/>
      <c r="HKC1" s="8"/>
      <c r="HKD1" s="9"/>
      <c r="HKE1" s="8"/>
      <c r="HKF1" s="9"/>
      <c r="HKG1" s="8"/>
      <c r="HKH1" s="9"/>
      <c r="HKI1" s="8"/>
      <c r="HKJ1" s="9"/>
      <c r="HKK1" s="8"/>
      <c r="HKL1" s="9"/>
      <c r="HKM1" s="8"/>
      <c r="HKN1" s="9"/>
      <c r="HKO1" s="8"/>
      <c r="HKP1" s="9"/>
      <c r="HKQ1" s="8"/>
      <c r="HKR1" s="9"/>
      <c r="HKS1" s="8"/>
      <c r="HKT1" s="9"/>
      <c r="HKU1" s="8"/>
      <c r="HKV1" s="9"/>
      <c r="HKW1" s="8"/>
      <c r="HKX1" s="9"/>
      <c r="HKY1" s="8"/>
      <c r="HKZ1" s="9"/>
      <c r="HLA1" s="8"/>
      <c r="HLB1" s="9"/>
      <c r="HLC1" s="8"/>
      <c r="HLD1" s="9"/>
      <c r="HLE1" s="8"/>
      <c r="HLF1" s="9"/>
      <c r="HLG1" s="8"/>
      <c r="HLH1" s="9"/>
      <c r="HLI1" s="8"/>
      <c r="HLJ1" s="9"/>
      <c r="HLK1" s="8"/>
      <c r="HLL1" s="9"/>
      <c r="HLM1" s="8"/>
      <c r="HLN1" s="9"/>
      <c r="HLO1" s="8"/>
      <c r="HLP1" s="9"/>
      <c r="HLQ1" s="8"/>
      <c r="HLR1" s="9"/>
      <c r="HLS1" s="8"/>
      <c r="HLT1" s="9"/>
      <c r="HLU1" s="8"/>
      <c r="HLV1" s="9"/>
      <c r="HLW1" s="8"/>
      <c r="HLX1" s="9"/>
      <c r="HLY1" s="8"/>
      <c r="HLZ1" s="9"/>
      <c r="HMA1" s="8"/>
      <c r="HMB1" s="9"/>
      <c r="HMC1" s="8"/>
      <c r="HMD1" s="9"/>
      <c r="HME1" s="8"/>
      <c r="HMF1" s="9"/>
      <c r="HMG1" s="8"/>
      <c r="HMH1" s="9"/>
      <c r="HMI1" s="8"/>
      <c r="HMJ1" s="9"/>
      <c r="HMK1" s="8"/>
      <c r="HML1" s="9"/>
      <c r="HMM1" s="8"/>
      <c r="HMN1" s="9"/>
      <c r="HMO1" s="8"/>
      <c r="HMP1" s="9"/>
      <c r="HMQ1" s="8"/>
      <c r="HMR1" s="9"/>
      <c r="HMS1" s="8"/>
      <c r="HMT1" s="9"/>
      <c r="HMU1" s="8"/>
      <c r="HMV1" s="9"/>
      <c r="HMW1" s="8"/>
      <c r="HMX1" s="9"/>
      <c r="HMY1" s="8"/>
      <c r="HMZ1" s="9"/>
      <c r="HNA1" s="8"/>
      <c r="HNB1" s="9"/>
      <c r="HNC1" s="8"/>
      <c r="HND1" s="9"/>
      <c r="HNE1" s="8"/>
      <c r="HNF1" s="9"/>
      <c r="HNG1" s="8"/>
      <c r="HNH1" s="9"/>
      <c r="HNI1" s="8"/>
      <c r="HNJ1" s="9"/>
      <c r="HNK1" s="8"/>
      <c r="HNL1" s="9"/>
      <c r="HNM1" s="8"/>
      <c r="HNN1" s="9"/>
      <c r="HNO1" s="8"/>
      <c r="HNP1" s="9"/>
      <c r="HNQ1" s="8"/>
      <c r="HNR1" s="9"/>
      <c r="HNS1" s="8"/>
      <c r="HNT1" s="9"/>
      <c r="HNU1" s="8"/>
      <c r="HNV1" s="9"/>
      <c r="HNW1" s="8"/>
      <c r="HNX1" s="9"/>
      <c r="HNY1" s="8"/>
      <c r="HNZ1" s="9"/>
      <c r="HOA1" s="8"/>
      <c r="HOB1" s="9"/>
      <c r="HOC1" s="8"/>
      <c r="HOD1" s="9"/>
      <c r="HOE1" s="8"/>
      <c r="HOF1" s="9"/>
      <c r="HOG1" s="8"/>
      <c r="HOH1" s="9"/>
      <c r="HOI1" s="8"/>
      <c r="HOJ1" s="9"/>
      <c r="HOK1" s="8"/>
      <c r="HOL1" s="9"/>
      <c r="HOM1" s="8"/>
      <c r="HON1" s="9"/>
      <c r="HOO1" s="8"/>
      <c r="HOP1" s="9"/>
      <c r="HOQ1" s="8"/>
      <c r="HOR1" s="9"/>
      <c r="HOS1" s="8"/>
      <c r="HOT1" s="9"/>
      <c r="HOU1" s="8"/>
      <c r="HOV1" s="9"/>
      <c r="HOW1" s="8"/>
      <c r="HOX1" s="9"/>
      <c r="HOY1" s="8"/>
      <c r="HOZ1" s="9"/>
      <c r="HPA1" s="8"/>
      <c r="HPB1" s="9"/>
      <c r="HPC1" s="8"/>
      <c r="HPD1" s="9"/>
      <c r="HPE1" s="8"/>
      <c r="HPF1" s="9"/>
      <c r="HPG1" s="8"/>
      <c r="HPH1" s="9"/>
      <c r="HPI1" s="8"/>
      <c r="HPJ1" s="9"/>
      <c r="HPK1" s="8"/>
      <c r="HPL1" s="9"/>
      <c r="HPM1" s="8"/>
      <c r="HPN1" s="9"/>
      <c r="HPO1" s="8"/>
      <c r="HPP1" s="9"/>
      <c r="HPQ1" s="8"/>
      <c r="HPR1" s="9"/>
      <c r="HPS1" s="8"/>
      <c r="HPT1" s="9"/>
      <c r="HPU1" s="8"/>
      <c r="HPV1" s="9"/>
      <c r="HPW1" s="8"/>
      <c r="HPX1" s="9"/>
      <c r="HPY1" s="8"/>
      <c r="HPZ1" s="9"/>
      <c r="HQA1" s="8"/>
      <c r="HQB1" s="9"/>
      <c r="HQC1" s="8"/>
      <c r="HQD1" s="9"/>
      <c r="HQE1" s="8"/>
      <c r="HQF1" s="9"/>
      <c r="HQG1" s="8"/>
      <c r="HQH1" s="9"/>
      <c r="HQI1" s="8"/>
      <c r="HQJ1" s="9"/>
      <c r="HQK1" s="8"/>
      <c r="HQL1" s="9"/>
      <c r="HQM1" s="8"/>
      <c r="HQN1" s="9"/>
      <c r="HQO1" s="8"/>
      <c r="HQP1" s="9"/>
      <c r="HQQ1" s="8"/>
      <c r="HQR1" s="9"/>
      <c r="HQS1" s="8"/>
      <c r="HQT1" s="9"/>
      <c r="HQU1" s="8"/>
      <c r="HQV1" s="9"/>
      <c r="HQW1" s="8"/>
      <c r="HQX1" s="9"/>
      <c r="HQY1" s="8"/>
      <c r="HQZ1" s="9"/>
      <c r="HRA1" s="8"/>
      <c r="HRB1" s="9"/>
      <c r="HRC1" s="8"/>
      <c r="HRD1" s="9"/>
      <c r="HRE1" s="8"/>
      <c r="HRF1" s="9"/>
      <c r="HRG1" s="8"/>
      <c r="HRH1" s="9"/>
      <c r="HRI1" s="8"/>
      <c r="HRJ1" s="9"/>
      <c r="HRK1" s="8"/>
      <c r="HRL1" s="9"/>
      <c r="HRM1" s="8"/>
      <c r="HRN1" s="9"/>
      <c r="HRO1" s="8"/>
      <c r="HRP1" s="9"/>
      <c r="HRQ1" s="8"/>
      <c r="HRR1" s="9"/>
      <c r="HRS1" s="8"/>
      <c r="HRT1" s="9"/>
      <c r="HRU1" s="8"/>
      <c r="HRV1" s="9"/>
      <c r="HRW1" s="8"/>
      <c r="HRX1" s="9"/>
      <c r="HRY1" s="8"/>
      <c r="HRZ1" s="9"/>
      <c r="HSA1" s="8"/>
      <c r="HSB1" s="9"/>
      <c r="HSC1" s="8"/>
      <c r="HSD1" s="9"/>
      <c r="HSE1" s="8"/>
      <c r="HSF1" s="9"/>
      <c r="HSG1" s="8"/>
      <c r="HSH1" s="9"/>
      <c r="HSI1" s="8"/>
      <c r="HSJ1" s="9"/>
      <c r="HSK1" s="8"/>
      <c r="HSL1" s="9"/>
      <c r="HSM1" s="8"/>
      <c r="HSN1" s="9"/>
      <c r="HSO1" s="8"/>
      <c r="HSP1" s="9"/>
      <c r="HSQ1" s="8"/>
      <c r="HSR1" s="9"/>
      <c r="HSS1" s="8"/>
      <c r="HST1" s="9"/>
      <c r="HSU1" s="8"/>
      <c r="HSV1" s="9"/>
      <c r="HSW1" s="8"/>
      <c r="HSX1" s="9"/>
      <c r="HSY1" s="8"/>
      <c r="HSZ1" s="9"/>
      <c r="HTA1" s="8"/>
      <c r="HTB1" s="9"/>
      <c r="HTC1" s="8"/>
      <c r="HTD1" s="9"/>
      <c r="HTE1" s="8"/>
      <c r="HTF1" s="9"/>
      <c r="HTG1" s="8"/>
      <c r="HTH1" s="9"/>
      <c r="HTI1" s="8"/>
      <c r="HTJ1" s="9"/>
      <c r="HTK1" s="8"/>
      <c r="HTL1" s="9"/>
      <c r="HTM1" s="8"/>
      <c r="HTN1" s="9"/>
      <c r="HTO1" s="8"/>
      <c r="HTP1" s="9"/>
      <c r="HTQ1" s="8"/>
      <c r="HTR1" s="9"/>
      <c r="HTS1" s="8"/>
      <c r="HTT1" s="9"/>
      <c r="HTU1" s="8"/>
      <c r="HTV1" s="9"/>
      <c r="HTW1" s="8"/>
      <c r="HTX1" s="9"/>
      <c r="HTY1" s="8"/>
      <c r="HTZ1" s="9"/>
      <c r="HUA1" s="8"/>
      <c r="HUB1" s="9"/>
      <c r="HUC1" s="8"/>
      <c r="HUD1" s="9"/>
      <c r="HUE1" s="8"/>
      <c r="HUF1" s="9"/>
      <c r="HUG1" s="8"/>
      <c r="HUH1" s="9"/>
      <c r="HUI1" s="8"/>
      <c r="HUJ1" s="9"/>
      <c r="HUK1" s="8"/>
      <c r="HUL1" s="9"/>
      <c r="HUM1" s="8"/>
      <c r="HUN1" s="9"/>
      <c r="HUO1" s="8"/>
      <c r="HUP1" s="9"/>
      <c r="HUQ1" s="8"/>
      <c r="HUR1" s="9"/>
      <c r="HUS1" s="8"/>
      <c r="HUT1" s="9"/>
      <c r="HUU1" s="8"/>
      <c r="HUV1" s="9"/>
      <c r="HUW1" s="8"/>
      <c r="HUX1" s="9"/>
      <c r="HUY1" s="8"/>
      <c r="HUZ1" s="9"/>
      <c r="HVA1" s="8"/>
      <c r="HVB1" s="9"/>
      <c r="HVC1" s="8"/>
      <c r="HVD1" s="9"/>
      <c r="HVE1" s="8"/>
      <c r="HVF1" s="9"/>
      <c r="HVG1" s="8"/>
      <c r="HVH1" s="9"/>
      <c r="HVI1" s="8"/>
      <c r="HVJ1" s="9"/>
      <c r="HVK1" s="8"/>
      <c r="HVL1" s="9"/>
      <c r="HVM1" s="8"/>
      <c r="HVN1" s="9"/>
      <c r="HVO1" s="8"/>
      <c r="HVP1" s="9"/>
      <c r="HVQ1" s="8"/>
      <c r="HVR1" s="9"/>
      <c r="HVS1" s="8"/>
      <c r="HVT1" s="9"/>
      <c r="HVU1" s="8"/>
      <c r="HVV1" s="9"/>
      <c r="HVW1" s="8"/>
      <c r="HVX1" s="9"/>
      <c r="HVY1" s="8"/>
      <c r="HVZ1" s="9"/>
      <c r="HWA1" s="8"/>
      <c r="HWB1" s="9"/>
      <c r="HWC1" s="8"/>
      <c r="HWD1" s="9"/>
      <c r="HWE1" s="8"/>
      <c r="HWF1" s="9"/>
      <c r="HWG1" s="8"/>
      <c r="HWH1" s="9"/>
      <c r="HWI1" s="8"/>
      <c r="HWJ1" s="9"/>
      <c r="HWK1" s="8"/>
      <c r="HWL1" s="9"/>
      <c r="HWM1" s="8"/>
      <c r="HWN1" s="9"/>
      <c r="HWO1" s="8"/>
      <c r="HWP1" s="9"/>
      <c r="HWQ1" s="8"/>
      <c r="HWR1" s="9"/>
      <c r="HWS1" s="8"/>
      <c r="HWT1" s="9"/>
      <c r="HWU1" s="8"/>
      <c r="HWV1" s="9"/>
      <c r="HWW1" s="8"/>
      <c r="HWX1" s="9"/>
      <c r="HWY1" s="8"/>
      <c r="HWZ1" s="9"/>
      <c r="HXA1" s="8"/>
      <c r="HXB1" s="9"/>
      <c r="HXC1" s="8"/>
      <c r="HXD1" s="9"/>
      <c r="HXE1" s="8"/>
      <c r="HXF1" s="9"/>
      <c r="HXG1" s="8"/>
      <c r="HXH1" s="9"/>
      <c r="HXI1" s="8"/>
      <c r="HXJ1" s="9"/>
      <c r="HXK1" s="8"/>
      <c r="HXL1" s="9"/>
      <c r="HXM1" s="8"/>
      <c r="HXN1" s="9"/>
      <c r="HXO1" s="8"/>
      <c r="HXP1" s="9"/>
      <c r="HXQ1" s="8"/>
      <c r="HXR1" s="9"/>
      <c r="HXS1" s="8"/>
      <c r="HXT1" s="9"/>
      <c r="HXU1" s="8"/>
      <c r="HXV1" s="9"/>
      <c r="HXW1" s="8"/>
      <c r="HXX1" s="9"/>
      <c r="HXY1" s="8"/>
      <c r="HXZ1" s="9"/>
      <c r="HYA1" s="8"/>
      <c r="HYB1" s="9"/>
      <c r="HYC1" s="8"/>
      <c r="HYD1" s="9"/>
      <c r="HYE1" s="8"/>
      <c r="HYF1" s="9"/>
      <c r="HYG1" s="8"/>
      <c r="HYH1" s="9"/>
      <c r="HYI1" s="8"/>
      <c r="HYJ1" s="9"/>
      <c r="HYK1" s="8"/>
      <c r="HYL1" s="9"/>
      <c r="HYM1" s="8"/>
      <c r="HYN1" s="9"/>
      <c r="HYO1" s="8"/>
      <c r="HYP1" s="9"/>
      <c r="HYQ1" s="8"/>
      <c r="HYR1" s="9"/>
      <c r="HYS1" s="8"/>
      <c r="HYT1" s="9"/>
      <c r="HYU1" s="8"/>
      <c r="HYV1" s="9"/>
      <c r="HYW1" s="8"/>
      <c r="HYX1" s="9"/>
      <c r="HYY1" s="8"/>
      <c r="HYZ1" s="9"/>
      <c r="HZA1" s="8"/>
      <c r="HZB1" s="9"/>
      <c r="HZC1" s="8"/>
      <c r="HZD1" s="9"/>
      <c r="HZE1" s="8"/>
      <c r="HZF1" s="9"/>
      <c r="HZG1" s="8"/>
      <c r="HZH1" s="9"/>
      <c r="HZI1" s="8"/>
      <c r="HZJ1" s="9"/>
      <c r="HZK1" s="8"/>
      <c r="HZL1" s="9"/>
      <c r="HZM1" s="8"/>
      <c r="HZN1" s="9"/>
      <c r="HZO1" s="8"/>
      <c r="HZP1" s="9"/>
      <c r="HZQ1" s="8"/>
      <c r="HZR1" s="9"/>
      <c r="HZS1" s="8"/>
      <c r="HZT1" s="9"/>
      <c r="HZU1" s="8"/>
      <c r="HZV1" s="9"/>
      <c r="HZW1" s="8"/>
      <c r="HZX1" s="9"/>
      <c r="HZY1" s="8"/>
      <c r="HZZ1" s="9"/>
      <c r="IAA1" s="8"/>
      <c r="IAB1" s="9"/>
      <c r="IAC1" s="8"/>
      <c r="IAD1" s="9"/>
      <c r="IAE1" s="8"/>
      <c r="IAF1" s="9"/>
      <c r="IAG1" s="8"/>
      <c r="IAH1" s="9"/>
      <c r="IAI1" s="8"/>
      <c r="IAJ1" s="9"/>
      <c r="IAK1" s="8"/>
      <c r="IAL1" s="9"/>
      <c r="IAM1" s="8"/>
      <c r="IAN1" s="9"/>
      <c r="IAO1" s="8"/>
      <c r="IAP1" s="9"/>
      <c r="IAQ1" s="8"/>
      <c r="IAR1" s="9"/>
      <c r="IAS1" s="8"/>
      <c r="IAT1" s="9"/>
      <c r="IAU1" s="8"/>
      <c r="IAV1" s="9"/>
      <c r="IAW1" s="8"/>
      <c r="IAX1" s="9"/>
      <c r="IAY1" s="8"/>
      <c r="IAZ1" s="9"/>
      <c r="IBA1" s="8"/>
      <c r="IBB1" s="9"/>
      <c r="IBC1" s="8"/>
      <c r="IBD1" s="9"/>
      <c r="IBE1" s="8"/>
      <c r="IBF1" s="9"/>
      <c r="IBG1" s="8"/>
      <c r="IBH1" s="9"/>
      <c r="IBI1" s="8"/>
      <c r="IBJ1" s="9"/>
      <c r="IBK1" s="8"/>
      <c r="IBL1" s="9"/>
      <c r="IBM1" s="8"/>
      <c r="IBN1" s="9"/>
      <c r="IBO1" s="8"/>
      <c r="IBP1" s="9"/>
      <c r="IBQ1" s="8"/>
      <c r="IBR1" s="9"/>
      <c r="IBS1" s="8"/>
      <c r="IBT1" s="9"/>
      <c r="IBU1" s="8"/>
      <c r="IBV1" s="9"/>
      <c r="IBW1" s="8"/>
      <c r="IBX1" s="9"/>
      <c r="IBY1" s="8"/>
      <c r="IBZ1" s="9"/>
      <c r="ICA1" s="8"/>
      <c r="ICB1" s="9"/>
      <c r="ICC1" s="8"/>
      <c r="ICD1" s="9"/>
      <c r="ICE1" s="8"/>
      <c r="ICF1" s="9"/>
      <c r="ICG1" s="8"/>
      <c r="ICH1" s="9"/>
      <c r="ICI1" s="8"/>
      <c r="ICJ1" s="9"/>
      <c r="ICK1" s="8"/>
      <c r="ICL1" s="9"/>
      <c r="ICM1" s="8"/>
      <c r="ICN1" s="9"/>
      <c r="ICO1" s="8"/>
      <c r="ICP1" s="9"/>
      <c r="ICQ1" s="8"/>
      <c r="ICR1" s="9"/>
      <c r="ICS1" s="8"/>
      <c r="ICT1" s="9"/>
      <c r="ICU1" s="8"/>
      <c r="ICV1" s="9"/>
      <c r="ICW1" s="8"/>
      <c r="ICX1" s="9"/>
      <c r="ICY1" s="8"/>
      <c r="ICZ1" s="9"/>
      <c r="IDA1" s="8"/>
      <c r="IDB1" s="9"/>
      <c r="IDC1" s="8"/>
      <c r="IDD1" s="9"/>
      <c r="IDE1" s="8"/>
      <c r="IDF1" s="9"/>
      <c r="IDG1" s="8"/>
      <c r="IDH1" s="9"/>
      <c r="IDI1" s="8"/>
      <c r="IDJ1" s="9"/>
      <c r="IDK1" s="8"/>
      <c r="IDL1" s="9"/>
      <c r="IDM1" s="8"/>
      <c r="IDN1" s="9"/>
      <c r="IDO1" s="8"/>
      <c r="IDP1" s="9"/>
      <c r="IDQ1" s="8"/>
      <c r="IDR1" s="9"/>
      <c r="IDS1" s="8"/>
      <c r="IDT1" s="9"/>
      <c r="IDU1" s="8"/>
      <c r="IDV1" s="9"/>
      <c r="IDW1" s="8"/>
      <c r="IDX1" s="9"/>
      <c r="IDY1" s="8"/>
      <c r="IDZ1" s="9"/>
      <c r="IEA1" s="8"/>
      <c r="IEB1" s="9"/>
      <c r="IEC1" s="8"/>
      <c r="IED1" s="9"/>
      <c r="IEE1" s="8"/>
      <c r="IEF1" s="9"/>
      <c r="IEG1" s="8"/>
      <c r="IEH1" s="9"/>
      <c r="IEI1" s="8"/>
      <c r="IEJ1" s="9"/>
      <c r="IEK1" s="8"/>
      <c r="IEL1" s="9"/>
      <c r="IEM1" s="8"/>
      <c r="IEN1" s="9"/>
      <c r="IEO1" s="8"/>
      <c r="IEP1" s="9"/>
      <c r="IEQ1" s="8"/>
      <c r="IER1" s="9"/>
      <c r="IES1" s="8"/>
      <c r="IET1" s="9"/>
      <c r="IEU1" s="8"/>
      <c r="IEV1" s="9"/>
      <c r="IEW1" s="8"/>
      <c r="IEX1" s="9"/>
      <c r="IEY1" s="8"/>
      <c r="IEZ1" s="9"/>
      <c r="IFA1" s="8"/>
      <c r="IFB1" s="9"/>
      <c r="IFC1" s="8"/>
      <c r="IFD1" s="9"/>
      <c r="IFE1" s="8"/>
      <c r="IFF1" s="9"/>
      <c r="IFG1" s="8"/>
      <c r="IFH1" s="9"/>
      <c r="IFI1" s="8"/>
      <c r="IFJ1" s="9"/>
      <c r="IFK1" s="8"/>
      <c r="IFL1" s="9"/>
      <c r="IFM1" s="8"/>
      <c r="IFN1" s="9"/>
      <c r="IFO1" s="8"/>
      <c r="IFP1" s="9"/>
      <c r="IFQ1" s="8"/>
      <c r="IFR1" s="9"/>
      <c r="IFS1" s="8"/>
      <c r="IFT1" s="9"/>
      <c r="IFU1" s="8"/>
      <c r="IFV1" s="9"/>
      <c r="IFW1" s="8"/>
      <c r="IFX1" s="9"/>
      <c r="IFY1" s="8"/>
      <c r="IFZ1" s="9"/>
      <c r="IGA1" s="8"/>
      <c r="IGB1" s="9"/>
      <c r="IGC1" s="8"/>
      <c r="IGD1" s="9"/>
      <c r="IGE1" s="8"/>
      <c r="IGF1" s="9"/>
      <c r="IGG1" s="8"/>
      <c r="IGH1" s="9"/>
      <c r="IGI1" s="8"/>
      <c r="IGJ1" s="9"/>
      <c r="IGK1" s="8"/>
      <c r="IGL1" s="9"/>
      <c r="IGM1" s="8"/>
      <c r="IGN1" s="9"/>
      <c r="IGO1" s="8"/>
      <c r="IGP1" s="9"/>
      <c r="IGQ1" s="8"/>
      <c r="IGR1" s="9"/>
      <c r="IGS1" s="8"/>
      <c r="IGT1" s="9"/>
      <c r="IGU1" s="8"/>
      <c r="IGV1" s="9"/>
      <c r="IGW1" s="8"/>
      <c r="IGX1" s="9"/>
      <c r="IGY1" s="8"/>
      <c r="IGZ1" s="9"/>
      <c r="IHA1" s="8"/>
      <c r="IHB1" s="9"/>
      <c r="IHC1" s="8"/>
      <c r="IHD1" s="9"/>
      <c r="IHE1" s="8"/>
      <c r="IHF1" s="9"/>
      <c r="IHG1" s="8"/>
      <c r="IHH1" s="9"/>
      <c r="IHI1" s="8"/>
      <c r="IHJ1" s="9"/>
      <c r="IHK1" s="8"/>
      <c r="IHL1" s="9"/>
      <c r="IHM1" s="8"/>
      <c r="IHN1" s="9"/>
      <c r="IHO1" s="8"/>
      <c r="IHP1" s="9"/>
      <c r="IHQ1" s="8"/>
      <c r="IHR1" s="9"/>
      <c r="IHS1" s="8"/>
      <c r="IHT1" s="9"/>
      <c r="IHU1" s="8"/>
      <c r="IHV1" s="9"/>
      <c r="IHW1" s="8"/>
      <c r="IHX1" s="9"/>
      <c r="IHY1" s="8"/>
      <c r="IHZ1" s="9"/>
      <c r="IIA1" s="8"/>
      <c r="IIB1" s="9"/>
      <c r="IIC1" s="8"/>
      <c r="IID1" s="9"/>
      <c r="IIE1" s="8"/>
      <c r="IIF1" s="9"/>
      <c r="IIG1" s="8"/>
      <c r="IIH1" s="9"/>
      <c r="III1" s="8"/>
      <c r="IIJ1" s="9"/>
      <c r="IIK1" s="8"/>
      <c r="IIL1" s="9"/>
      <c r="IIM1" s="8"/>
      <c r="IIN1" s="9"/>
      <c r="IIO1" s="8"/>
      <c r="IIP1" s="9"/>
      <c r="IIQ1" s="8"/>
      <c r="IIR1" s="9"/>
      <c r="IIS1" s="8"/>
      <c r="IIT1" s="9"/>
      <c r="IIU1" s="8"/>
      <c r="IIV1" s="9"/>
      <c r="IIW1" s="8"/>
      <c r="IIX1" s="9"/>
      <c r="IIY1" s="8"/>
      <c r="IIZ1" s="9"/>
      <c r="IJA1" s="8"/>
      <c r="IJB1" s="9"/>
      <c r="IJC1" s="8"/>
      <c r="IJD1" s="9"/>
      <c r="IJE1" s="8"/>
      <c r="IJF1" s="9"/>
      <c r="IJG1" s="8"/>
      <c r="IJH1" s="9"/>
      <c r="IJI1" s="8"/>
      <c r="IJJ1" s="9"/>
      <c r="IJK1" s="8"/>
      <c r="IJL1" s="9"/>
      <c r="IJM1" s="8"/>
      <c r="IJN1" s="9"/>
      <c r="IJO1" s="8"/>
      <c r="IJP1" s="9"/>
      <c r="IJQ1" s="8"/>
      <c r="IJR1" s="9"/>
      <c r="IJS1" s="8"/>
      <c r="IJT1" s="9"/>
      <c r="IJU1" s="8"/>
      <c r="IJV1" s="9"/>
      <c r="IJW1" s="8"/>
      <c r="IJX1" s="9"/>
      <c r="IJY1" s="8"/>
      <c r="IJZ1" s="9"/>
      <c r="IKA1" s="8"/>
      <c r="IKB1" s="9"/>
      <c r="IKC1" s="8"/>
      <c r="IKD1" s="9"/>
      <c r="IKE1" s="8"/>
      <c r="IKF1" s="9"/>
      <c r="IKG1" s="8"/>
      <c r="IKH1" s="9"/>
      <c r="IKI1" s="8"/>
      <c r="IKJ1" s="9"/>
      <c r="IKK1" s="8"/>
      <c r="IKL1" s="9"/>
      <c r="IKM1" s="8"/>
      <c r="IKN1" s="9"/>
      <c r="IKO1" s="8"/>
      <c r="IKP1" s="9"/>
      <c r="IKQ1" s="8"/>
      <c r="IKR1" s="9"/>
      <c r="IKS1" s="8"/>
      <c r="IKT1" s="9"/>
      <c r="IKU1" s="8"/>
      <c r="IKV1" s="9"/>
      <c r="IKW1" s="8"/>
      <c r="IKX1" s="9"/>
      <c r="IKY1" s="8"/>
      <c r="IKZ1" s="9"/>
      <c r="ILA1" s="8"/>
      <c r="ILB1" s="9"/>
      <c r="ILC1" s="8"/>
      <c r="ILD1" s="9"/>
      <c r="ILE1" s="8"/>
      <c r="ILF1" s="9"/>
      <c r="ILG1" s="8"/>
      <c r="ILH1" s="9"/>
      <c r="ILI1" s="8"/>
      <c r="ILJ1" s="9"/>
      <c r="ILK1" s="8"/>
      <c r="ILL1" s="9"/>
      <c r="ILM1" s="8"/>
      <c r="ILN1" s="9"/>
      <c r="ILO1" s="8"/>
      <c r="ILP1" s="9"/>
      <c r="ILQ1" s="8"/>
      <c r="ILR1" s="9"/>
      <c r="ILS1" s="8"/>
      <c r="ILT1" s="9"/>
      <c r="ILU1" s="8"/>
      <c r="ILV1" s="9"/>
      <c r="ILW1" s="8"/>
      <c r="ILX1" s="9"/>
      <c r="ILY1" s="8"/>
      <c r="ILZ1" s="9"/>
      <c r="IMA1" s="8"/>
      <c r="IMB1" s="9"/>
      <c r="IMC1" s="8"/>
      <c r="IMD1" s="9"/>
      <c r="IME1" s="8"/>
      <c r="IMF1" s="9"/>
      <c r="IMG1" s="8"/>
      <c r="IMH1" s="9"/>
      <c r="IMI1" s="8"/>
      <c r="IMJ1" s="9"/>
      <c r="IMK1" s="8"/>
      <c r="IML1" s="9"/>
      <c r="IMM1" s="8"/>
      <c r="IMN1" s="9"/>
      <c r="IMO1" s="8"/>
      <c r="IMP1" s="9"/>
      <c r="IMQ1" s="8"/>
      <c r="IMR1" s="9"/>
      <c r="IMS1" s="8"/>
      <c r="IMT1" s="9"/>
      <c r="IMU1" s="8"/>
      <c r="IMV1" s="9"/>
      <c r="IMW1" s="8"/>
      <c r="IMX1" s="9"/>
      <c r="IMY1" s="8"/>
      <c r="IMZ1" s="9"/>
      <c r="INA1" s="8"/>
      <c r="INB1" s="9"/>
      <c r="INC1" s="8"/>
      <c r="IND1" s="9"/>
      <c r="INE1" s="8"/>
      <c r="INF1" s="9"/>
      <c r="ING1" s="8"/>
      <c r="INH1" s="9"/>
      <c r="INI1" s="8"/>
      <c r="INJ1" s="9"/>
      <c r="INK1" s="8"/>
      <c r="INL1" s="9"/>
      <c r="INM1" s="8"/>
      <c r="INN1" s="9"/>
      <c r="INO1" s="8"/>
      <c r="INP1" s="9"/>
      <c r="INQ1" s="8"/>
      <c r="INR1" s="9"/>
      <c r="INS1" s="8"/>
      <c r="INT1" s="9"/>
      <c r="INU1" s="8"/>
      <c r="INV1" s="9"/>
      <c r="INW1" s="8"/>
      <c r="INX1" s="9"/>
      <c r="INY1" s="8"/>
      <c r="INZ1" s="9"/>
      <c r="IOA1" s="8"/>
      <c r="IOB1" s="9"/>
      <c r="IOC1" s="8"/>
      <c r="IOD1" s="9"/>
      <c r="IOE1" s="8"/>
      <c r="IOF1" s="9"/>
      <c r="IOG1" s="8"/>
      <c r="IOH1" s="9"/>
      <c r="IOI1" s="8"/>
      <c r="IOJ1" s="9"/>
      <c r="IOK1" s="8"/>
      <c r="IOL1" s="9"/>
      <c r="IOM1" s="8"/>
      <c r="ION1" s="9"/>
      <c r="IOO1" s="8"/>
      <c r="IOP1" s="9"/>
      <c r="IOQ1" s="8"/>
      <c r="IOR1" s="9"/>
      <c r="IOS1" s="8"/>
      <c r="IOT1" s="9"/>
      <c r="IOU1" s="8"/>
      <c r="IOV1" s="9"/>
      <c r="IOW1" s="8"/>
      <c r="IOX1" s="9"/>
      <c r="IOY1" s="8"/>
      <c r="IOZ1" s="9"/>
      <c r="IPA1" s="8"/>
      <c r="IPB1" s="9"/>
      <c r="IPC1" s="8"/>
      <c r="IPD1" s="9"/>
      <c r="IPE1" s="8"/>
      <c r="IPF1" s="9"/>
      <c r="IPG1" s="8"/>
      <c r="IPH1" s="9"/>
      <c r="IPI1" s="8"/>
      <c r="IPJ1" s="9"/>
      <c r="IPK1" s="8"/>
      <c r="IPL1" s="9"/>
      <c r="IPM1" s="8"/>
      <c r="IPN1" s="9"/>
      <c r="IPO1" s="8"/>
      <c r="IPP1" s="9"/>
      <c r="IPQ1" s="8"/>
      <c r="IPR1" s="9"/>
      <c r="IPS1" s="8"/>
      <c r="IPT1" s="9"/>
      <c r="IPU1" s="8"/>
      <c r="IPV1" s="9"/>
      <c r="IPW1" s="8"/>
      <c r="IPX1" s="9"/>
      <c r="IPY1" s="8"/>
      <c r="IPZ1" s="9"/>
      <c r="IQA1" s="8"/>
      <c r="IQB1" s="9"/>
      <c r="IQC1" s="8"/>
      <c r="IQD1" s="9"/>
      <c r="IQE1" s="8"/>
      <c r="IQF1" s="9"/>
      <c r="IQG1" s="8"/>
      <c r="IQH1" s="9"/>
      <c r="IQI1" s="8"/>
      <c r="IQJ1" s="9"/>
      <c r="IQK1" s="8"/>
      <c r="IQL1" s="9"/>
      <c r="IQM1" s="8"/>
      <c r="IQN1" s="9"/>
      <c r="IQO1" s="8"/>
      <c r="IQP1" s="9"/>
      <c r="IQQ1" s="8"/>
      <c r="IQR1" s="9"/>
      <c r="IQS1" s="8"/>
      <c r="IQT1" s="9"/>
      <c r="IQU1" s="8"/>
      <c r="IQV1" s="9"/>
      <c r="IQW1" s="8"/>
      <c r="IQX1" s="9"/>
      <c r="IQY1" s="8"/>
      <c r="IQZ1" s="9"/>
      <c r="IRA1" s="8"/>
      <c r="IRB1" s="9"/>
      <c r="IRC1" s="8"/>
      <c r="IRD1" s="9"/>
      <c r="IRE1" s="8"/>
      <c r="IRF1" s="9"/>
      <c r="IRG1" s="8"/>
      <c r="IRH1" s="9"/>
      <c r="IRI1" s="8"/>
      <c r="IRJ1" s="9"/>
      <c r="IRK1" s="8"/>
      <c r="IRL1" s="9"/>
      <c r="IRM1" s="8"/>
      <c r="IRN1" s="9"/>
      <c r="IRO1" s="8"/>
      <c r="IRP1" s="9"/>
      <c r="IRQ1" s="8"/>
      <c r="IRR1" s="9"/>
      <c r="IRS1" s="8"/>
      <c r="IRT1" s="9"/>
      <c r="IRU1" s="8"/>
      <c r="IRV1" s="9"/>
      <c r="IRW1" s="8"/>
      <c r="IRX1" s="9"/>
      <c r="IRY1" s="8"/>
      <c r="IRZ1" s="9"/>
      <c r="ISA1" s="8"/>
      <c r="ISB1" s="9"/>
      <c r="ISC1" s="8"/>
      <c r="ISD1" s="9"/>
      <c r="ISE1" s="8"/>
      <c r="ISF1" s="9"/>
      <c r="ISG1" s="8"/>
      <c r="ISH1" s="9"/>
      <c r="ISI1" s="8"/>
      <c r="ISJ1" s="9"/>
      <c r="ISK1" s="8"/>
      <c r="ISL1" s="9"/>
      <c r="ISM1" s="8"/>
      <c r="ISN1" s="9"/>
      <c r="ISO1" s="8"/>
      <c r="ISP1" s="9"/>
      <c r="ISQ1" s="8"/>
      <c r="ISR1" s="9"/>
      <c r="ISS1" s="8"/>
      <c r="IST1" s="9"/>
      <c r="ISU1" s="8"/>
      <c r="ISV1" s="9"/>
      <c r="ISW1" s="8"/>
      <c r="ISX1" s="9"/>
      <c r="ISY1" s="8"/>
      <c r="ISZ1" s="9"/>
      <c r="ITA1" s="8"/>
      <c r="ITB1" s="9"/>
      <c r="ITC1" s="8"/>
      <c r="ITD1" s="9"/>
      <c r="ITE1" s="8"/>
      <c r="ITF1" s="9"/>
      <c r="ITG1" s="8"/>
      <c r="ITH1" s="9"/>
      <c r="ITI1" s="8"/>
      <c r="ITJ1" s="9"/>
      <c r="ITK1" s="8"/>
      <c r="ITL1" s="9"/>
      <c r="ITM1" s="8"/>
      <c r="ITN1" s="9"/>
      <c r="ITO1" s="8"/>
      <c r="ITP1" s="9"/>
      <c r="ITQ1" s="8"/>
      <c r="ITR1" s="9"/>
      <c r="ITS1" s="8"/>
      <c r="ITT1" s="9"/>
      <c r="ITU1" s="8"/>
      <c r="ITV1" s="9"/>
      <c r="ITW1" s="8"/>
      <c r="ITX1" s="9"/>
      <c r="ITY1" s="8"/>
      <c r="ITZ1" s="9"/>
      <c r="IUA1" s="8"/>
      <c r="IUB1" s="9"/>
      <c r="IUC1" s="8"/>
      <c r="IUD1" s="9"/>
      <c r="IUE1" s="8"/>
      <c r="IUF1" s="9"/>
      <c r="IUG1" s="8"/>
      <c r="IUH1" s="9"/>
      <c r="IUI1" s="8"/>
      <c r="IUJ1" s="9"/>
      <c r="IUK1" s="8"/>
      <c r="IUL1" s="9"/>
      <c r="IUM1" s="8"/>
      <c r="IUN1" s="9"/>
      <c r="IUO1" s="8"/>
      <c r="IUP1" s="9"/>
      <c r="IUQ1" s="8"/>
      <c r="IUR1" s="9"/>
      <c r="IUS1" s="8"/>
      <c r="IUT1" s="9"/>
      <c r="IUU1" s="8"/>
      <c r="IUV1" s="9"/>
      <c r="IUW1" s="8"/>
      <c r="IUX1" s="9"/>
      <c r="IUY1" s="8"/>
      <c r="IUZ1" s="9"/>
      <c r="IVA1" s="8"/>
      <c r="IVB1" s="9"/>
      <c r="IVC1" s="8"/>
      <c r="IVD1" s="9"/>
      <c r="IVE1" s="8"/>
      <c r="IVF1" s="9"/>
      <c r="IVG1" s="8"/>
      <c r="IVH1" s="9"/>
      <c r="IVI1" s="8"/>
      <c r="IVJ1" s="9"/>
      <c r="IVK1" s="8"/>
      <c r="IVL1" s="9"/>
      <c r="IVM1" s="8"/>
      <c r="IVN1" s="9"/>
      <c r="IVO1" s="8"/>
      <c r="IVP1" s="9"/>
      <c r="IVQ1" s="8"/>
      <c r="IVR1" s="9"/>
      <c r="IVS1" s="8"/>
      <c r="IVT1" s="9"/>
      <c r="IVU1" s="8"/>
      <c r="IVV1" s="9"/>
      <c r="IVW1" s="8"/>
      <c r="IVX1" s="9"/>
      <c r="IVY1" s="8"/>
      <c r="IVZ1" s="9"/>
      <c r="IWA1" s="8"/>
      <c r="IWB1" s="9"/>
      <c r="IWC1" s="8"/>
      <c r="IWD1" s="9"/>
      <c r="IWE1" s="8"/>
      <c r="IWF1" s="9"/>
      <c r="IWG1" s="8"/>
      <c r="IWH1" s="9"/>
      <c r="IWI1" s="8"/>
      <c r="IWJ1" s="9"/>
      <c r="IWK1" s="8"/>
      <c r="IWL1" s="9"/>
      <c r="IWM1" s="8"/>
      <c r="IWN1" s="9"/>
      <c r="IWO1" s="8"/>
      <c r="IWP1" s="9"/>
      <c r="IWQ1" s="8"/>
      <c r="IWR1" s="9"/>
      <c r="IWS1" s="8"/>
      <c r="IWT1" s="9"/>
      <c r="IWU1" s="8"/>
      <c r="IWV1" s="9"/>
      <c r="IWW1" s="8"/>
      <c r="IWX1" s="9"/>
      <c r="IWY1" s="8"/>
      <c r="IWZ1" s="9"/>
      <c r="IXA1" s="8"/>
      <c r="IXB1" s="9"/>
      <c r="IXC1" s="8"/>
      <c r="IXD1" s="9"/>
      <c r="IXE1" s="8"/>
      <c r="IXF1" s="9"/>
      <c r="IXG1" s="8"/>
      <c r="IXH1" s="9"/>
      <c r="IXI1" s="8"/>
      <c r="IXJ1" s="9"/>
      <c r="IXK1" s="8"/>
      <c r="IXL1" s="9"/>
      <c r="IXM1" s="8"/>
      <c r="IXN1" s="9"/>
      <c r="IXO1" s="8"/>
      <c r="IXP1" s="9"/>
      <c r="IXQ1" s="8"/>
      <c r="IXR1" s="9"/>
      <c r="IXS1" s="8"/>
      <c r="IXT1" s="9"/>
      <c r="IXU1" s="8"/>
      <c r="IXV1" s="9"/>
      <c r="IXW1" s="8"/>
      <c r="IXX1" s="9"/>
      <c r="IXY1" s="8"/>
      <c r="IXZ1" s="9"/>
      <c r="IYA1" s="8"/>
      <c r="IYB1" s="9"/>
      <c r="IYC1" s="8"/>
      <c r="IYD1" s="9"/>
      <c r="IYE1" s="8"/>
      <c r="IYF1" s="9"/>
      <c r="IYG1" s="8"/>
      <c r="IYH1" s="9"/>
      <c r="IYI1" s="8"/>
      <c r="IYJ1" s="9"/>
      <c r="IYK1" s="8"/>
      <c r="IYL1" s="9"/>
      <c r="IYM1" s="8"/>
      <c r="IYN1" s="9"/>
      <c r="IYO1" s="8"/>
      <c r="IYP1" s="9"/>
      <c r="IYQ1" s="8"/>
      <c r="IYR1" s="9"/>
      <c r="IYS1" s="8"/>
      <c r="IYT1" s="9"/>
      <c r="IYU1" s="8"/>
      <c r="IYV1" s="9"/>
      <c r="IYW1" s="8"/>
      <c r="IYX1" s="9"/>
      <c r="IYY1" s="8"/>
      <c r="IYZ1" s="9"/>
      <c r="IZA1" s="8"/>
      <c r="IZB1" s="9"/>
      <c r="IZC1" s="8"/>
      <c r="IZD1" s="9"/>
      <c r="IZE1" s="8"/>
      <c r="IZF1" s="9"/>
      <c r="IZG1" s="8"/>
      <c r="IZH1" s="9"/>
      <c r="IZI1" s="8"/>
      <c r="IZJ1" s="9"/>
      <c r="IZK1" s="8"/>
      <c r="IZL1" s="9"/>
      <c r="IZM1" s="8"/>
      <c r="IZN1" s="9"/>
      <c r="IZO1" s="8"/>
      <c r="IZP1" s="9"/>
      <c r="IZQ1" s="8"/>
      <c r="IZR1" s="9"/>
      <c r="IZS1" s="8"/>
      <c r="IZT1" s="9"/>
      <c r="IZU1" s="8"/>
      <c r="IZV1" s="9"/>
      <c r="IZW1" s="8"/>
      <c r="IZX1" s="9"/>
      <c r="IZY1" s="8"/>
      <c r="IZZ1" s="9"/>
      <c r="JAA1" s="8"/>
      <c r="JAB1" s="9"/>
      <c r="JAC1" s="8"/>
      <c r="JAD1" s="9"/>
      <c r="JAE1" s="8"/>
      <c r="JAF1" s="9"/>
      <c r="JAG1" s="8"/>
      <c r="JAH1" s="9"/>
      <c r="JAI1" s="8"/>
      <c r="JAJ1" s="9"/>
      <c r="JAK1" s="8"/>
      <c r="JAL1" s="9"/>
      <c r="JAM1" s="8"/>
      <c r="JAN1" s="9"/>
      <c r="JAO1" s="8"/>
      <c r="JAP1" s="9"/>
      <c r="JAQ1" s="8"/>
      <c r="JAR1" s="9"/>
      <c r="JAS1" s="8"/>
      <c r="JAT1" s="9"/>
      <c r="JAU1" s="8"/>
      <c r="JAV1" s="9"/>
      <c r="JAW1" s="8"/>
      <c r="JAX1" s="9"/>
      <c r="JAY1" s="8"/>
      <c r="JAZ1" s="9"/>
      <c r="JBA1" s="8"/>
      <c r="JBB1" s="9"/>
      <c r="JBC1" s="8"/>
      <c r="JBD1" s="9"/>
      <c r="JBE1" s="8"/>
      <c r="JBF1" s="9"/>
      <c r="JBG1" s="8"/>
      <c r="JBH1" s="9"/>
      <c r="JBI1" s="8"/>
      <c r="JBJ1" s="9"/>
      <c r="JBK1" s="8"/>
      <c r="JBL1" s="9"/>
      <c r="JBM1" s="8"/>
      <c r="JBN1" s="9"/>
      <c r="JBO1" s="8"/>
      <c r="JBP1" s="9"/>
      <c r="JBQ1" s="8"/>
      <c r="JBR1" s="9"/>
      <c r="JBS1" s="8"/>
      <c r="JBT1" s="9"/>
      <c r="JBU1" s="8"/>
      <c r="JBV1" s="9"/>
      <c r="JBW1" s="8"/>
      <c r="JBX1" s="9"/>
      <c r="JBY1" s="8"/>
      <c r="JBZ1" s="9"/>
      <c r="JCA1" s="8"/>
      <c r="JCB1" s="9"/>
      <c r="JCC1" s="8"/>
      <c r="JCD1" s="9"/>
      <c r="JCE1" s="8"/>
      <c r="JCF1" s="9"/>
      <c r="JCG1" s="8"/>
      <c r="JCH1" s="9"/>
      <c r="JCI1" s="8"/>
      <c r="JCJ1" s="9"/>
      <c r="JCK1" s="8"/>
      <c r="JCL1" s="9"/>
      <c r="JCM1" s="8"/>
      <c r="JCN1" s="9"/>
      <c r="JCO1" s="8"/>
      <c r="JCP1" s="9"/>
      <c r="JCQ1" s="8"/>
      <c r="JCR1" s="9"/>
      <c r="JCS1" s="8"/>
      <c r="JCT1" s="9"/>
      <c r="JCU1" s="8"/>
      <c r="JCV1" s="9"/>
      <c r="JCW1" s="8"/>
      <c r="JCX1" s="9"/>
      <c r="JCY1" s="8"/>
      <c r="JCZ1" s="9"/>
      <c r="JDA1" s="8"/>
      <c r="JDB1" s="9"/>
      <c r="JDC1" s="8"/>
      <c r="JDD1" s="9"/>
      <c r="JDE1" s="8"/>
      <c r="JDF1" s="9"/>
      <c r="JDG1" s="8"/>
      <c r="JDH1" s="9"/>
      <c r="JDI1" s="8"/>
      <c r="JDJ1" s="9"/>
      <c r="JDK1" s="8"/>
      <c r="JDL1" s="9"/>
      <c r="JDM1" s="8"/>
      <c r="JDN1" s="9"/>
      <c r="JDO1" s="8"/>
      <c r="JDP1" s="9"/>
      <c r="JDQ1" s="8"/>
      <c r="JDR1" s="9"/>
      <c r="JDS1" s="8"/>
      <c r="JDT1" s="9"/>
      <c r="JDU1" s="8"/>
      <c r="JDV1" s="9"/>
      <c r="JDW1" s="8"/>
      <c r="JDX1" s="9"/>
      <c r="JDY1" s="8"/>
      <c r="JDZ1" s="9"/>
      <c r="JEA1" s="8"/>
      <c r="JEB1" s="9"/>
      <c r="JEC1" s="8"/>
      <c r="JED1" s="9"/>
      <c r="JEE1" s="8"/>
      <c r="JEF1" s="9"/>
      <c r="JEG1" s="8"/>
      <c r="JEH1" s="9"/>
      <c r="JEI1" s="8"/>
      <c r="JEJ1" s="9"/>
      <c r="JEK1" s="8"/>
      <c r="JEL1" s="9"/>
      <c r="JEM1" s="8"/>
      <c r="JEN1" s="9"/>
      <c r="JEO1" s="8"/>
      <c r="JEP1" s="9"/>
      <c r="JEQ1" s="8"/>
      <c r="JER1" s="9"/>
      <c r="JES1" s="8"/>
      <c r="JET1" s="9"/>
      <c r="JEU1" s="8"/>
      <c r="JEV1" s="9"/>
      <c r="JEW1" s="8"/>
      <c r="JEX1" s="9"/>
      <c r="JEY1" s="8"/>
      <c r="JEZ1" s="9"/>
      <c r="JFA1" s="8"/>
      <c r="JFB1" s="9"/>
      <c r="JFC1" s="8"/>
      <c r="JFD1" s="9"/>
      <c r="JFE1" s="8"/>
      <c r="JFF1" s="9"/>
      <c r="JFG1" s="8"/>
      <c r="JFH1" s="9"/>
      <c r="JFI1" s="8"/>
      <c r="JFJ1" s="9"/>
      <c r="JFK1" s="8"/>
      <c r="JFL1" s="9"/>
      <c r="JFM1" s="8"/>
      <c r="JFN1" s="9"/>
      <c r="JFO1" s="8"/>
      <c r="JFP1" s="9"/>
      <c r="JFQ1" s="8"/>
      <c r="JFR1" s="9"/>
      <c r="JFS1" s="8"/>
      <c r="JFT1" s="9"/>
      <c r="JFU1" s="8"/>
      <c r="JFV1" s="9"/>
      <c r="JFW1" s="8"/>
      <c r="JFX1" s="9"/>
      <c r="JFY1" s="8"/>
      <c r="JFZ1" s="9"/>
      <c r="JGA1" s="8"/>
      <c r="JGB1" s="9"/>
      <c r="JGC1" s="8"/>
      <c r="JGD1" s="9"/>
      <c r="JGE1" s="8"/>
      <c r="JGF1" s="9"/>
      <c r="JGG1" s="8"/>
      <c r="JGH1" s="9"/>
      <c r="JGI1" s="8"/>
      <c r="JGJ1" s="9"/>
      <c r="JGK1" s="8"/>
      <c r="JGL1" s="9"/>
      <c r="JGM1" s="8"/>
      <c r="JGN1" s="9"/>
      <c r="JGO1" s="8"/>
      <c r="JGP1" s="9"/>
      <c r="JGQ1" s="8"/>
      <c r="JGR1" s="9"/>
      <c r="JGS1" s="8"/>
      <c r="JGT1" s="9"/>
      <c r="JGU1" s="8"/>
      <c r="JGV1" s="9"/>
      <c r="JGW1" s="8"/>
      <c r="JGX1" s="9"/>
      <c r="JGY1" s="8"/>
      <c r="JGZ1" s="9"/>
      <c r="JHA1" s="8"/>
      <c r="JHB1" s="9"/>
      <c r="JHC1" s="8"/>
      <c r="JHD1" s="9"/>
      <c r="JHE1" s="8"/>
      <c r="JHF1" s="9"/>
      <c r="JHG1" s="8"/>
      <c r="JHH1" s="9"/>
      <c r="JHI1" s="8"/>
      <c r="JHJ1" s="9"/>
      <c r="JHK1" s="8"/>
      <c r="JHL1" s="9"/>
      <c r="JHM1" s="8"/>
      <c r="JHN1" s="9"/>
      <c r="JHO1" s="8"/>
      <c r="JHP1" s="9"/>
      <c r="JHQ1" s="8"/>
      <c r="JHR1" s="9"/>
      <c r="JHS1" s="8"/>
      <c r="JHT1" s="9"/>
      <c r="JHU1" s="8"/>
      <c r="JHV1" s="9"/>
      <c r="JHW1" s="8"/>
      <c r="JHX1" s="9"/>
      <c r="JHY1" s="8"/>
      <c r="JHZ1" s="9"/>
      <c r="JIA1" s="8"/>
      <c r="JIB1" s="9"/>
      <c r="JIC1" s="8"/>
      <c r="JID1" s="9"/>
      <c r="JIE1" s="8"/>
      <c r="JIF1" s="9"/>
      <c r="JIG1" s="8"/>
      <c r="JIH1" s="9"/>
      <c r="JII1" s="8"/>
      <c r="JIJ1" s="9"/>
      <c r="JIK1" s="8"/>
      <c r="JIL1" s="9"/>
      <c r="JIM1" s="8"/>
      <c r="JIN1" s="9"/>
      <c r="JIO1" s="8"/>
      <c r="JIP1" s="9"/>
      <c r="JIQ1" s="8"/>
      <c r="JIR1" s="9"/>
      <c r="JIS1" s="8"/>
      <c r="JIT1" s="9"/>
      <c r="JIU1" s="8"/>
      <c r="JIV1" s="9"/>
      <c r="JIW1" s="8"/>
      <c r="JIX1" s="9"/>
      <c r="JIY1" s="8"/>
      <c r="JIZ1" s="9"/>
      <c r="JJA1" s="8"/>
      <c r="JJB1" s="9"/>
      <c r="JJC1" s="8"/>
      <c r="JJD1" s="9"/>
      <c r="JJE1" s="8"/>
      <c r="JJF1" s="9"/>
      <c r="JJG1" s="8"/>
      <c r="JJH1" s="9"/>
      <c r="JJI1" s="8"/>
      <c r="JJJ1" s="9"/>
      <c r="JJK1" s="8"/>
      <c r="JJL1" s="9"/>
      <c r="JJM1" s="8"/>
      <c r="JJN1" s="9"/>
      <c r="JJO1" s="8"/>
      <c r="JJP1" s="9"/>
      <c r="JJQ1" s="8"/>
      <c r="JJR1" s="9"/>
      <c r="JJS1" s="8"/>
      <c r="JJT1" s="9"/>
      <c r="JJU1" s="8"/>
      <c r="JJV1" s="9"/>
      <c r="JJW1" s="8"/>
      <c r="JJX1" s="9"/>
      <c r="JJY1" s="8"/>
      <c r="JJZ1" s="9"/>
      <c r="JKA1" s="8"/>
      <c r="JKB1" s="9"/>
      <c r="JKC1" s="8"/>
      <c r="JKD1" s="9"/>
      <c r="JKE1" s="8"/>
      <c r="JKF1" s="9"/>
      <c r="JKG1" s="8"/>
      <c r="JKH1" s="9"/>
      <c r="JKI1" s="8"/>
      <c r="JKJ1" s="9"/>
      <c r="JKK1" s="8"/>
      <c r="JKL1" s="9"/>
      <c r="JKM1" s="8"/>
      <c r="JKN1" s="9"/>
      <c r="JKO1" s="8"/>
      <c r="JKP1" s="9"/>
      <c r="JKQ1" s="8"/>
      <c r="JKR1" s="9"/>
      <c r="JKS1" s="8"/>
      <c r="JKT1" s="9"/>
      <c r="JKU1" s="8"/>
      <c r="JKV1" s="9"/>
      <c r="JKW1" s="8"/>
      <c r="JKX1" s="9"/>
      <c r="JKY1" s="8"/>
      <c r="JKZ1" s="9"/>
      <c r="JLA1" s="8"/>
      <c r="JLB1" s="9"/>
      <c r="JLC1" s="8"/>
      <c r="JLD1" s="9"/>
      <c r="JLE1" s="8"/>
      <c r="JLF1" s="9"/>
      <c r="JLG1" s="8"/>
      <c r="JLH1" s="9"/>
      <c r="JLI1" s="8"/>
      <c r="JLJ1" s="9"/>
      <c r="JLK1" s="8"/>
      <c r="JLL1" s="9"/>
      <c r="JLM1" s="8"/>
      <c r="JLN1" s="9"/>
      <c r="JLO1" s="8"/>
      <c r="JLP1" s="9"/>
      <c r="JLQ1" s="8"/>
      <c r="JLR1" s="9"/>
      <c r="JLS1" s="8"/>
      <c r="JLT1" s="9"/>
      <c r="JLU1" s="8"/>
      <c r="JLV1" s="9"/>
      <c r="JLW1" s="8"/>
      <c r="JLX1" s="9"/>
      <c r="JLY1" s="8"/>
      <c r="JLZ1" s="9"/>
      <c r="JMA1" s="8"/>
      <c r="JMB1" s="9"/>
      <c r="JMC1" s="8"/>
      <c r="JMD1" s="9"/>
      <c r="JME1" s="8"/>
      <c r="JMF1" s="9"/>
      <c r="JMG1" s="8"/>
      <c r="JMH1" s="9"/>
      <c r="JMI1" s="8"/>
      <c r="JMJ1" s="9"/>
      <c r="JMK1" s="8"/>
      <c r="JML1" s="9"/>
      <c r="JMM1" s="8"/>
      <c r="JMN1" s="9"/>
      <c r="JMO1" s="8"/>
      <c r="JMP1" s="9"/>
      <c r="JMQ1" s="8"/>
      <c r="JMR1" s="9"/>
      <c r="JMS1" s="8"/>
      <c r="JMT1" s="9"/>
      <c r="JMU1" s="8"/>
      <c r="JMV1" s="9"/>
      <c r="JMW1" s="8"/>
      <c r="JMX1" s="9"/>
      <c r="JMY1" s="8"/>
      <c r="JMZ1" s="9"/>
      <c r="JNA1" s="8"/>
      <c r="JNB1" s="9"/>
      <c r="JNC1" s="8"/>
      <c r="JND1" s="9"/>
      <c r="JNE1" s="8"/>
      <c r="JNF1" s="9"/>
      <c r="JNG1" s="8"/>
      <c r="JNH1" s="9"/>
      <c r="JNI1" s="8"/>
      <c r="JNJ1" s="9"/>
      <c r="JNK1" s="8"/>
      <c r="JNL1" s="9"/>
      <c r="JNM1" s="8"/>
      <c r="JNN1" s="9"/>
      <c r="JNO1" s="8"/>
      <c r="JNP1" s="9"/>
      <c r="JNQ1" s="8"/>
      <c r="JNR1" s="9"/>
      <c r="JNS1" s="8"/>
      <c r="JNT1" s="9"/>
      <c r="JNU1" s="8"/>
      <c r="JNV1" s="9"/>
      <c r="JNW1" s="8"/>
      <c r="JNX1" s="9"/>
      <c r="JNY1" s="8"/>
      <c r="JNZ1" s="9"/>
      <c r="JOA1" s="8"/>
      <c r="JOB1" s="9"/>
      <c r="JOC1" s="8"/>
      <c r="JOD1" s="9"/>
      <c r="JOE1" s="8"/>
      <c r="JOF1" s="9"/>
      <c r="JOG1" s="8"/>
      <c r="JOH1" s="9"/>
      <c r="JOI1" s="8"/>
      <c r="JOJ1" s="9"/>
      <c r="JOK1" s="8"/>
      <c r="JOL1" s="9"/>
      <c r="JOM1" s="8"/>
      <c r="JON1" s="9"/>
      <c r="JOO1" s="8"/>
      <c r="JOP1" s="9"/>
      <c r="JOQ1" s="8"/>
      <c r="JOR1" s="9"/>
      <c r="JOS1" s="8"/>
      <c r="JOT1" s="9"/>
      <c r="JOU1" s="8"/>
      <c r="JOV1" s="9"/>
      <c r="JOW1" s="8"/>
      <c r="JOX1" s="9"/>
      <c r="JOY1" s="8"/>
      <c r="JOZ1" s="9"/>
      <c r="JPA1" s="8"/>
      <c r="JPB1" s="9"/>
      <c r="JPC1" s="8"/>
      <c r="JPD1" s="9"/>
      <c r="JPE1" s="8"/>
      <c r="JPF1" s="9"/>
      <c r="JPG1" s="8"/>
      <c r="JPH1" s="9"/>
      <c r="JPI1" s="8"/>
      <c r="JPJ1" s="9"/>
      <c r="JPK1" s="8"/>
      <c r="JPL1" s="9"/>
      <c r="JPM1" s="8"/>
      <c r="JPN1" s="9"/>
      <c r="JPO1" s="8"/>
      <c r="JPP1" s="9"/>
      <c r="JPQ1" s="8"/>
      <c r="JPR1" s="9"/>
      <c r="JPS1" s="8"/>
      <c r="JPT1" s="9"/>
      <c r="JPU1" s="8"/>
      <c r="JPV1" s="9"/>
      <c r="JPW1" s="8"/>
      <c r="JPX1" s="9"/>
      <c r="JPY1" s="8"/>
      <c r="JPZ1" s="9"/>
      <c r="JQA1" s="8"/>
      <c r="JQB1" s="9"/>
      <c r="JQC1" s="8"/>
      <c r="JQD1" s="9"/>
      <c r="JQE1" s="8"/>
      <c r="JQF1" s="9"/>
      <c r="JQG1" s="8"/>
      <c r="JQH1" s="9"/>
      <c r="JQI1" s="8"/>
      <c r="JQJ1" s="9"/>
      <c r="JQK1" s="8"/>
      <c r="JQL1" s="9"/>
      <c r="JQM1" s="8"/>
      <c r="JQN1" s="9"/>
      <c r="JQO1" s="8"/>
      <c r="JQP1" s="9"/>
      <c r="JQQ1" s="8"/>
      <c r="JQR1" s="9"/>
      <c r="JQS1" s="8"/>
      <c r="JQT1" s="9"/>
      <c r="JQU1" s="8"/>
      <c r="JQV1" s="9"/>
      <c r="JQW1" s="8"/>
      <c r="JQX1" s="9"/>
      <c r="JQY1" s="8"/>
      <c r="JQZ1" s="9"/>
      <c r="JRA1" s="8"/>
      <c r="JRB1" s="9"/>
      <c r="JRC1" s="8"/>
      <c r="JRD1" s="9"/>
      <c r="JRE1" s="8"/>
      <c r="JRF1" s="9"/>
      <c r="JRG1" s="8"/>
      <c r="JRH1" s="9"/>
      <c r="JRI1" s="8"/>
      <c r="JRJ1" s="9"/>
      <c r="JRK1" s="8"/>
      <c r="JRL1" s="9"/>
      <c r="JRM1" s="8"/>
      <c r="JRN1" s="9"/>
      <c r="JRO1" s="8"/>
      <c r="JRP1" s="9"/>
      <c r="JRQ1" s="8"/>
      <c r="JRR1" s="9"/>
      <c r="JRS1" s="8"/>
      <c r="JRT1" s="9"/>
      <c r="JRU1" s="8"/>
      <c r="JRV1" s="9"/>
      <c r="JRW1" s="8"/>
      <c r="JRX1" s="9"/>
      <c r="JRY1" s="8"/>
      <c r="JRZ1" s="9"/>
      <c r="JSA1" s="8"/>
      <c r="JSB1" s="9"/>
      <c r="JSC1" s="8"/>
      <c r="JSD1" s="9"/>
      <c r="JSE1" s="8"/>
      <c r="JSF1" s="9"/>
      <c r="JSG1" s="8"/>
      <c r="JSH1" s="9"/>
      <c r="JSI1" s="8"/>
      <c r="JSJ1" s="9"/>
      <c r="JSK1" s="8"/>
      <c r="JSL1" s="9"/>
      <c r="JSM1" s="8"/>
      <c r="JSN1" s="9"/>
      <c r="JSO1" s="8"/>
      <c r="JSP1" s="9"/>
      <c r="JSQ1" s="8"/>
      <c r="JSR1" s="9"/>
      <c r="JSS1" s="8"/>
      <c r="JST1" s="9"/>
      <c r="JSU1" s="8"/>
      <c r="JSV1" s="9"/>
      <c r="JSW1" s="8"/>
      <c r="JSX1" s="9"/>
      <c r="JSY1" s="8"/>
      <c r="JSZ1" s="9"/>
      <c r="JTA1" s="8"/>
      <c r="JTB1" s="9"/>
      <c r="JTC1" s="8"/>
      <c r="JTD1" s="9"/>
      <c r="JTE1" s="8"/>
      <c r="JTF1" s="9"/>
      <c r="JTG1" s="8"/>
      <c r="JTH1" s="9"/>
      <c r="JTI1" s="8"/>
      <c r="JTJ1" s="9"/>
      <c r="JTK1" s="8"/>
      <c r="JTL1" s="9"/>
      <c r="JTM1" s="8"/>
      <c r="JTN1" s="9"/>
      <c r="JTO1" s="8"/>
      <c r="JTP1" s="9"/>
      <c r="JTQ1" s="8"/>
      <c r="JTR1" s="9"/>
      <c r="JTS1" s="8"/>
      <c r="JTT1" s="9"/>
      <c r="JTU1" s="8"/>
      <c r="JTV1" s="9"/>
      <c r="JTW1" s="8"/>
      <c r="JTX1" s="9"/>
      <c r="JTY1" s="8"/>
      <c r="JTZ1" s="9"/>
      <c r="JUA1" s="8"/>
      <c r="JUB1" s="9"/>
      <c r="JUC1" s="8"/>
      <c r="JUD1" s="9"/>
      <c r="JUE1" s="8"/>
      <c r="JUF1" s="9"/>
      <c r="JUG1" s="8"/>
      <c r="JUH1" s="9"/>
      <c r="JUI1" s="8"/>
      <c r="JUJ1" s="9"/>
      <c r="JUK1" s="8"/>
      <c r="JUL1" s="9"/>
      <c r="JUM1" s="8"/>
      <c r="JUN1" s="9"/>
      <c r="JUO1" s="8"/>
      <c r="JUP1" s="9"/>
      <c r="JUQ1" s="8"/>
      <c r="JUR1" s="9"/>
      <c r="JUS1" s="8"/>
      <c r="JUT1" s="9"/>
      <c r="JUU1" s="8"/>
      <c r="JUV1" s="9"/>
      <c r="JUW1" s="8"/>
      <c r="JUX1" s="9"/>
      <c r="JUY1" s="8"/>
      <c r="JUZ1" s="9"/>
      <c r="JVA1" s="8"/>
      <c r="JVB1" s="9"/>
      <c r="JVC1" s="8"/>
      <c r="JVD1" s="9"/>
      <c r="JVE1" s="8"/>
      <c r="JVF1" s="9"/>
      <c r="JVG1" s="8"/>
      <c r="JVH1" s="9"/>
      <c r="JVI1" s="8"/>
      <c r="JVJ1" s="9"/>
      <c r="JVK1" s="8"/>
      <c r="JVL1" s="9"/>
      <c r="JVM1" s="8"/>
      <c r="JVN1" s="9"/>
      <c r="JVO1" s="8"/>
      <c r="JVP1" s="9"/>
      <c r="JVQ1" s="8"/>
      <c r="JVR1" s="9"/>
      <c r="JVS1" s="8"/>
      <c r="JVT1" s="9"/>
      <c r="JVU1" s="8"/>
      <c r="JVV1" s="9"/>
      <c r="JVW1" s="8"/>
      <c r="JVX1" s="9"/>
      <c r="JVY1" s="8"/>
      <c r="JVZ1" s="9"/>
      <c r="JWA1" s="8"/>
      <c r="JWB1" s="9"/>
      <c r="JWC1" s="8"/>
      <c r="JWD1" s="9"/>
      <c r="JWE1" s="8"/>
      <c r="JWF1" s="9"/>
      <c r="JWG1" s="8"/>
      <c r="JWH1" s="9"/>
      <c r="JWI1" s="8"/>
      <c r="JWJ1" s="9"/>
      <c r="JWK1" s="8"/>
      <c r="JWL1" s="9"/>
      <c r="JWM1" s="8"/>
      <c r="JWN1" s="9"/>
      <c r="JWO1" s="8"/>
      <c r="JWP1" s="9"/>
      <c r="JWQ1" s="8"/>
      <c r="JWR1" s="9"/>
      <c r="JWS1" s="8"/>
      <c r="JWT1" s="9"/>
      <c r="JWU1" s="8"/>
      <c r="JWV1" s="9"/>
      <c r="JWW1" s="8"/>
      <c r="JWX1" s="9"/>
      <c r="JWY1" s="8"/>
      <c r="JWZ1" s="9"/>
      <c r="JXA1" s="8"/>
      <c r="JXB1" s="9"/>
      <c r="JXC1" s="8"/>
      <c r="JXD1" s="9"/>
      <c r="JXE1" s="8"/>
      <c r="JXF1" s="9"/>
      <c r="JXG1" s="8"/>
      <c r="JXH1" s="9"/>
      <c r="JXI1" s="8"/>
      <c r="JXJ1" s="9"/>
      <c r="JXK1" s="8"/>
      <c r="JXL1" s="9"/>
      <c r="JXM1" s="8"/>
      <c r="JXN1" s="9"/>
      <c r="JXO1" s="8"/>
      <c r="JXP1" s="9"/>
      <c r="JXQ1" s="8"/>
      <c r="JXR1" s="9"/>
      <c r="JXS1" s="8"/>
      <c r="JXT1" s="9"/>
      <c r="JXU1" s="8"/>
      <c r="JXV1" s="9"/>
      <c r="JXW1" s="8"/>
      <c r="JXX1" s="9"/>
      <c r="JXY1" s="8"/>
      <c r="JXZ1" s="9"/>
      <c r="JYA1" s="8"/>
      <c r="JYB1" s="9"/>
      <c r="JYC1" s="8"/>
      <c r="JYD1" s="9"/>
      <c r="JYE1" s="8"/>
      <c r="JYF1" s="9"/>
      <c r="JYG1" s="8"/>
      <c r="JYH1" s="9"/>
      <c r="JYI1" s="8"/>
      <c r="JYJ1" s="9"/>
      <c r="JYK1" s="8"/>
      <c r="JYL1" s="9"/>
      <c r="JYM1" s="8"/>
      <c r="JYN1" s="9"/>
      <c r="JYO1" s="8"/>
      <c r="JYP1" s="9"/>
      <c r="JYQ1" s="8"/>
      <c r="JYR1" s="9"/>
      <c r="JYS1" s="8"/>
      <c r="JYT1" s="9"/>
      <c r="JYU1" s="8"/>
      <c r="JYV1" s="9"/>
      <c r="JYW1" s="8"/>
      <c r="JYX1" s="9"/>
      <c r="JYY1" s="8"/>
      <c r="JYZ1" s="9"/>
      <c r="JZA1" s="8"/>
      <c r="JZB1" s="9"/>
      <c r="JZC1" s="8"/>
      <c r="JZD1" s="9"/>
      <c r="JZE1" s="8"/>
      <c r="JZF1" s="9"/>
      <c r="JZG1" s="8"/>
      <c r="JZH1" s="9"/>
      <c r="JZI1" s="8"/>
      <c r="JZJ1" s="9"/>
      <c r="JZK1" s="8"/>
      <c r="JZL1" s="9"/>
      <c r="JZM1" s="8"/>
      <c r="JZN1" s="9"/>
      <c r="JZO1" s="8"/>
      <c r="JZP1" s="9"/>
      <c r="JZQ1" s="8"/>
      <c r="JZR1" s="9"/>
      <c r="JZS1" s="8"/>
      <c r="JZT1" s="9"/>
      <c r="JZU1" s="8"/>
      <c r="JZV1" s="9"/>
      <c r="JZW1" s="8"/>
      <c r="JZX1" s="9"/>
      <c r="JZY1" s="8"/>
      <c r="JZZ1" s="9"/>
      <c r="KAA1" s="8"/>
      <c r="KAB1" s="9"/>
      <c r="KAC1" s="8"/>
      <c r="KAD1" s="9"/>
      <c r="KAE1" s="8"/>
      <c r="KAF1" s="9"/>
      <c r="KAG1" s="8"/>
      <c r="KAH1" s="9"/>
      <c r="KAI1" s="8"/>
      <c r="KAJ1" s="9"/>
      <c r="KAK1" s="8"/>
      <c r="KAL1" s="9"/>
      <c r="KAM1" s="8"/>
      <c r="KAN1" s="9"/>
      <c r="KAO1" s="8"/>
      <c r="KAP1" s="9"/>
      <c r="KAQ1" s="8"/>
      <c r="KAR1" s="9"/>
      <c r="KAS1" s="8"/>
      <c r="KAT1" s="9"/>
      <c r="KAU1" s="8"/>
      <c r="KAV1" s="9"/>
      <c r="KAW1" s="8"/>
      <c r="KAX1" s="9"/>
      <c r="KAY1" s="8"/>
      <c r="KAZ1" s="9"/>
      <c r="KBA1" s="8"/>
      <c r="KBB1" s="9"/>
      <c r="KBC1" s="8"/>
      <c r="KBD1" s="9"/>
      <c r="KBE1" s="8"/>
      <c r="KBF1" s="9"/>
      <c r="KBG1" s="8"/>
      <c r="KBH1" s="9"/>
      <c r="KBI1" s="8"/>
      <c r="KBJ1" s="9"/>
      <c r="KBK1" s="8"/>
      <c r="KBL1" s="9"/>
      <c r="KBM1" s="8"/>
      <c r="KBN1" s="9"/>
      <c r="KBO1" s="8"/>
      <c r="KBP1" s="9"/>
      <c r="KBQ1" s="8"/>
      <c r="KBR1" s="9"/>
      <c r="KBS1" s="8"/>
      <c r="KBT1" s="9"/>
      <c r="KBU1" s="8"/>
      <c r="KBV1" s="9"/>
      <c r="KBW1" s="8"/>
      <c r="KBX1" s="9"/>
      <c r="KBY1" s="8"/>
      <c r="KBZ1" s="9"/>
      <c r="KCA1" s="8"/>
      <c r="KCB1" s="9"/>
      <c r="KCC1" s="8"/>
      <c r="KCD1" s="9"/>
      <c r="KCE1" s="8"/>
      <c r="KCF1" s="9"/>
      <c r="KCG1" s="8"/>
      <c r="KCH1" s="9"/>
      <c r="KCI1" s="8"/>
      <c r="KCJ1" s="9"/>
      <c r="KCK1" s="8"/>
      <c r="KCL1" s="9"/>
      <c r="KCM1" s="8"/>
      <c r="KCN1" s="9"/>
      <c r="KCO1" s="8"/>
      <c r="KCP1" s="9"/>
      <c r="KCQ1" s="8"/>
      <c r="KCR1" s="9"/>
      <c r="KCS1" s="8"/>
      <c r="KCT1" s="9"/>
      <c r="KCU1" s="8"/>
      <c r="KCV1" s="9"/>
      <c r="KCW1" s="8"/>
      <c r="KCX1" s="9"/>
      <c r="KCY1" s="8"/>
      <c r="KCZ1" s="9"/>
      <c r="KDA1" s="8"/>
      <c r="KDB1" s="9"/>
      <c r="KDC1" s="8"/>
      <c r="KDD1" s="9"/>
      <c r="KDE1" s="8"/>
      <c r="KDF1" s="9"/>
      <c r="KDG1" s="8"/>
      <c r="KDH1" s="9"/>
      <c r="KDI1" s="8"/>
      <c r="KDJ1" s="9"/>
      <c r="KDK1" s="8"/>
      <c r="KDL1" s="9"/>
      <c r="KDM1" s="8"/>
      <c r="KDN1" s="9"/>
      <c r="KDO1" s="8"/>
      <c r="KDP1" s="9"/>
      <c r="KDQ1" s="8"/>
      <c r="KDR1" s="9"/>
      <c r="KDS1" s="8"/>
      <c r="KDT1" s="9"/>
      <c r="KDU1" s="8"/>
      <c r="KDV1" s="9"/>
      <c r="KDW1" s="8"/>
      <c r="KDX1" s="9"/>
      <c r="KDY1" s="8"/>
      <c r="KDZ1" s="9"/>
      <c r="KEA1" s="8"/>
      <c r="KEB1" s="9"/>
      <c r="KEC1" s="8"/>
      <c r="KED1" s="9"/>
      <c r="KEE1" s="8"/>
      <c r="KEF1" s="9"/>
      <c r="KEG1" s="8"/>
      <c r="KEH1" s="9"/>
      <c r="KEI1" s="8"/>
      <c r="KEJ1" s="9"/>
      <c r="KEK1" s="8"/>
      <c r="KEL1" s="9"/>
      <c r="KEM1" s="8"/>
      <c r="KEN1" s="9"/>
      <c r="KEO1" s="8"/>
      <c r="KEP1" s="9"/>
      <c r="KEQ1" s="8"/>
      <c r="KER1" s="9"/>
      <c r="KES1" s="8"/>
      <c r="KET1" s="9"/>
      <c r="KEU1" s="8"/>
      <c r="KEV1" s="9"/>
      <c r="KEW1" s="8"/>
      <c r="KEX1" s="9"/>
      <c r="KEY1" s="8"/>
      <c r="KEZ1" s="9"/>
      <c r="KFA1" s="8"/>
      <c r="KFB1" s="9"/>
      <c r="KFC1" s="8"/>
      <c r="KFD1" s="9"/>
      <c r="KFE1" s="8"/>
      <c r="KFF1" s="9"/>
      <c r="KFG1" s="8"/>
      <c r="KFH1" s="9"/>
      <c r="KFI1" s="8"/>
      <c r="KFJ1" s="9"/>
      <c r="KFK1" s="8"/>
      <c r="KFL1" s="9"/>
      <c r="KFM1" s="8"/>
      <c r="KFN1" s="9"/>
      <c r="KFO1" s="8"/>
      <c r="KFP1" s="9"/>
      <c r="KFQ1" s="8"/>
      <c r="KFR1" s="9"/>
      <c r="KFS1" s="8"/>
      <c r="KFT1" s="9"/>
      <c r="KFU1" s="8"/>
      <c r="KFV1" s="9"/>
      <c r="KFW1" s="8"/>
      <c r="KFX1" s="9"/>
      <c r="KFY1" s="8"/>
      <c r="KFZ1" s="9"/>
      <c r="KGA1" s="8"/>
      <c r="KGB1" s="9"/>
      <c r="KGC1" s="8"/>
      <c r="KGD1" s="9"/>
      <c r="KGE1" s="8"/>
      <c r="KGF1" s="9"/>
      <c r="KGG1" s="8"/>
      <c r="KGH1" s="9"/>
      <c r="KGI1" s="8"/>
      <c r="KGJ1" s="9"/>
      <c r="KGK1" s="8"/>
      <c r="KGL1" s="9"/>
      <c r="KGM1" s="8"/>
      <c r="KGN1" s="9"/>
      <c r="KGO1" s="8"/>
      <c r="KGP1" s="9"/>
      <c r="KGQ1" s="8"/>
      <c r="KGR1" s="9"/>
      <c r="KGS1" s="8"/>
      <c r="KGT1" s="9"/>
      <c r="KGU1" s="8"/>
      <c r="KGV1" s="9"/>
      <c r="KGW1" s="8"/>
      <c r="KGX1" s="9"/>
      <c r="KGY1" s="8"/>
      <c r="KGZ1" s="9"/>
      <c r="KHA1" s="8"/>
      <c r="KHB1" s="9"/>
      <c r="KHC1" s="8"/>
      <c r="KHD1" s="9"/>
      <c r="KHE1" s="8"/>
      <c r="KHF1" s="9"/>
      <c r="KHG1" s="8"/>
      <c r="KHH1" s="9"/>
      <c r="KHI1" s="8"/>
      <c r="KHJ1" s="9"/>
      <c r="KHK1" s="8"/>
      <c r="KHL1" s="9"/>
      <c r="KHM1" s="8"/>
      <c r="KHN1" s="9"/>
      <c r="KHO1" s="8"/>
      <c r="KHP1" s="9"/>
      <c r="KHQ1" s="8"/>
      <c r="KHR1" s="9"/>
      <c r="KHS1" s="8"/>
      <c r="KHT1" s="9"/>
      <c r="KHU1" s="8"/>
      <c r="KHV1" s="9"/>
      <c r="KHW1" s="8"/>
      <c r="KHX1" s="9"/>
      <c r="KHY1" s="8"/>
      <c r="KHZ1" s="9"/>
      <c r="KIA1" s="8"/>
      <c r="KIB1" s="9"/>
      <c r="KIC1" s="8"/>
      <c r="KID1" s="9"/>
      <c r="KIE1" s="8"/>
      <c r="KIF1" s="9"/>
      <c r="KIG1" s="8"/>
      <c r="KIH1" s="9"/>
      <c r="KII1" s="8"/>
      <c r="KIJ1" s="9"/>
      <c r="KIK1" s="8"/>
      <c r="KIL1" s="9"/>
      <c r="KIM1" s="8"/>
      <c r="KIN1" s="9"/>
      <c r="KIO1" s="8"/>
      <c r="KIP1" s="9"/>
      <c r="KIQ1" s="8"/>
      <c r="KIR1" s="9"/>
      <c r="KIS1" s="8"/>
      <c r="KIT1" s="9"/>
      <c r="KIU1" s="8"/>
      <c r="KIV1" s="9"/>
      <c r="KIW1" s="8"/>
      <c r="KIX1" s="9"/>
      <c r="KIY1" s="8"/>
      <c r="KIZ1" s="9"/>
      <c r="KJA1" s="8"/>
      <c r="KJB1" s="9"/>
      <c r="KJC1" s="8"/>
      <c r="KJD1" s="9"/>
      <c r="KJE1" s="8"/>
      <c r="KJF1" s="9"/>
      <c r="KJG1" s="8"/>
      <c r="KJH1" s="9"/>
      <c r="KJI1" s="8"/>
      <c r="KJJ1" s="9"/>
      <c r="KJK1" s="8"/>
      <c r="KJL1" s="9"/>
      <c r="KJM1" s="8"/>
      <c r="KJN1" s="9"/>
      <c r="KJO1" s="8"/>
      <c r="KJP1" s="9"/>
      <c r="KJQ1" s="8"/>
      <c r="KJR1" s="9"/>
      <c r="KJS1" s="8"/>
      <c r="KJT1" s="9"/>
      <c r="KJU1" s="8"/>
      <c r="KJV1" s="9"/>
      <c r="KJW1" s="8"/>
      <c r="KJX1" s="9"/>
      <c r="KJY1" s="8"/>
      <c r="KJZ1" s="9"/>
      <c r="KKA1" s="8"/>
      <c r="KKB1" s="9"/>
      <c r="KKC1" s="8"/>
      <c r="KKD1" s="9"/>
      <c r="KKE1" s="8"/>
      <c r="KKF1" s="9"/>
      <c r="KKG1" s="8"/>
      <c r="KKH1" s="9"/>
      <c r="KKI1" s="8"/>
      <c r="KKJ1" s="9"/>
      <c r="KKK1" s="8"/>
      <c r="KKL1" s="9"/>
      <c r="KKM1" s="8"/>
      <c r="KKN1" s="9"/>
      <c r="KKO1" s="8"/>
      <c r="KKP1" s="9"/>
      <c r="KKQ1" s="8"/>
      <c r="KKR1" s="9"/>
      <c r="KKS1" s="8"/>
      <c r="KKT1" s="9"/>
      <c r="KKU1" s="8"/>
      <c r="KKV1" s="9"/>
      <c r="KKW1" s="8"/>
      <c r="KKX1" s="9"/>
      <c r="KKY1" s="8"/>
      <c r="KKZ1" s="9"/>
      <c r="KLA1" s="8"/>
      <c r="KLB1" s="9"/>
      <c r="KLC1" s="8"/>
      <c r="KLD1" s="9"/>
      <c r="KLE1" s="8"/>
      <c r="KLF1" s="9"/>
      <c r="KLG1" s="8"/>
      <c r="KLH1" s="9"/>
      <c r="KLI1" s="8"/>
      <c r="KLJ1" s="9"/>
      <c r="KLK1" s="8"/>
      <c r="KLL1" s="9"/>
      <c r="KLM1" s="8"/>
      <c r="KLN1" s="9"/>
      <c r="KLO1" s="8"/>
      <c r="KLP1" s="9"/>
      <c r="KLQ1" s="8"/>
      <c r="KLR1" s="9"/>
      <c r="KLS1" s="8"/>
      <c r="KLT1" s="9"/>
      <c r="KLU1" s="8"/>
      <c r="KLV1" s="9"/>
      <c r="KLW1" s="8"/>
      <c r="KLX1" s="9"/>
      <c r="KLY1" s="8"/>
      <c r="KLZ1" s="9"/>
      <c r="KMA1" s="8"/>
      <c r="KMB1" s="9"/>
      <c r="KMC1" s="8"/>
      <c r="KMD1" s="9"/>
      <c r="KME1" s="8"/>
      <c r="KMF1" s="9"/>
      <c r="KMG1" s="8"/>
      <c r="KMH1" s="9"/>
      <c r="KMI1" s="8"/>
      <c r="KMJ1" s="9"/>
      <c r="KMK1" s="8"/>
      <c r="KML1" s="9"/>
      <c r="KMM1" s="8"/>
      <c r="KMN1" s="9"/>
      <c r="KMO1" s="8"/>
      <c r="KMP1" s="9"/>
      <c r="KMQ1" s="8"/>
      <c r="KMR1" s="9"/>
      <c r="KMS1" s="8"/>
      <c r="KMT1" s="9"/>
      <c r="KMU1" s="8"/>
      <c r="KMV1" s="9"/>
      <c r="KMW1" s="8"/>
      <c r="KMX1" s="9"/>
      <c r="KMY1" s="8"/>
      <c r="KMZ1" s="9"/>
      <c r="KNA1" s="8"/>
      <c r="KNB1" s="9"/>
      <c r="KNC1" s="8"/>
      <c r="KND1" s="9"/>
      <c r="KNE1" s="8"/>
      <c r="KNF1" s="9"/>
      <c r="KNG1" s="8"/>
      <c r="KNH1" s="9"/>
      <c r="KNI1" s="8"/>
      <c r="KNJ1" s="9"/>
      <c r="KNK1" s="8"/>
      <c r="KNL1" s="9"/>
      <c r="KNM1" s="8"/>
      <c r="KNN1" s="9"/>
      <c r="KNO1" s="8"/>
      <c r="KNP1" s="9"/>
      <c r="KNQ1" s="8"/>
      <c r="KNR1" s="9"/>
      <c r="KNS1" s="8"/>
      <c r="KNT1" s="9"/>
      <c r="KNU1" s="8"/>
      <c r="KNV1" s="9"/>
      <c r="KNW1" s="8"/>
      <c r="KNX1" s="9"/>
      <c r="KNY1" s="8"/>
      <c r="KNZ1" s="9"/>
      <c r="KOA1" s="8"/>
      <c r="KOB1" s="9"/>
      <c r="KOC1" s="8"/>
      <c r="KOD1" s="9"/>
      <c r="KOE1" s="8"/>
      <c r="KOF1" s="9"/>
      <c r="KOG1" s="8"/>
      <c r="KOH1" s="9"/>
      <c r="KOI1" s="8"/>
      <c r="KOJ1" s="9"/>
      <c r="KOK1" s="8"/>
      <c r="KOL1" s="9"/>
      <c r="KOM1" s="8"/>
      <c r="KON1" s="9"/>
      <c r="KOO1" s="8"/>
      <c r="KOP1" s="9"/>
      <c r="KOQ1" s="8"/>
      <c r="KOR1" s="9"/>
      <c r="KOS1" s="8"/>
      <c r="KOT1" s="9"/>
      <c r="KOU1" s="8"/>
      <c r="KOV1" s="9"/>
      <c r="KOW1" s="8"/>
      <c r="KOX1" s="9"/>
      <c r="KOY1" s="8"/>
      <c r="KOZ1" s="9"/>
      <c r="KPA1" s="8"/>
      <c r="KPB1" s="9"/>
      <c r="KPC1" s="8"/>
      <c r="KPD1" s="9"/>
      <c r="KPE1" s="8"/>
      <c r="KPF1" s="9"/>
      <c r="KPG1" s="8"/>
      <c r="KPH1" s="9"/>
      <c r="KPI1" s="8"/>
      <c r="KPJ1" s="9"/>
      <c r="KPK1" s="8"/>
      <c r="KPL1" s="9"/>
      <c r="KPM1" s="8"/>
      <c r="KPN1" s="9"/>
      <c r="KPO1" s="8"/>
      <c r="KPP1" s="9"/>
      <c r="KPQ1" s="8"/>
      <c r="KPR1" s="9"/>
      <c r="KPS1" s="8"/>
      <c r="KPT1" s="9"/>
      <c r="KPU1" s="8"/>
      <c r="KPV1" s="9"/>
      <c r="KPW1" s="8"/>
      <c r="KPX1" s="9"/>
      <c r="KPY1" s="8"/>
      <c r="KPZ1" s="9"/>
      <c r="KQA1" s="8"/>
      <c r="KQB1" s="9"/>
      <c r="KQC1" s="8"/>
      <c r="KQD1" s="9"/>
      <c r="KQE1" s="8"/>
      <c r="KQF1" s="9"/>
      <c r="KQG1" s="8"/>
      <c r="KQH1" s="9"/>
      <c r="KQI1" s="8"/>
      <c r="KQJ1" s="9"/>
      <c r="KQK1" s="8"/>
      <c r="KQL1" s="9"/>
      <c r="KQM1" s="8"/>
      <c r="KQN1" s="9"/>
      <c r="KQO1" s="8"/>
      <c r="KQP1" s="9"/>
      <c r="KQQ1" s="8"/>
      <c r="KQR1" s="9"/>
      <c r="KQS1" s="8"/>
      <c r="KQT1" s="9"/>
      <c r="KQU1" s="8"/>
      <c r="KQV1" s="9"/>
      <c r="KQW1" s="8"/>
      <c r="KQX1" s="9"/>
      <c r="KQY1" s="8"/>
      <c r="KQZ1" s="9"/>
      <c r="KRA1" s="8"/>
      <c r="KRB1" s="9"/>
      <c r="KRC1" s="8"/>
      <c r="KRD1" s="9"/>
      <c r="KRE1" s="8"/>
      <c r="KRF1" s="9"/>
      <c r="KRG1" s="8"/>
      <c r="KRH1" s="9"/>
      <c r="KRI1" s="8"/>
      <c r="KRJ1" s="9"/>
      <c r="KRK1" s="8"/>
      <c r="KRL1" s="9"/>
      <c r="KRM1" s="8"/>
      <c r="KRN1" s="9"/>
      <c r="KRO1" s="8"/>
      <c r="KRP1" s="9"/>
      <c r="KRQ1" s="8"/>
      <c r="KRR1" s="9"/>
      <c r="KRS1" s="8"/>
      <c r="KRT1" s="9"/>
      <c r="KRU1" s="8"/>
      <c r="KRV1" s="9"/>
      <c r="KRW1" s="8"/>
      <c r="KRX1" s="9"/>
      <c r="KRY1" s="8"/>
      <c r="KRZ1" s="9"/>
      <c r="KSA1" s="8"/>
      <c r="KSB1" s="9"/>
      <c r="KSC1" s="8"/>
      <c r="KSD1" s="9"/>
      <c r="KSE1" s="8"/>
      <c r="KSF1" s="9"/>
      <c r="KSG1" s="8"/>
      <c r="KSH1" s="9"/>
      <c r="KSI1" s="8"/>
      <c r="KSJ1" s="9"/>
      <c r="KSK1" s="8"/>
      <c r="KSL1" s="9"/>
      <c r="KSM1" s="8"/>
      <c r="KSN1" s="9"/>
      <c r="KSO1" s="8"/>
      <c r="KSP1" s="9"/>
      <c r="KSQ1" s="8"/>
      <c r="KSR1" s="9"/>
      <c r="KSS1" s="8"/>
      <c r="KST1" s="9"/>
      <c r="KSU1" s="8"/>
      <c r="KSV1" s="9"/>
      <c r="KSW1" s="8"/>
      <c r="KSX1" s="9"/>
      <c r="KSY1" s="8"/>
      <c r="KSZ1" s="9"/>
      <c r="KTA1" s="8"/>
      <c r="KTB1" s="9"/>
      <c r="KTC1" s="8"/>
      <c r="KTD1" s="9"/>
      <c r="KTE1" s="8"/>
      <c r="KTF1" s="9"/>
      <c r="KTG1" s="8"/>
      <c r="KTH1" s="9"/>
      <c r="KTI1" s="8"/>
      <c r="KTJ1" s="9"/>
      <c r="KTK1" s="8"/>
      <c r="KTL1" s="9"/>
      <c r="KTM1" s="8"/>
      <c r="KTN1" s="9"/>
      <c r="KTO1" s="8"/>
      <c r="KTP1" s="9"/>
      <c r="KTQ1" s="8"/>
      <c r="KTR1" s="9"/>
      <c r="KTS1" s="8"/>
      <c r="KTT1" s="9"/>
      <c r="KTU1" s="8"/>
      <c r="KTV1" s="9"/>
      <c r="KTW1" s="8"/>
      <c r="KTX1" s="9"/>
      <c r="KTY1" s="8"/>
      <c r="KTZ1" s="9"/>
      <c r="KUA1" s="8"/>
      <c r="KUB1" s="9"/>
      <c r="KUC1" s="8"/>
      <c r="KUD1" s="9"/>
      <c r="KUE1" s="8"/>
      <c r="KUF1" s="9"/>
      <c r="KUG1" s="8"/>
      <c r="KUH1" s="9"/>
      <c r="KUI1" s="8"/>
      <c r="KUJ1" s="9"/>
      <c r="KUK1" s="8"/>
      <c r="KUL1" s="9"/>
      <c r="KUM1" s="8"/>
      <c r="KUN1" s="9"/>
      <c r="KUO1" s="8"/>
      <c r="KUP1" s="9"/>
      <c r="KUQ1" s="8"/>
      <c r="KUR1" s="9"/>
      <c r="KUS1" s="8"/>
      <c r="KUT1" s="9"/>
      <c r="KUU1" s="8"/>
      <c r="KUV1" s="9"/>
      <c r="KUW1" s="8"/>
      <c r="KUX1" s="9"/>
      <c r="KUY1" s="8"/>
      <c r="KUZ1" s="9"/>
      <c r="KVA1" s="8"/>
      <c r="KVB1" s="9"/>
      <c r="KVC1" s="8"/>
      <c r="KVD1" s="9"/>
      <c r="KVE1" s="8"/>
      <c r="KVF1" s="9"/>
      <c r="KVG1" s="8"/>
      <c r="KVH1" s="9"/>
      <c r="KVI1" s="8"/>
      <c r="KVJ1" s="9"/>
      <c r="KVK1" s="8"/>
      <c r="KVL1" s="9"/>
      <c r="KVM1" s="8"/>
      <c r="KVN1" s="9"/>
      <c r="KVO1" s="8"/>
      <c r="KVP1" s="9"/>
      <c r="KVQ1" s="8"/>
      <c r="KVR1" s="9"/>
      <c r="KVS1" s="8"/>
      <c r="KVT1" s="9"/>
      <c r="KVU1" s="8"/>
      <c r="KVV1" s="9"/>
      <c r="KVW1" s="8"/>
      <c r="KVX1" s="9"/>
      <c r="KVY1" s="8"/>
      <c r="KVZ1" s="9"/>
      <c r="KWA1" s="8"/>
      <c r="KWB1" s="9"/>
      <c r="KWC1" s="8"/>
      <c r="KWD1" s="9"/>
      <c r="KWE1" s="8"/>
      <c r="KWF1" s="9"/>
      <c r="KWG1" s="8"/>
      <c r="KWH1" s="9"/>
      <c r="KWI1" s="8"/>
      <c r="KWJ1" s="9"/>
      <c r="KWK1" s="8"/>
      <c r="KWL1" s="9"/>
      <c r="KWM1" s="8"/>
      <c r="KWN1" s="9"/>
      <c r="KWO1" s="8"/>
      <c r="KWP1" s="9"/>
      <c r="KWQ1" s="8"/>
      <c r="KWR1" s="9"/>
      <c r="KWS1" s="8"/>
      <c r="KWT1" s="9"/>
      <c r="KWU1" s="8"/>
      <c r="KWV1" s="9"/>
      <c r="KWW1" s="8"/>
      <c r="KWX1" s="9"/>
      <c r="KWY1" s="8"/>
      <c r="KWZ1" s="9"/>
      <c r="KXA1" s="8"/>
      <c r="KXB1" s="9"/>
      <c r="KXC1" s="8"/>
      <c r="KXD1" s="9"/>
      <c r="KXE1" s="8"/>
      <c r="KXF1" s="9"/>
      <c r="KXG1" s="8"/>
      <c r="KXH1" s="9"/>
      <c r="KXI1" s="8"/>
      <c r="KXJ1" s="9"/>
      <c r="KXK1" s="8"/>
      <c r="KXL1" s="9"/>
      <c r="KXM1" s="8"/>
      <c r="KXN1" s="9"/>
      <c r="KXO1" s="8"/>
      <c r="KXP1" s="9"/>
      <c r="KXQ1" s="8"/>
      <c r="KXR1" s="9"/>
      <c r="KXS1" s="8"/>
      <c r="KXT1" s="9"/>
      <c r="KXU1" s="8"/>
      <c r="KXV1" s="9"/>
      <c r="KXW1" s="8"/>
      <c r="KXX1" s="9"/>
      <c r="KXY1" s="8"/>
      <c r="KXZ1" s="9"/>
      <c r="KYA1" s="8"/>
      <c r="KYB1" s="9"/>
      <c r="KYC1" s="8"/>
      <c r="KYD1" s="9"/>
      <c r="KYE1" s="8"/>
      <c r="KYF1" s="9"/>
      <c r="KYG1" s="8"/>
      <c r="KYH1" s="9"/>
      <c r="KYI1" s="8"/>
      <c r="KYJ1" s="9"/>
      <c r="KYK1" s="8"/>
      <c r="KYL1" s="9"/>
      <c r="KYM1" s="8"/>
      <c r="KYN1" s="9"/>
      <c r="KYO1" s="8"/>
      <c r="KYP1" s="9"/>
      <c r="KYQ1" s="8"/>
      <c r="KYR1" s="9"/>
      <c r="KYS1" s="8"/>
      <c r="KYT1" s="9"/>
      <c r="KYU1" s="8"/>
      <c r="KYV1" s="9"/>
      <c r="KYW1" s="8"/>
      <c r="KYX1" s="9"/>
      <c r="KYY1" s="8"/>
      <c r="KYZ1" s="9"/>
      <c r="KZA1" s="8"/>
      <c r="KZB1" s="9"/>
      <c r="KZC1" s="8"/>
      <c r="KZD1" s="9"/>
      <c r="KZE1" s="8"/>
      <c r="KZF1" s="9"/>
      <c r="KZG1" s="8"/>
      <c r="KZH1" s="9"/>
      <c r="KZI1" s="8"/>
      <c r="KZJ1" s="9"/>
      <c r="KZK1" s="8"/>
      <c r="KZL1" s="9"/>
      <c r="KZM1" s="8"/>
      <c r="KZN1" s="9"/>
      <c r="KZO1" s="8"/>
      <c r="KZP1" s="9"/>
      <c r="KZQ1" s="8"/>
      <c r="KZR1" s="9"/>
      <c r="KZS1" s="8"/>
      <c r="KZT1" s="9"/>
      <c r="KZU1" s="8"/>
      <c r="KZV1" s="9"/>
      <c r="KZW1" s="8"/>
      <c r="KZX1" s="9"/>
      <c r="KZY1" s="8"/>
      <c r="KZZ1" s="9"/>
      <c r="LAA1" s="8"/>
      <c r="LAB1" s="9"/>
      <c r="LAC1" s="8"/>
      <c r="LAD1" s="9"/>
      <c r="LAE1" s="8"/>
      <c r="LAF1" s="9"/>
      <c r="LAG1" s="8"/>
      <c r="LAH1" s="9"/>
      <c r="LAI1" s="8"/>
      <c r="LAJ1" s="9"/>
      <c r="LAK1" s="8"/>
      <c r="LAL1" s="9"/>
      <c r="LAM1" s="8"/>
      <c r="LAN1" s="9"/>
      <c r="LAO1" s="8"/>
      <c r="LAP1" s="9"/>
      <c r="LAQ1" s="8"/>
      <c r="LAR1" s="9"/>
      <c r="LAS1" s="8"/>
      <c r="LAT1" s="9"/>
      <c r="LAU1" s="8"/>
      <c r="LAV1" s="9"/>
      <c r="LAW1" s="8"/>
      <c r="LAX1" s="9"/>
      <c r="LAY1" s="8"/>
      <c r="LAZ1" s="9"/>
      <c r="LBA1" s="8"/>
      <c r="LBB1" s="9"/>
      <c r="LBC1" s="8"/>
      <c r="LBD1" s="9"/>
      <c r="LBE1" s="8"/>
      <c r="LBF1" s="9"/>
      <c r="LBG1" s="8"/>
      <c r="LBH1" s="9"/>
      <c r="LBI1" s="8"/>
      <c r="LBJ1" s="9"/>
      <c r="LBK1" s="8"/>
      <c r="LBL1" s="9"/>
      <c r="LBM1" s="8"/>
      <c r="LBN1" s="9"/>
      <c r="LBO1" s="8"/>
      <c r="LBP1" s="9"/>
      <c r="LBQ1" s="8"/>
      <c r="LBR1" s="9"/>
      <c r="LBS1" s="8"/>
      <c r="LBT1" s="9"/>
      <c r="LBU1" s="8"/>
      <c r="LBV1" s="9"/>
      <c r="LBW1" s="8"/>
      <c r="LBX1" s="9"/>
      <c r="LBY1" s="8"/>
      <c r="LBZ1" s="9"/>
      <c r="LCA1" s="8"/>
      <c r="LCB1" s="9"/>
      <c r="LCC1" s="8"/>
      <c r="LCD1" s="9"/>
      <c r="LCE1" s="8"/>
      <c r="LCF1" s="9"/>
      <c r="LCG1" s="8"/>
      <c r="LCH1" s="9"/>
      <c r="LCI1" s="8"/>
      <c r="LCJ1" s="9"/>
      <c r="LCK1" s="8"/>
      <c r="LCL1" s="9"/>
      <c r="LCM1" s="8"/>
      <c r="LCN1" s="9"/>
      <c r="LCO1" s="8"/>
      <c r="LCP1" s="9"/>
      <c r="LCQ1" s="8"/>
      <c r="LCR1" s="9"/>
      <c r="LCS1" s="8"/>
      <c r="LCT1" s="9"/>
      <c r="LCU1" s="8"/>
      <c r="LCV1" s="9"/>
      <c r="LCW1" s="8"/>
      <c r="LCX1" s="9"/>
      <c r="LCY1" s="8"/>
      <c r="LCZ1" s="9"/>
      <c r="LDA1" s="8"/>
      <c r="LDB1" s="9"/>
      <c r="LDC1" s="8"/>
      <c r="LDD1" s="9"/>
      <c r="LDE1" s="8"/>
      <c r="LDF1" s="9"/>
      <c r="LDG1" s="8"/>
      <c r="LDH1" s="9"/>
      <c r="LDI1" s="8"/>
      <c r="LDJ1" s="9"/>
      <c r="LDK1" s="8"/>
      <c r="LDL1" s="9"/>
      <c r="LDM1" s="8"/>
      <c r="LDN1" s="9"/>
      <c r="LDO1" s="8"/>
      <c r="LDP1" s="9"/>
      <c r="LDQ1" s="8"/>
      <c r="LDR1" s="9"/>
      <c r="LDS1" s="8"/>
      <c r="LDT1" s="9"/>
      <c r="LDU1" s="8"/>
      <c r="LDV1" s="9"/>
      <c r="LDW1" s="8"/>
      <c r="LDX1" s="9"/>
      <c r="LDY1" s="8"/>
      <c r="LDZ1" s="9"/>
      <c r="LEA1" s="8"/>
      <c r="LEB1" s="9"/>
      <c r="LEC1" s="8"/>
      <c r="LED1" s="9"/>
      <c r="LEE1" s="8"/>
      <c r="LEF1" s="9"/>
      <c r="LEG1" s="8"/>
      <c r="LEH1" s="9"/>
      <c r="LEI1" s="8"/>
      <c r="LEJ1" s="9"/>
      <c r="LEK1" s="8"/>
      <c r="LEL1" s="9"/>
      <c r="LEM1" s="8"/>
      <c r="LEN1" s="9"/>
      <c r="LEO1" s="8"/>
      <c r="LEP1" s="9"/>
      <c r="LEQ1" s="8"/>
      <c r="LER1" s="9"/>
      <c r="LES1" s="8"/>
      <c r="LET1" s="9"/>
      <c r="LEU1" s="8"/>
      <c r="LEV1" s="9"/>
      <c r="LEW1" s="8"/>
      <c r="LEX1" s="9"/>
      <c r="LEY1" s="8"/>
      <c r="LEZ1" s="9"/>
      <c r="LFA1" s="8"/>
      <c r="LFB1" s="9"/>
      <c r="LFC1" s="8"/>
      <c r="LFD1" s="9"/>
      <c r="LFE1" s="8"/>
      <c r="LFF1" s="9"/>
      <c r="LFG1" s="8"/>
      <c r="LFH1" s="9"/>
      <c r="LFI1" s="8"/>
      <c r="LFJ1" s="9"/>
      <c r="LFK1" s="8"/>
      <c r="LFL1" s="9"/>
      <c r="LFM1" s="8"/>
      <c r="LFN1" s="9"/>
      <c r="LFO1" s="8"/>
      <c r="LFP1" s="9"/>
      <c r="LFQ1" s="8"/>
      <c r="LFR1" s="9"/>
      <c r="LFS1" s="8"/>
      <c r="LFT1" s="9"/>
      <c r="LFU1" s="8"/>
      <c r="LFV1" s="9"/>
      <c r="LFW1" s="8"/>
      <c r="LFX1" s="9"/>
      <c r="LFY1" s="8"/>
      <c r="LFZ1" s="9"/>
      <c r="LGA1" s="8"/>
      <c r="LGB1" s="9"/>
      <c r="LGC1" s="8"/>
      <c r="LGD1" s="9"/>
      <c r="LGE1" s="8"/>
      <c r="LGF1" s="9"/>
      <c r="LGG1" s="8"/>
      <c r="LGH1" s="9"/>
      <c r="LGI1" s="8"/>
      <c r="LGJ1" s="9"/>
      <c r="LGK1" s="8"/>
      <c r="LGL1" s="9"/>
      <c r="LGM1" s="8"/>
      <c r="LGN1" s="9"/>
      <c r="LGO1" s="8"/>
      <c r="LGP1" s="9"/>
      <c r="LGQ1" s="8"/>
      <c r="LGR1" s="9"/>
      <c r="LGS1" s="8"/>
      <c r="LGT1" s="9"/>
      <c r="LGU1" s="8"/>
      <c r="LGV1" s="9"/>
      <c r="LGW1" s="8"/>
      <c r="LGX1" s="9"/>
      <c r="LGY1" s="8"/>
      <c r="LGZ1" s="9"/>
      <c r="LHA1" s="8"/>
      <c r="LHB1" s="9"/>
      <c r="LHC1" s="8"/>
      <c r="LHD1" s="9"/>
      <c r="LHE1" s="8"/>
      <c r="LHF1" s="9"/>
      <c r="LHG1" s="8"/>
      <c r="LHH1" s="9"/>
      <c r="LHI1" s="8"/>
      <c r="LHJ1" s="9"/>
      <c r="LHK1" s="8"/>
      <c r="LHL1" s="9"/>
      <c r="LHM1" s="8"/>
      <c r="LHN1" s="9"/>
      <c r="LHO1" s="8"/>
      <c r="LHP1" s="9"/>
      <c r="LHQ1" s="8"/>
      <c r="LHR1" s="9"/>
      <c r="LHS1" s="8"/>
      <c r="LHT1" s="9"/>
      <c r="LHU1" s="8"/>
      <c r="LHV1" s="9"/>
      <c r="LHW1" s="8"/>
      <c r="LHX1" s="9"/>
      <c r="LHY1" s="8"/>
      <c r="LHZ1" s="9"/>
      <c r="LIA1" s="8"/>
      <c r="LIB1" s="9"/>
      <c r="LIC1" s="8"/>
      <c r="LID1" s="9"/>
      <c r="LIE1" s="8"/>
      <c r="LIF1" s="9"/>
      <c r="LIG1" s="8"/>
      <c r="LIH1" s="9"/>
      <c r="LII1" s="8"/>
      <c r="LIJ1" s="9"/>
      <c r="LIK1" s="8"/>
      <c r="LIL1" s="9"/>
      <c r="LIM1" s="8"/>
      <c r="LIN1" s="9"/>
      <c r="LIO1" s="8"/>
      <c r="LIP1" s="9"/>
      <c r="LIQ1" s="8"/>
      <c r="LIR1" s="9"/>
      <c r="LIS1" s="8"/>
      <c r="LIT1" s="9"/>
      <c r="LIU1" s="8"/>
      <c r="LIV1" s="9"/>
      <c r="LIW1" s="8"/>
      <c r="LIX1" s="9"/>
      <c r="LIY1" s="8"/>
      <c r="LIZ1" s="9"/>
      <c r="LJA1" s="8"/>
      <c r="LJB1" s="9"/>
      <c r="LJC1" s="8"/>
      <c r="LJD1" s="9"/>
      <c r="LJE1" s="8"/>
      <c r="LJF1" s="9"/>
      <c r="LJG1" s="8"/>
      <c r="LJH1" s="9"/>
      <c r="LJI1" s="8"/>
      <c r="LJJ1" s="9"/>
      <c r="LJK1" s="8"/>
      <c r="LJL1" s="9"/>
      <c r="LJM1" s="8"/>
      <c r="LJN1" s="9"/>
      <c r="LJO1" s="8"/>
      <c r="LJP1" s="9"/>
      <c r="LJQ1" s="8"/>
      <c r="LJR1" s="9"/>
      <c r="LJS1" s="8"/>
      <c r="LJT1" s="9"/>
      <c r="LJU1" s="8"/>
      <c r="LJV1" s="9"/>
      <c r="LJW1" s="8"/>
      <c r="LJX1" s="9"/>
      <c r="LJY1" s="8"/>
      <c r="LJZ1" s="9"/>
      <c r="LKA1" s="8"/>
      <c r="LKB1" s="9"/>
      <c r="LKC1" s="8"/>
      <c r="LKD1" s="9"/>
      <c r="LKE1" s="8"/>
      <c r="LKF1" s="9"/>
      <c r="LKG1" s="8"/>
      <c r="LKH1" s="9"/>
      <c r="LKI1" s="8"/>
      <c r="LKJ1" s="9"/>
      <c r="LKK1" s="8"/>
      <c r="LKL1" s="9"/>
      <c r="LKM1" s="8"/>
      <c r="LKN1" s="9"/>
      <c r="LKO1" s="8"/>
      <c r="LKP1" s="9"/>
      <c r="LKQ1" s="8"/>
      <c r="LKR1" s="9"/>
      <c r="LKS1" s="8"/>
      <c r="LKT1" s="9"/>
      <c r="LKU1" s="8"/>
      <c r="LKV1" s="9"/>
      <c r="LKW1" s="8"/>
      <c r="LKX1" s="9"/>
      <c r="LKY1" s="8"/>
      <c r="LKZ1" s="9"/>
      <c r="LLA1" s="8"/>
      <c r="LLB1" s="9"/>
      <c r="LLC1" s="8"/>
      <c r="LLD1" s="9"/>
      <c r="LLE1" s="8"/>
      <c r="LLF1" s="9"/>
      <c r="LLG1" s="8"/>
      <c r="LLH1" s="9"/>
      <c r="LLI1" s="8"/>
      <c r="LLJ1" s="9"/>
      <c r="LLK1" s="8"/>
      <c r="LLL1" s="9"/>
      <c r="LLM1" s="8"/>
      <c r="LLN1" s="9"/>
      <c r="LLO1" s="8"/>
      <c r="LLP1" s="9"/>
      <c r="LLQ1" s="8"/>
      <c r="LLR1" s="9"/>
      <c r="LLS1" s="8"/>
      <c r="LLT1" s="9"/>
      <c r="LLU1" s="8"/>
      <c r="LLV1" s="9"/>
      <c r="LLW1" s="8"/>
      <c r="LLX1" s="9"/>
      <c r="LLY1" s="8"/>
      <c r="LLZ1" s="9"/>
      <c r="LMA1" s="8"/>
      <c r="LMB1" s="9"/>
      <c r="LMC1" s="8"/>
      <c r="LMD1" s="9"/>
      <c r="LME1" s="8"/>
      <c r="LMF1" s="9"/>
      <c r="LMG1" s="8"/>
      <c r="LMH1" s="9"/>
      <c r="LMI1" s="8"/>
      <c r="LMJ1" s="9"/>
      <c r="LMK1" s="8"/>
      <c r="LML1" s="9"/>
      <c r="LMM1" s="8"/>
      <c r="LMN1" s="9"/>
      <c r="LMO1" s="8"/>
      <c r="LMP1" s="9"/>
      <c r="LMQ1" s="8"/>
      <c r="LMR1" s="9"/>
      <c r="LMS1" s="8"/>
      <c r="LMT1" s="9"/>
      <c r="LMU1" s="8"/>
      <c r="LMV1" s="9"/>
      <c r="LMW1" s="8"/>
      <c r="LMX1" s="9"/>
      <c r="LMY1" s="8"/>
      <c r="LMZ1" s="9"/>
      <c r="LNA1" s="8"/>
      <c r="LNB1" s="9"/>
      <c r="LNC1" s="8"/>
      <c r="LND1" s="9"/>
      <c r="LNE1" s="8"/>
      <c r="LNF1" s="9"/>
      <c r="LNG1" s="8"/>
      <c r="LNH1" s="9"/>
      <c r="LNI1" s="8"/>
      <c r="LNJ1" s="9"/>
      <c r="LNK1" s="8"/>
      <c r="LNL1" s="9"/>
      <c r="LNM1" s="8"/>
      <c r="LNN1" s="9"/>
      <c r="LNO1" s="8"/>
      <c r="LNP1" s="9"/>
      <c r="LNQ1" s="8"/>
      <c r="LNR1" s="9"/>
      <c r="LNS1" s="8"/>
      <c r="LNT1" s="9"/>
      <c r="LNU1" s="8"/>
      <c r="LNV1" s="9"/>
      <c r="LNW1" s="8"/>
      <c r="LNX1" s="9"/>
      <c r="LNY1" s="8"/>
      <c r="LNZ1" s="9"/>
      <c r="LOA1" s="8"/>
      <c r="LOB1" s="9"/>
      <c r="LOC1" s="8"/>
      <c r="LOD1" s="9"/>
      <c r="LOE1" s="8"/>
      <c r="LOF1" s="9"/>
      <c r="LOG1" s="8"/>
      <c r="LOH1" s="9"/>
      <c r="LOI1" s="8"/>
      <c r="LOJ1" s="9"/>
      <c r="LOK1" s="8"/>
      <c r="LOL1" s="9"/>
      <c r="LOM1" s="8"/>
      <c r="LON1" s="9"/>
      <c r="LOO1" s="8"/>
      <c r="LOP1" s="9"/>
      <c r="LOQ1" s="8"/>
      <c r="LOR1" s="9"/>
      <c r="LOS1" s="8"/>
      <c r="LOT1" s="9"/>
      <c r="LOU1" s="8"/>
      <c r="LOV1" s="9"/>
      <c r="LOW1" s="8"/>
      <c r="LOX1" s="9"/>
      <c r="LOY1" s="8"/>
      <c r="LOZ1" s="9"/>
      <c r="LPA1" s="8"/>
      <c r="LPB1" s="9"/>
      <c r="LPC1" s="8"/>
      <c r="LPD1" s="9"/>
      <c r="LPE1" s="8"/>
      <c r="LPF1" s="9"/>
      <c r="LPG1" s="8"/>
      <c r="LPH1" s="9"/>
      <c r="LPI1" s="8"/>
      <c r="LPJ1" s="9"/>
      <c r="LPK1" s="8"/>
      <c r="LPL1" s="9"/>
      <c r="LPM1" s="8"/>
      <c r="LPN1" s="9"/>
      <c r="LPO1" s="8"/>
      <c r="LPP1" s="9"/>
      <c r="LPQ1" s="8"/>
      <c r="LPR1" s="9"/>
      <c r="LPS1" s="8"/>
      <c r="LPT1" s="9"/>
      <c r="LPU1" s="8"/>
      <c r="LPV1" s="9"/>
      <c r="LPW1" s="8"/>
      <c r="LPX1" s="9"/>
      <c r="LPY1" s="8"/>
      <c r="LPZ1" s="9"/>
      <c r="LQA1" s="8"/>
      <c r="LQB1" s="9"/>
      <c r="LQC1" s="8"/>
      <c r="LQD1" s="9"/>
      <c r="LQE1" s="8"/>
      <c r="LQF1" s="9"/>
      <c r="LQG1" s="8"/>
      <c r="LQH1" s="9"/>
      <c r="LQI1" s="8"/>
      <c r="LQJ1" s="9"/>
      <c r="LQK1" s="8"/>
      <c r="LQL1" s="9"/>
      <c r="LQM1" s="8"/>
      <c r="LQN1" s="9"/>
      <c r="LQO1" s="8"/>
      <c r="LQP1" s="9"/>
      <c r="LQQ1" s="8"/>
      <c r="LQR1" s="9"/>
      <c r="LQS1" s="8"/>
      <c r="LQT1" s="9"/>
      <c r="LQU1" s="8"/>
      <c r="LQV1" s="9"/>
      <c r="LQW1" s="8"/>
      <c r="LQX1" s="9"/>
      <c r="LQY1" s="8"/>
      <c r="LQZ1" s="9"/>
      <c r="LRA1" s="8"/>
      <c r="LRB1" s="9"/>
      <c r="LRC1" s="8"/>
      <c r="LRD1" s="9"/>
      <c r="LRE1" s="8"/>
      <c r="LRF1" s="9"/>
      <c r="LRG1" s="8"/>
      <c r="LRH1" s="9"/>
      <c r="LRI1" s="8"/>
      <c r="LRJ1" s="9"/>
      <c r="LRK1" s="8"/>
      <c r="LRL1" s="9"/>
      <c r="LRM1" s="8"/>
      <c r="LRN1" s="9"/>
      <c r="LRO1" s="8"/>
      <c r="LRP1" s="9"/>
      <c r="LRQ1" s="8"/>
      <c r="LRR1" s="9"/>
      <c r="LRS1" s="8"/>
      <c r="LRT1" s="9"/>
      <c r="LRU1" s="8"/>
      <c r="LRV1" s="9"/>
      <c r="LRW1" s="8"/>
      <c r="LRX1" s="9"/>
      <c r="LRY1" s="8"/>
      <c r="LRZ1" s="9"/>
      <c r="LSA1" s="8"/>
      <c r="LSB1" s="9"/>
      <c r="LSC1" s="8"/>
      <c r="LSD1" s="9"/>
      <c r="LSE1" s="8"/>
      <c r="LSF1" s="9"/>
      <c r="LSG1" s="8"/>
      <c r="LSH1" s="9"/>
      <c r="LSI1" s="8"/>
      <c r="LSJ1" s="9"/>
      <c r="LSK1" s="8"/>
      <c r="LSL1" s="9"/>
      <c r="LSM1" s="8"/>
      <c r="LSN1" s="9"/>
      <c r="LSO1" s="8"/>
      <c r="LSP1" s="9"/>
      <c r="LSQ1" s="8"/>
      <c r="LSR1" s="9"/>
      <c r="LSS1" s="8"/>
      <c r="LST1" s="9"/>
      <c r="LSU1" s="8"/>
      <c r="LSV1" s="9"/>
      <c r="LSW1" s="8"/>
      <c r="LSX1" s="9"/>
      <c r="LSY1" s="8"/>
      <c r="LSZ1" s="9"/>
      <c r="LTA1" s="8"/>
      <c r="LTB1" s="9"/>
      <c r="LTC1" s="8"/>
      <c r="LTD1" s="9"/>
      <c r="LTE1" s="8"/>
      <c r="LTF1" s="9"/>
      <c r="LTG1" s="8"/>
      <c r="LTH1" s="9"/>
      <c r="LTI1" s="8"/>
      <c r="LTJ1" s="9"/>
      <c r="LTK1" s="8"/>
      <c r="LTL1" s="9"/>
      <c r="LTM1" s="8"/>
      <c r="LTN1" s="9"/>
      <c r="LTO1" s="8"/>
      <c r="LTP1" s="9"/>
      <c r="LTQ1" s="8"/>
      <c r="LTR1" s="9"/>
      <c r="LTS1" s="8"/>
      <c r="LTT1" s="9"/>
      <c r="LTU1" s="8"/>
      <c r="LTV1" s="9"/>
      <c r="LTW1" s="8"/>
      <c r="LTX1" s="9"/>
      <c r="LTY1" s="8"/>
      <c r="LTZ1" s="9"/>
      <c r="LUA1" s="8"/>
      <c r="LUB1" s="9"/>
      <c r="LUC1" s="8"/>
      <c r="LUD1" s="9"/>
      <c r="LUE1" s="8"/>
      <c r="LUF1" s="9"/>
      <c r="LUG1" s="8"/>
      <c r="LUH1" s="9"/>
      <c r="LUI1" s="8"/>
      <c r="LUJ1" s="9"/>
      <c r="LUK1" s="8"/>
      <c r="LUL1" s="9"/>
      <c r="LUM1" s="8"/>
      <c r="LUN1" s="9"/>
      <c r="LUO1" s="8"/>
      <c r="LUP1" s="9"/>
      <c r="LUQ1" s="8"/>
      <c r="LUR1" s="9"/>
      <c r="LUS1" s="8"/>
      <c r="LUT1" s="9"/>
      <c r="LUU1" s="8"/>
      <c r="LUV1" s="9"/>
      <c r="LUW1" s="8"/>
      <c r="LUX1" s="9"/>
      <c r="LUY1" s="8"/>
      <c r="LUZ1" s="9"/>
      <c r="LVA1" s="8"/>
      <c r="LVB1" s="9"/>
      <c r="LVC1" s="8"/>
      <c r="LVD1" s="9"/>
      <c r="LVE1" s="8"/>
      <c r="LVF1" s="9"/>
      <c r="LVG1" s="8"/>
      <c r="LVH1" s="9"/>
      <c r="LVI1" s="8"/>
      <c r="LVJ1" s="9"/>
      <c r="LVK1" s="8"/>
      <c r="LVL1" s="9"/>
      <c r="LVM1" s="8"/>
      <c r="LVN1" s="9"/>
      <c r="LVO1" s="8"/>
      <c r="LVP1" s="9"/>
      <c r="LVQ1" s="8"/>
      <c r="LVR1" s="9"/>
      <c r="LVS1" s="8"/>
      <c r="LVT1" s="9"/>
      <c r="LVU1" s="8"/>
      <c r="LVV1" s="9"/>
      <c r="LVW1" s="8"/>
      <c r="LVX1" s="9"/>
      <c r="LVY1" s="8"/>
      <c r="LVZ1" s="9"/>
      <c r="LWA1" s="8"/>
      <c r="LWB1" s="9"/>
      <c r="LWC1" s="8"/>
      <c r="LWD1" s="9"/>
      <c r="LWE1" s="8"/>
      <c r="LWF1" s="9"/>
      <c r="LWG1" s="8"/>
      <c r="LWH1" s="9"/>
      <c r="LWI1" s="8"/>
      <c r="LWJ1" s="9"/>
      <c r="LWK1" s="8"/>
      <c r="LWL1" s="9"/>
      <c r="LWM1" s="8"/>
      <c r="LWN1" s="9"/>
      <c r="LWO1" s="8"/>
      <c r="LWP1" s="9"/>
      <c r="LWQ1" s="8"/>
      <c r="LWR1" s="9"/>
      <c r="LWS1" s="8"/>
      <c r="LWT1" s="9"/>
      <c r="LWU1" s="8"/>
      <c r="LWV1" s="9"/>
      <c r="LWW1" s="8"/>
      <c r="LWX1" s="9"/>
      <c r="LWY1" s="8"/>
      <c r="LWZ1" s="9"/>
      <c r="LXA1" s="8"/>
      <c r="LXB1" s="9"/>
      <c r="LXC1" s="8"/>
      <c r="LXD1" s="9"/>
      <c r="LXE1" s="8"/>
      <c r="LXF1" s="9"/>
      <c r="LXG1" s="8"/>
      <c r="LXH1" s="9"/>
      <c r="LXI1" s="8"/>
      <c r="LXJ1" s="9"/>
      <c r="LXK1" s="8"/>
      <c r="LXL1" s="9"/>
      <c r="LXM1" s="8"/>
      <c r="LXN1" s="9"/>
      <c r="LXO1" s="8"/>
      <c r="LXP1" s="9"/>
      <c r="LXQ1" s="8"/>
      <c r="LXR1" s="9"/>
      <c r="LXS1" s="8"/>
      <c r="LXT1" s="9"/>
      <c r="LXU1" s="8"/>
      <c r="LXV1" s="9"/>
      <c r="LXW1" s="8"/>
      <c r="LXX1" s="9"/>
      <c r="LXY1" s="8"/>
      <c r="LXZ1" s="9"/>
      <c r="LYA1" s="8"/>
      <c r="LYB1" s="9"/>
      <c r="LYC1" s="8"/>
      <c r="LYD1" s="9"/>
      <c r="LYE1" s="8"/>
      <c r="LYF1" s="9"/>
      <c r="LYG1" s="8"/>
      <c r="LYH1" s="9"/>
      <c r="LYI1" s="8"/>
      <c r="LYJ1" s="9"/>
      <c r="LYK1" s="8"/>
      <c r="LYL1" s="9"/>
      <c r="LYM1" s="8"/>
      <c r="LYN1" s="9"/>
      <c r="LYO1" s="8"/>
      <c r="LYP1" s="9"/>
      <c r="LYQ1" s="8"/>
      <c r="LYR1" s="9"/>
      <c r="LYS1" s="8"/>
      <c r="LYT1" s="9"/>
      <c r="LYU1" s="8"/>
      <c r="LYV1" s="9"/>
      <c r="LYW1" s="8"/>
      <c r="LYX1" s="9"/>
      <c r="LYY1" s="8"/>
      <c r="LYZ1" s="9"/>
      <c r="LZA1" s="8"/>
      <c r="LZB1" s="9"/>
      <c r="LZC1" s="8"/>
      <c r="LZD1" s="9"/>
      <c r="LZE1" s="8"/>
      <c r="LZF1" s="9"/>
      <c r="LZG1" s="8"/>
      <c r="LZH1" s="9"/>
      <c r="LZI1" s="8"/>
      <c r="LZJ1" s="9"/>
      <c r="LZK1" s="8"/>
      <c r="LZL1" s="9"/>
      <c r="LZM1" s="8"/>
      <c r="LZN1" s="9"/>
      <c r="LZO1" s="8"/>
      <c r="LZP1" s="9"/>
      <c r="LZQ1" s="8"/>
      <c r="LZR1" s="9"/>
      <c r="LZS1" s="8"/>
      <c r="LZT1" s="9"/>
      <c r="LZU1" s="8"/>
      <c r="LZV1" s="9"/>
      <c r="LZW1" s="8"/>
      <c r="LZX1" s="9"/>
      <c r="LZY1" s="8"/>
      <c r="LZZ1" s="9"/>
      <c r="MAA1" s="8"/>
      <c r="MAB1" s="9"/>
      <c r="MAC1" s="8"/>
      <c r="MAD1" s="9"/>
      <c r="MAE1" s="8"/>
      <c r="MAF1" s="9"/>
      <c r="MAG1" s="8"/>
      <c r="MAH1" s="9"/>
      <c r="MAI1" s="8"/>
      <c r="MAJ1" s="9"/>
      <c r="MAK1" s="8"/>
      <c r="MAL1" s="9"/>
      <c r="MAM1" s="8"/>
      <c r="MAN1" s="9"/>
      <c r="MAO1" s="8"/>
      <c r="MAP1" s="9"/>
      <c r="MAQ1" s="8"/>
      <c r="MAR1" s="9"/>
      <c r="MAS1" s="8"/>
      <c r="MAT1" s="9"/>
      <c r="MAU1" s="8"/>
      <c r="MAV1" s="9"/>
      <c r="MAW1" s="8"/>
      <c r="MAX1" s="9"/>
      <c r="MAY1" s="8"/>
      <c r="MAZ1" s="9"/>
      <c r="MBA1" s="8"/>
      <c r="MBB1" s="9"/>
      <c r="MBC1" s="8"/>
      <c r="MBD1" s="9"/>
      <c r="MBE1" s="8"/>
      <c r="MBF1" s="9"/>
      <c r="MBG1" s="8"/>
      <c r="MBH1" s="9"/>
      <c r="MBI1" s="8"/>
      <c r="MBJ1" s="9"/>
      <c r="MBK1" s="8"/>
      <c r="MBL1" s="9"/>
      <c r="MBM1" s="8"/>
      <c r="MBN1" s="9"/>
      <c r="MBO1" s="8"/>
      <c r="MBP1" s="9"/>
      <c r="MBQ1" s="8"/>
      <c r="MBR1" s="9"/>
      <c r="MBS1" s="8"/>
      <c r="MBT1" s="9"/>
      <c r="MBU1" s="8"/>
      <c r="MBV1" s="9"/>
      <c r="MBW1" s="8"/>
      <c r="MBX1" s="9"/>
      <c r="MBY1" s="8"/>
      <c r="MBZ1" s="9"/>
      <c r="MCA1" s="8"/>
      <c r="MCB1" s="9"/>
      <c r="MCC1" s="8"/>
      <c r="MCD1" s="9"/>
      <c r="MCE1" s="8"/>
      <c r="MCF1" s="9"/>
      <c r="MCG1" s="8"/>
      <c r="MCH1" s="9"/>
      <c r="MCI1" s="8"/>
      <c r="MCJ1" s="9"/>
      <c r="MCK1" s="8"/>
      <c r="MCL1" s="9"/>
      <c r="MCM1" s="8"/>
      <c r="MCN1" s="9"/>
      <c r="MCO1" s="8"/>
      <c r="MCP1" s="9"/>
      <c r="MCQ1" s="8"/>
      <c r="MCR1" s="9"/>
      <c r="MCS1" s="8"/>
      <c r="MCT1" s="9"/>
      <c r="MCU1" s="8"/>
      <c r="MCV1" s="9"/>
      <c r="MCW1" s="8"/>
      <c r="MCX1" s="9"/>
      <c r="MCY1" s="8"/>
      <c r="MCZ1" s="9"/>
      <c r="MDA1" s="8"/>
      <c r="MDB1" s="9"/>
      <c r="MDC1" s="8"/>
      <c r="MDD1" s="9"/>
      <c r="MDE1" s="8"/>
      <c r="MDF1" s="9"/>
      <c r="MDG1" s="8"/>
      <c r="MDH1" s="9"/>
      <c r="MDI1" s="8"/>
      <c r="MDJ1" s="9"/>
      <c r="MDK1" s="8"/>
      <c r="MDL1" s="9"/>
      <c r="MDM1" s="8"/>
      <c r="MDN1" s="9"/>
      <c r="MDO1" s="8"/>
      <c r="MDP1" s="9"/>
      <c r="MDQ1" s="8"/>
      <c r="MDR1" s="9"/>
      <c r="MDS1" s="8"/>
      <c r="MDT1" s="9"/>
      <c r="MDU1" s="8"/>
      <c r="MDV1" s="9"/>
      <c r="MDW1" s="8"/>
      <c r="MDX1" s="9"/>
      <c r="MDY1" s="8"/>
      <c r="MDZ1" s="9"/>
      <c r="MEA1" s="8"/>
      <c r="MEB1" s="9"/>
      <c r="MEC1" s="8"/>
      <c r="MED1" s="9"/>
      <c r="MEE1" s="8"/>
      <c r="MEF1" s="9"/>
      <c r="MEG1" s="8"/>
      <c r="MEH1" s="9"/>
      <c r="MEI1" s="8"/>
      <c r="MEJ1" s="9"/>
      <c r="MEK1" s="8"/>
      <c r="MEL1" s="9"/>
      <c r="MEM1" s="8"/>
      <c r="MEN1" s="9"/>
      <c r="MEO1" s="8"/>
      <c r="MEP1" s="9"/>
      <c r="MEQ1" s="8"/>
      <c r="MER1" s="9"/>
      <c r="MES1" s="8"/>
      <c r="MET1" s="9"/>
      <c r="MEU1" s="8"/>
      <c r="MEV1" s="9"/>
      <c r="MEW1" s="8"/>
      <c r="MEX1" s="9"/>
      <c r="MEY1" s="8"/>
      <c r="MEZ1" s="9"/>
      <c r="MFA1" s="8"/>
      <c r="MFB1" s="9"/>
      <c r="MFC1" s="8"/>
      <c r="MFD1" s="9"/>
      <c r="MFE1" s="8"/>
      <c r="MFF1" s="9"/>
      <c r="MFG1" s="8"/>
      <c r="MFH1" s="9"/>
      <c r="MFI1" s="8"/>
      <c r="MFJ1" s="9"/>
      <c r="MFK1" s="8"/>
      <c r="MFL1" s="9"/>
      <c r="MFM1" s="8"/>
      <c r="MFN1" s="9"/>
      <c r="MFO1" s="8"/>
      <c r="MFP1" s="9"/>
      <c r="MFQ1" s="8"/>
      <c r="MFR1" s="9"/>
      <c r="MFS1" s="8"/>
      <c r="MFT1" s="9"/>
      <c r="MFU1" s="8"/>
      <c r="MFV1" s="9"/>
      <c r="MFW1" s="8"/>
      <c r="MFX1" s="9"/>
      <c r="MFY1" s="8"/>
      <c r="MFZ1" s="9"/>
      <c r="MGA1" s="8"/>
      <c r="MGB1" s="9"/>
      <c r="MGC1" s="8"/>
      <c r="MGD1" s="9"/>
      <c r="MGE1" s="8"/>
      <c r="MGF1" s="9"/>
      <c r="MGG1" s="8"/>
      <c r="MGH1" s="9"/>
      <c r="MGI1" s="8"/>
      <c r="MGJ1" s="9"/>
      <c r="MGK1" s="8"/>
      <c r="MGL1" s="9"/>
      <c r="MGM1" s="8"/>
      <c r="MGN1" s="9"/>
      <c r="MGO1" s="8"/>
      <c r="MGP1" s="9"/>
      <c r="MGQ1" s="8"/>
      <c r="MGR1" s="9"/>
      <c r="MGS1" s="8"/>
      <c r="MGT1" s="9"/>
      <c r="MGU1" s="8"/>
      <c r="MGV1" s="9"/>
      <c r="MGW1" s="8"/>
      <c r="MGX1" s="9"/>
      <c r="MGY1" s="8"/>
      <c r="MGZ1" s="9"/>
      <c r="MHA1" s="8"/>
      <c r="MHB1" s="9"/>
      <c r="MHC1" s="8"/>
      <c r="MHD1" s="9"/>
      <c r="MHE1" s="8"/>
      <c r="MHF1" s="9"/>
      <c r="MHG1" s="8"/>
      <c r="MHH1" s="9"/>
      <c r="MHI1" s="8"/>
      <c r="MHJ1" s="9"/>
      <c r="MHK1" s="8"/>
      <c r="MHL1" s="9"/>
      <c r="MHM1" s="8"/>
      <c r="MHN1" s="9"/>
      <c r="MHO1" s="8"/>
      <c r="MHP1" s="9"/>
      <c r="MHQ1" s="8"/>
      <c r="MHR1" s="9"/>
      <c r="MHS1" s="8"/>
      <c r="MHT1" s="9"/>
      <c r="MHU1" s="8"/>
      <c r="MHV1" s="9"/>
      <c r="MHW1" s="8"/>
      <c r="MHX1" s="9"/>
      <c r="MHY1" s="8"/>
      <c r="MHZ1" s="9"/>
      <c r="MIA1" s="8"/>
      <c r="MIB1" s="9"/>
      <c r="MIC1" s="8"/>
      <c r="MID1" s="9"/>
      <c r="MIE1" s="8"/>
      <c r="MIF1" s="9"/>
      <c r="MIG1" s="8"/>
      <c r="MIH1" s="9"/>
      <c r="MII1" s="8"/>
      <c r="MIJ1" s="9"/>
      <c r="MIK1" s="8"/>
      <c r="MIL1" s="9"/>
      <c r="MIM1" s="8"/>
      <c r="MIN1" s="9"/>
      <c r="MIO1" s="8"/>
      <c r="MIP1" s="9"/>
      <c r="MIQ1" s="8"/>
      <c r="MIR1" s="9"/>
      <c r="MIS1" s="8"/>
      <c r="MIT1" s="9"/>
      <c r="MIU1" s="8"/>
      <c r="MIV1" s="9"/>
      <c r="MIW1" s="8"/>
      <c r="MIX1" s="9"/>
      <c r="MIY1" s="8"/>
      <c r="MIZ1" s="9"/>
      <c r="MJA1" s="8"/>
      <c r="MJB1" s="9"/>
      <c r="MJC1" s="8"/>
      <c r="MJD1" s="9"/>
      <c r="MJE1" s="8"/>
      <c r="MJF1" s="9"/>
      <c r="MJG1" s="8"/>
      <c r="MJH1" s="9"/>
      <c r="MJI1" s="8"/>
      <c r="MJJ1" s="9"/>
      <c r="MJK1" s="8"/>
      <c r="MJL1" s="9"/>
      <c r="MJM1" s="8"/>
      <c r="MJN1" s="9"/>
      <c r="MJO1" s="8"/>
      <c r="MJP1" s="9"/>
      <c r="MJQ1" s="8"/>
      <c r="MJR1" s="9"/>
      <c r="MJS1" s="8"/>
      <c r="MJT1" s="9"/>
      <c r="MJU1" s="8"/>
      <c r="MJV1" s="9"/>
      <c r="MJW1" s="8"/>
      <c r="MJX1" s="9"/>
      <c r="MJY1" s="8"/>
      <c r="MJZ1" s="9"/>
      <c r="MKA1" s="8"/>
      <c r="MKB1" s="9"/>
      <c r="MKC1" s="8"/>
      <c r="MKD1" s="9"/>
      <c r="MKE1" s="8"/>
      <c r="MKF1" s="9"/>
      <c r="MKG1" s="8"/>
      <c r="MKH1" s="9"/>
      <c r="MKI1" s="8"/>
      <c r="MKJ1" s="9"/>
      <c r="MKK1" s="8"/>
      <c r="MKL1" s="9"/>
      <c r="MKM1" s="8"/>
      <c r="MKN1" s="9"/>
      <c r="MKO1" s="8"/>
      <c r="MKP1" s="9"/>
      <c r="MKQ1" s="8"/>
      <c r="MKR1" s="9"/>
      <c r="MKS1" s="8"/>
      <c r="MKT1" s="9"/>
      <c r="MKU1" s="8"/>
      <c r="MKV1" s="9"/>
      <c r="MKW1" s="8"/>
      <c r="MKX1" s="9"/>
      <c r="MKY1" s="8"/>
      <c r="MKZ1" s="9"/>
      <c r="MLA1" s="8"/>
      <c r="MLB1" s="9"/>
      <c r="MLC1" s="8"/>
      <c r="MLD1" s="9"/>
      <c r="MLE1" s="8"/>
      <c r="MLF1" s="9"/>
      <c r="MLG1" s="8"/>
      <c r="MLH1" s="9"/>
      <c r="MLI1" s="8"/>
      <c r="MLJ1" s="9"/>
      <c r="MLK1" s="8"/>
      <c r="MLL1" s="9"/>
      <c r="MLM1" s="8"/>
      <c r="MLN1" s="9"/>
      <c r="MLO1" s="8"/>
      <c r="MLP1" s="9"/>
      <c r="MLQ1" s="8"/>
      <c r="MLR1" s="9"/>
      <c r="MLS1" s="8"/>
      <c r="MLT1" s="9"/>
      <c r="MLU1" s="8"/>
      <c r="MLV1" s="9"/>
      <c r="MLW1" s="8"/>
      <c r="MLX1" s="9"/>
      <c r="MLY1" s="8"/>
      <c r="MLZ1" s="9"/>
      <c r="MMA1" s="8"/>
      <c r="MMB1" s="9"/>
      <c r="MMC1" s="8"/>
      <c r="MMD1" s="9"/>
      <c r="MME1" s="8"/>
      <c r="MMF1" s="9"/>
      <c r="MMG1" s="8"/>
      <c r="MMH1" s="9"/>
      <c r="MMI1" s="8"/>
      <c r="MMJ1" s="9"/>
      <c r="MMK1" s="8"/>
      <c r="MML1" s="9"/>
      <c r="MMM1" s="8"/>
      <c r="MMN1" s="9"/>
      <c r="MMO1" s="8"/>
      <c r="MMP1" s="9"/>
      <c r="MMQ1" s="8"/>
      <c r="MMR1" s="9"/>
      <c r="MMS1" s="8"/>
      <c r="MMT1" s="9"/>
      <c r="MMU1" s="8"/>
      <c r="MMV1" s="9"/>
      <c r="MMW1" s="8"/>
      <c r="MMX1" s="9"/>
      <c r="MMY1" s="8"/>
      <c r="MMZ1" s="9"/>
      <c r="MNA1" s="8"/>
      <c r="MNB1" s="9"/>
      <c r="MNC1" s="8"/>
      <c r="MND1" s="9"/>
      <c r="MNE1" s="8"/>
      <c r="MNF1" s="9"/>
      <c r="MNG1" s="8"/>
      <c r="MNH1" s="9"/>
      <c r="MNI1" s="8"/>
      <c r="MNJ1" s="9"/>
      <c r="MNK1" s="8"/>
      <c r="MNL1" s="9"/>
      <c r="MNM1" s="8"/>
      <c r="MNN1" s="9"/>
      <c r="MNO1" s="8"/>
      <c r="MNP1" s="9"/>
      <c r="MNQ1" s="8"/>
      <c r="MNR1" s="9"/>
      <c r="MNS1" s="8"/>
      <c r="MNT1" s="9"/>
      <c r="MNU1" s="8"/>
      <c r="MNV1" s="9"/>
      <c r="MNW1" s="8"/>
      <c r="MNX1" s="9"/>
      <c r="MNY1" s="8"/>
      <c r="MNZ1" s="9"/>
      <c r="MOA1" s="8"/>
      <c r="MOB1" s="9"/>
      <c r="MOC1" s="8"/>
      <c r="MOD1" s="9"/>
      <c r="MOE1" s="8"/>
      <c r="MOF1" s="9"/>
      <c r="MOG1" s="8"/>
      <c r="MOH1" s="9"/>
      <c r="MOI1" s="8"/>
      <c r="MOJ1" s="9"/>
      <c r="MOK1" s="8"/>
      <c r="MOL1" s="9"/>
      <c r="MOM1" s="8"/>
      <c r="MON1" s="9"/>
      <c r="MOO1" s="8"/>
      <c r="MOP1" s="9"/>
      <c r="MOQ1" s="8"/>
      <c r="MOR1" s="9"/>
      <c r="MOS1" s="8"/>
      <c r="MOT1" s="9"/>
      <c r="MOU1" s="8"/>
      <c r="MOV1" s="9"/>
      <c r="MOW1" s="8"/>
      <c r="MOX1" s="9"/>
      <c r="MOY1" s="8"/>
      <c r="MOZ1" s="9"/>
      <c r="MPA1" s="8"/>
      <c r="MPB1" s="9"/>
      <c r="MPC1" s="8"/>
      <c r="MPD1" s="9"/>
      <c r="MPE1" s="8"/>
      <c r="MPF1" s="9"/>
      <c r="MPG1" s="8"/>
      <c r="MPH1" s="9"/>
      <c r="MPI1" s="8"/>
      <c r="MPJ1" s="9"/>
      <c r="MPK1" s="8"/>
      <c r="MPL1" s="9"/>
      <c r="MPM1" s="8"/>
      <c r="MPN1" s="9"/>
      <c r="MPO1" s="8"/>
      <c r="MPP1" s="9"/>
      <c r="MPQ1" s="8"/>
      <c r="MPR1" s="9"/>
      <c r="MPS1" s="8"/>
      <c r="MPT1" s="9"/>
      <c r="MPU1" s="8"/>
      <c r="MPV1" s="9"/>
      <c r="MPW1" s="8"/>
      <c r="MPX1" s="9"/>
      <c r="MPY1" s="8"/>
      <c r="MPZ1" s="9"/>
      <c r="MQA1" s="8"/>
      <c r="MQB1" s="9"/>
      <c r="MQC1" s="8"/>
      <c r="MQD1" s="9"/>
      <c r="MQE1" s="8"/>
      <c r="MQF1" s="9"/>
      <c r="MQG1" s="8"/>
      <c r="MQH1" s="9"/>
      <c r="MQI1" s="8"/>
      <c r="MQJ1" s="9"/>
      <c r="MQK1" s="8"/>
      <c r="MQL1" s="9"/>
      <c r="MQM1" s="8"/>
      <c r="MQN1" s="9"/>
      <c r="MQO1" s="8"/>
      <c r="MQP1" s="9"/>
      <c r="MQQ1" s="8"/>
      <c r="MQR1" s="9"/>
      <c r="MQS1" s="8"/>
      <c r="MQT1" s="9"/>
      <c r="MQU1" s="8"/>
      <c r="MQV1" s="9"/>
      <c r="MQW1" s="8"/>
      <c r="MQX1" s="9"/>
      <c r="MQY1" s="8"/>
      <c r="MQZ1" s="9"/>
      <c r="MRA1" s="8"/>
      <c r="MRB1" s="9"/>
      <c r="MRC1" s="8"/>
      <c r="MRD1" s="9"/>
      <c r="MRE1" s="8"/>
      <c r="MRF1" s="9"/>
      <c r="MRG1" s="8"/>
      <c r="MRH1" s="9"/>
      <c r="MRI1" s="8"/>
      <c r="MRJ1" s="9"/>
      <c r="MRK1" s="8"/>
      <c r="MRL1" s="9"/>
      <c r="MRM1" s="8"/>
      <c r="MRN1" s="9"/>
      <c r="MRO1" s="8"/>
      <c r="MRP1" s="9"/>
      <c r="MRQ1" s="8"/>
      <c r="MRR1" s="9"/>
      <c r="MRS1" s="8"/>
      <c r="MRT1" s="9"/>
      <c r="MRU1" s="8"/>
      <c r="MRV1" s="9"/>
      <c r="MRW1" s="8"/>
      <c r="MRX1" s="9"/>
      <c r="MRY1" s="8"/>
      <c r="MRZ1" s="9"/>
      <c r="MSA1" s="8"/>
      <c r="MSB1" s="9"/>
      <c r="MSC1" s="8"/>
      <c r="MSD1" s="9"/>
      <c r="MSE1" s="8"/>
      <c r="MSF1" s="9"/>
      <c r="MSG1" s="8"/>
      <c r="MSH1" s="9"/>
      <c r="MSI1" s="8"/>
      <c r="MSJ1" s="9"/>
      <c r="MSK1" s="8"/>
      <c r="MSL1" s="9"/>
      <c r="MSM1" s="8"/>
      <c r="MSN1" s="9"/>
      <c r="MSO1" s="8"/>
      <c r="MSP1" s="9"/>
      <c r="MSQ1" s="8"/>
      <c r="MSR1" s="9"/>
      <c r="MSS1" s="8"/>
      <c r="MST1" s="9"/>
      <c r="MSU1" s="8"/>
      <c r="MSV1" s="9"/>
      <c r="MSW1" s="8"/>
      <c r="MSX1" s="9"/>
      <c r="MSY1" s="8"/>
      <c r="MSZ1" s="9"/>
      <c r="MTA1" s="8"/>
      <c r="MTB1" s="9"/>
      <c r="MTC1" s="8"/>
      <c r="MTD1" s="9"/>
      <c r="MTE1" s="8"/>
      <c r="MTF1" s="9"/>
      <c r="MTG1" s="8"/>
      <c r="MTH1" s="9"/>
      <c r="MTI1" s="8"/>
      <c r="MTJ1" s="9"/>
      <c r="MTK1" s="8"/>
      <c r="MTL1" s="9"/>
      <c r="MTM1" s="8"/>
      <c r="MTN1" s="9"/>
      <c r="MTO1" s="8"/>
      <c r="MTP1" s="9"/>
      <c r="MTQ1" s="8"/>
      <c r="MTR1" s="9"/>
      <c r="MTS1" s="8"/>
      <c r="MTT1" s="9"/>
      <c r="MTU1" s="8"/>
      <c r="MTV1" s="9"/>
      <c r="MTW1" s="8"/>
      <c r="MTX1" s="9"/>
      <c r="MTY1" s="8"/>
      <c r="MTZ1" s="9"/>
      <c r="MUA1" s="8"/>
      <c r="MUB1" s="9"/>
      <c r="MUC1" s="8"/>
      <c r="MUD1" s="9"/>
      <c r="MUE1" s="8"/>
      <c r="MUF1" s="9"/>
      <c r="MUG1" s="8"/>
      <c r="MUH1" s="9"/>
      <c r="MUI1" s="8"/>
      <c r="MUJ1" s="9"/>
      <c r="MUK1" s="8"/>
      <c r="MUL1" s="9"/>
      <c r="MUM1" s="8"/>
      <c r="MUN1" s="9"/>
      <c r="MUO1" s="8"/>
      <c r="MUP1" s="9"/>
      <c r="MUQ1" s="8"/>
      <c r="MUR1" s="9"/>
      <c r="MUS1" s="8"/>
      <c r="MUT1" s="9"/>
      <c r="MUU1" s="8"/>
      <c r="MUV1" s="9"/>
      <c r="MUW1" s="8"/>
      <c r="MUX1" s="9"/>
      <c r="MUY1" s="8"/>
      <c r="MUZ1" s="9"/>
      <c r="MVA1" s="8"/>
      <c r="MVB1" s="9"/>
      <c r="MVC1" s="8"/>
      <c r="MVD1" s="9"/>
      <c r="MVE1" s="8"/>
      <c r="MVF1" s="9"/>
      <c r="MVG1" s="8"/>
      <c r="MVH1" s="9"/>
      <c r="MVI1" s="8"/>
      <c r="MVJ1" s="9"/>
      <c r="MVK1" s="8"/>
      <c r="MVL1" s="9"/>
      <c r="MVM1" s="8"/>
      <c r="MVN1" s="9"/>
      <c r="MVO1" s="8"/>
      <c r="MVP1" s="9"/>
      <c r="MVQ1" s="8"/>
      <c r="MVR1" s="9"/>
      <c r="MVS1" s="8"/>
      <c r="MVT1" s="9"/>
      <c r="MVU1" s="8"/>
      <c r="MVV1" s="9"/>
      <c r="MVW1" s="8"/>
      <c r="MVX1" s="9"/>
      <c r="MVY1" s="8"/>
      <c r="MVZ1" s="9"/>
      <c r="MWA1" s="8"/>
      <c r="MWB1" s="9"/>
      <c r="MWC1" s="8"/>
      <c r="MWD1" s="9"/>
      <c r="MWE1" s="8"/>
      <c r="MWF1" s="9"/>
      <c r="MWG1" s="8"/>
      <c r="MWH1" s="9"/>
      <c r="MWI1" s="8"/>
      <c r="MWJ1" s="9"/>
      <c r="MWK1" s="8"/>
      <c r="MWL1" s="9"/>
      <c r="MWM1" s="8"/>
      <c r="MWN1" s="9"/>
      <c r="MWO1" s="8"/>
      <c r="MWP1" s="9"/>
      <c r="MWQ1" s="8"/>
      <c r="MWR1" s="9"/>
      <c r="MWS1" s="8"/>
      <c r="MWT1" s="9"/>
      <c r="MWU1" s="8"/>
      <c r="MWV1" s="9"/>
      <c r="MWW1" s="8"/>
      <c r="MWX1" s="9"/>
      <c r="MWY1" s="8"/>
      <c r="MWZ1" s="9"/>
      <c r="MXA1" s="8"/>
      <c r="MXB1" s="9"/>
      <c r="MXC1" s="8"/>
      <c r="MXD1" s="9"/>
      <c r="MXE1" s="8"/>
      <c r="MXF1" s="9"/>
      <c r="MXG1" s="8"/>
      <c r="MXH1" s="9"/>
      <c r="MXI1" s="8"/>
      <c r="MXJ1" s="9"/>
      <c r="MXK1" s="8"/>
      <c r="MXL1" s="9"/>
      <c r="MXM1" s="8"/>
      <c r="MXN1" s="9"/>
      <c r="MXO1" s="8"/>
      <c r="MXP1" s="9"/>
      <c r="MXQ1" s="8"/>
      <c r="MXR1" s="9"/>
      <c r="MXS1" s="8"/>
      <c r="MXT1" s="9"/>
      <c r="MXU1" s="8"/>
      <c r="MXV1" s="9"/>
      <c r="MXW1" s="8"/>
      <c r="MXX1" s="9"/>
      <c r="MXY1" s="8"/>
      <c r="MXZ1" s="9"/>
      <c r="MYA1" s="8"/>
      <c r="MYB1" s="9"/>
      <c r="MYC1" s="8"/>
      <c r="MYD1" s="9"/>
      <c r="MYE1" s="8"/>
      <c r="MYF1" s="9"/>
      <c r="MYG1" s="8"/>
      <c r="MYH1" s="9"/>
      <c r="MYI1" s="8"/>
      <c r="MYJ1" s="9"/>
      <c r="MYK1" s="8"/>
      <c r="MYL1" s="9"/>
      <c r="MYM1" s="8"/>
      <c r="MYN1" s="9"/>
      <c r="MYO1" s="8"/>
      <c r="MYP1" s="9"/>
      <c r="MYQ1" s="8"/>
      <c r="MYR1" s="9"/>
      <c r="MYS1" s="8"/>
      <c r="MYT1" s="9"/>
      <c r="MYU1" s="8"/>
      <c r="MYV1" s="9"/>
      <c r="MYW1" s="8"/>
      <c r="MYX1" s="9"/>
      <c r="MYY1" s="8"/>
      <c r="MYZ1" s="9"/>
      <c r="MZA1" s="8"/>
      <c r="MZB1" s="9"/>
      <c r="MZC1" s="8"/>
      <c r="MZD1" s="9"/>
      <c r="MZE1" s="8"/>
      <c r="MZF1" s="9"/>
      <c r="MZG1" s="8"/>
      <c r="MZH1" s="9"/>
      <c r="MZI1" s="8"/>
      <c r="MZJ1" s="9"/>
      <c r="MZK1" s="8"/>
      <c r="MZL1" s="9"/>
      <c r="MZM1" s="8"/>
      <c r="MZN1" s="9"/>
      <c r="MZO1" s="8"/>
      <c r="MZP1" s="9"/>
      <c r="MZQ1" s="8"/>
      <c r="MZR1" s="9"/>
      <c r="MZS1" s="8"/>
      <c r="MZT1" s="9"/>
      <c r="MZU1" s="8"/>
      <c r="MZV1" s="9"/>
      <c r="MZW1" s="8"/>
      <c r="MZX1" s="9"/>
      <c r="MZY1" s="8"/>
      <c r="MZZ1" s="9"/>
      <c r="NAA1" s="8"/>
      <c r="NAB1" s="9"/>
      <c r="NAC1" s="8"/>
      <c r="NAD1" s="9"/>
      <c r="NAE1" s="8"/>
      <c r="NAF1" s="9"/>
      <c r="NAG1" s="8"/>
      <c r="NAH1" s="9"/>
      <c r="NAI1" s="8"/>
      <c r="NAJ1" s="9"/>
      <c r="NAK1" s="8"/>
      <c r="NAL1" s="9"/>
      <c r="NAM1" s="8"/>
      <c r="NAN1" s="9"/>
      <c r="NAO1" s="8"/>
      <c r="NAP1" s="9"/>
      <c r="NAQ1" s="8"/>
      <c r="NAR1" s="9"/>
      <c r="NAS1" s="8"/>
      <c r="NAT1" s="9"/>
      <c r="NAU1" s="8"/>
      <c r="NAV1" s="9"/>
      <c r="NAW1" s="8"/>
      <c r="NAX1" s="9"/>
      <c r="NAY1" s="8"/>
      <c r="NAZ1" s="9"/>
      <c r="NBA1" s="8"/>
      <c r="NBB1" s="9"/>
      <c r="NBC1" s="8"/>
      <c r="NBD1" s="9"/>
      <c r="NBE1" s="8"/>
      <c r="NBF1" s="9"/>
      <c r="NBG1" s="8"/>
      <c r="NBH1" s="9"/>
      <c r="NBI1" s="8"/>
      <c r="NBJ1" s="9"/>
      <c r="NBK1" s="8"/>
      <c r="NBL1" s="9"/>
      <c r="NBM1" s="8"/>
      <c r="NBN1" s="9"/>
      <c r="NBO1" s="8"/>
      <c r="NBP1" s="9"/>
      <c r="NBQ1" s="8"/>
      <c r="NBR1" s="9"/>
      <c r="NBS1" s="8"/>
      <c r="NBT1" s="9"/>
      <c r="NBU1" s="8"/>
      <c r="NBV1" s="9"/>
      <c r="NBW1" s="8"/>
      <c r="NBX1" s="9"/>
      <c r="NBY1" s="8"/>
      <c r="NBZ1" s="9"/>
      <c r="NCA1" s="8"/>
      <c r="NCB1" s="9"/>
      <c r="NCC1" s="8"/>
      <c r="NCD1" s="9"/>
      <c r="NCE1" s="8"/>
      <c r="NCF1" s="9"/>
      <c r="NCG1" s="8"/>
      <c r="NCH1" s="9"/>
      <c r="NCI1" s="8"/>
      <c r="NCJ1" s="9"/>
      <c r="NCK1" s="8"/>
      <c r="NCL1" s="9"/>
      <c r="NCM1" s="8"/>
      <c r="NCN1" s="9"/>
      <c r="NCO1" s="8"/>
      <c r="NCP1" s="9"/>
      <c r="NCQ1" s="8"/>
      <c r="NCR1" s="9"/>
      <c r="NCS1" s="8"/>
      <c r="NCT1" s="9"/>
      <c r="NCU1" s="8"/>
      <c r="NCV1" s="9"/>
      <c r="NCW1" s="8"/>
      <c r="NCX1" s="9"/>
      <c r="NCY1" s="8"/>
      <c r="NCZ1" s="9"/>
      <c r="NDA1" s="8"/>
      <c r="NDB1" s="9"/>
      <c r="NDC1" s="8"/>
      <c r="NDD1" s="9"/>
      <c r="NDE1" s="8"/>
      <c r="NDF1" s="9"/>
      <c r="NDG1" s="8"/>
      <c r="NDH1" s="9"/>
      <c r="NDI1" s="8"/>
      <c r="NDJ1" s="9"/>
      <c r="NDK1" s="8"/>
      <c r="NDL1" s="9"/>
      <c r="NDM1" s="8"/>
      <c r="NDN1" s="9"/>
      <c r="NDO1" s="8"/>
      <c r="NDP1" s="9"/>
      <c r="NDQ1" s="8"/>
      <c r="NDR1" s="9"/>
      <c r="NDS1" s="8"/>
      <c r="NDT1" s="9"/>
      <c r="NDU1" s="8"/>
      <c r="NDV1" s="9"/>
      <c r="NDW1" s="8"/>
      <c r="NDX1" s="9"/>
      <c r="NDY1" s="8"/>
      <c r="NDZ1" s="9"/>
      <c r="NEA1" s="8"/>
      <c r="NEB1" s="9"/>
      <c r="NEC1" s="8"/>
      <c r="NED1" s="9"/>
      <c r="NEE1" s="8"/>
      <c r="NEF1" s="9"/>
      <c r="NEG1" s="8"/>
      <c r="NEH1" s="9"/>
      <c r="NEI1" s="8"/>
      <c r="NEJ1" s="9"/>
      <c r="NEK1" s="8"/>
      <c r="NEL1" s="9"/>
      <c r="NEM1" s="8"/>
      <c r="NEN1" s="9"/>
      <c r="NEO1" s="8"/>
      <c r="NEP1" s="9"/>
      <c r="NEQ1" s="8"/>
      <c r="NER1" s="9"/>
      <c r="NES1" s="8"/>
      <c r="NET1" s="9"/>
      <c r="NEU1" s="8"/>
      <c r="NEV1" s="9"/>
      <c r="NEW1" s="8"/>
      <c r="NEX1" s="9"/>
      <c r="NEY1" s="8"/>
      <c r="NEZ1" s="9"/>
      <c r="NFA1" s="8"/>
      <c r="NFB1" s="9"/>
      <c r="NFC1" s="8"/>
      <c r="NFD1" s="9"/>
      <c r="NFE1" s="8"/>
      <c r="NFF1" s="9"/>
      <c r="NFG1" s="8"/>
      <c r="NFH1" s="9"/>
      <c r="NFI1" s="8"/>
      <c r="NFJ1" s="9"/>
      <c r="NFK1" s="8"/>
      <c r="NFL1" s="9"/>
      <c r="NFM1" s="8"/>
      <c r="NFN1" s="9"/>
      <c r="NFO1" s="8"/>
      <c r="NFP1" s="9"/>
      <c r="NFQ1" s="8"/>
      <c r="NFR1" s="9"/>
      <c r="NFS1" s="8"/>
      <c r="NFT1" s="9"/>
      <c r="NFU1" s="8"/>
      <c r="NFV1" s="9"/>
      <c r="NFW1" s="8"/>
      <c r="NFX1" s="9"/>
      <c r="NFY1" s="8"/>
      <c r="NFZ1" s="9"/>
      <c r="NGA1" s="8"/>
      <c r="NGB1" s="9"/>
      <c r="NGC1" s="8"/>
      <c r="NGD1" s="9"/>
      <c r="NGE1" s="8"/>
      <c r="NGF1" s="9"/>
      <c r="NGG1" s="8"/>
      <c r="NGH1" s="9"/>
      <c r="NGI1" s="8"/>
      <c r="NGJ1" s="9"/>
      <c r="NGK1" s="8"/>
      <c r="NGL1" s="9"/>
      <c r="NGM1" s="8"/>
      <c r="NGN1" s="9"/>
      <c r="NGO1" s="8"/>
      <c r="NGP1" s="9"/>
      <c r="NGQ1" s="8"/>
      <c r="NGR1" s="9"/>
      <c r="NGS1" s="8"/>
      <c r="NGT1" s="9"/>
      <c r="NGU1" s="8"/>
      <c r="NGV1" s="9"/>
      <c r="NGW1" s="8"/>
      <c r="NGX1" s="9"/>
      <c r="NGY1" s="8"/>
      <c r="NGZ1" s="9"/>
      <c r="NHA1" s="8"/>
      <c r="NHB1" s="9"/>
      <c r="NHC1" s="8"/>
      <c r="NHD1" s="9"/>
      <c r="NHE1" s="8"/>
      <c r="NHF1" s="9"/>
      <c r="NHG1" s="8"/>
      <c r="NHH1" s="9"/>
      <c r="NHI1" s="8"/>
      <c r="NHJ1" s="9"/>
      <c r="NHK1" s="8"/>
      <c r="NHL1" s="9"/>
      <c r="NHM1" s="8"/>
      <c r="NHN1" s="9"/>
      <c r="NHO1" s="8"/>
      <c r="NHP1" s="9"/>
      <c r="NHQ1" s="8"/>
      <c r="NHR1" s="9"/>
      <c r="NHS1" s="8"/>
      <c r="NHT1" s="9"/>
      <c r="NHU1" s="8"/>
      <c r="NHV1" s="9"/>
      <c r="NHW1" s="8"/>
      <c r="NHX1" s="9"/>
      <c r="NHY1" s="8"/>
      <c r="NHZ1" s="9"/>
      <c r="NIA1" s="8"/>
      <c r="NIB1" s="9"/>
      <c r="NIC1" s="8"/>
      <c r="NID1" s="9"/>
      <c r="NIE1" s="8"/>
      <c r="NIF1" s="9"/>
      <c r="NIG1" s="8"/>
      <c r="NIH1" s="9"/>
      <c r="NII1" s="8"/>
      <c r="NIJ1" s="9"/>
      <c r="NIK1" s="8"/>
      <c r="NIL1" s="9"/>
      <c r="NIM1" s="8"/>
      <c r="NIN1" s="9"/>
      <c r="NIO1" s="8"/>
      <c r="NIP1" s="9"/>
      <c r="NIQ1" s="8"/>
      <c r="NIR1" s="9"/>
      <c r="NIS1" s="8"/>
      <c r="NIT1" s="9"/>
      <c r="NIU1" s="8"/>
      <c r="NIV1" s="9"/>
      <c r="NIW1" s="8"/>
      <c r="NIX1" s="9"/>
      <c r="NIY1" s="8"/>
      <c r="NIZ1" s="9"/>
      <c r="NJA1" s="8"/>
      <c r="NJB1" s="9"/>
      <c r="NJC1" s="8"/>
      <c r="NJD1" s="9"/>
      <c r="NJE1" s="8"/>
      <c r="NJF1" s="9"/>
      <c r="NJG1" s="8"/>
      <c r="NJH1" s="9"/>
      <c r="NJI1" s="8"/>
      <c r="NJJ1" s="9"/>
      <c r="NJK1" s="8"/>
      <c r="NJL1" s="9"/>
      <c r="NJM1" s="8"/>
      <c r="NJN1" s="9"/>
      <c r="NJO1" s="8"/>
      <c r="NJP1" s="9"/>
      <c r="NJQ1" s="8"/>
      <c r="NJR1" s="9"/>
      <c r="NJS1" s="8"/>
      <c r="NJT1" s="9"/>
      <c r="NJU1" s="8"/>
      <c r="NJV1" s="9"/>
      <c r="NJW1" s="8"/>
      <c r="NJX1" s="9"/>
      <c r="NJY1" s="8"/>
      <c r="NJZ1" s="9"/>
      <c r="NKA1" s="8"/>
      <c r="NKB1" s="9"/>
      <c r="NKC1" s="8"/>
      <c r="NKD1" s="9"/>
      <c r="NKE1" s="8"/>
      <c r="NKF1" s="9"/>
      <c r="NKG1" s="8"/>
      <c r="NKH1" s="9"/>
      <c r="NKI1" s="8"/>
      <c r="NKJ1" s="9"/>
      <c r="NKK1" s="8"/>
      <c r="NKL1" s="9"/>
      <c r="NKM1" s="8"/>
      <c r="NKN1" s="9"/>
      <c r="NKO1" s="8"/>
      <c r="NKP1" s="9"/>
      <c r="NKQ1" s="8"/>
      <c r="NKR1" s="9"/>
      <c r="NKS1" s="8"/>
      <c r="NKT1" s="9"/>
      <c r="NKU1" s="8"/>
      <c r="NKV1" s="9"/>
      <c r="NKW1" s="8"/>
      <c r="NKX1" s="9"/>
      <c r="NKY1" s="8"/>
      <c r="NKZ1" s="9"/>
      <c r="NLA1" s="8"/>
      <c r="NLB1" s="9"/>
      <c r="NLC1" s="8"/>
      <c r="NLD1" s="9"/>
      <c r="NLE1" s="8"/>
      <c r="NLF1" s="9"/>
      <c r="NLG1" s="8"/>
      <c r="NLH1" s="9"/>
      <c r="NLI1" s="8"/>
      <c r="NLJ1" s="9"/>
      <c r="NLK1" s="8"/>
      <c r="NLL1" s="9"/>
      <c r="NLM1" s="8"/>
      <c r="NLN1" s="9"/>
      <c r="NLO1" s="8"/>
      <c r="NLP1" s="9"/>
      <c r="NLQ1" s="8"/>
      <c r="NLR1" s="9"/>
      <c r="NLS1" s="8"/>
      <c r="NLT1" s="9"/>
      <c r="NLU1" s="8"/>
      <c r="NLV1" s="9"/>
      <c r="NLW1" s="8"/>
      <c r="NLX1" s="9"/>
      <c r="NLY1" s="8"/>
      <c r="NLZ1" s="9"/>
      <c r="NMA1" s="8"/>
      <c r="NMB1" s="9"/>
      <c r="NMC1" s="8"/>
      <c r="NMD1" s="9"/>
      <c r="NME1" s="8"/>
      <c r="NMF1" s="9"/>
      <c r="NMG1" s="8"/>
      <c r="NMH1" s="9"/>
      <c r="NMI1" s="8"/>
      <c r="NMJ1" s="9"/>
      <c r="NMK1" s="8"/>
      <c r="NML1" s="9"/>
      <c r="NMM1" s="8"/>
      <c r="NMN1" s="9"/>
      <c r="NMO1" s="8"/>
      <c r="NMP1" s="9"/>
      <c r="NMQ1" s="8"/>
      <c r="NMR1" s="9"/>
      <c r="NMS1" s="8"/>
      <c r="NMT1" s="9"/>
      <c r="NMU1" s="8"/>
      <c r="NMV1" s="9"/>
      <c r="NMW1" s="8"/>
      <c r="NMX1" s="9"/>
      <c r="NMY1" s="8"/>
      <c r="NMZ1" s="9"/>
      <c r="NNA1" s="8"/>
      <c r="NNB1" s="9"/>
      <c r="NNC1" s="8"/>
      <c r="NND1" s="9"/>
      <c r="NNE1" s="8"/>
      <c r="NNF1" s="9"/>
      <c r="NNG1" s="8"/>
      <c r="NNH1" s="9"/>
      <c r="NNI1" s="8"/>
      <c r="NNJ1" s="9"/>
      <c r="NNK1" s="8"/>
      <c r="NNL1" s="9"/>
      <c r="NNM1" s="8"/>
      <c r="NNN1" s="9"/>
      <c r="NNO1" s="8"/>
      <c r="NNP1" s="9"/>
      <c r="NNQ1" s="8"/>
      <c r="NNR1" s="9"/>
      <c r="NNS1" s="8"/>
      <c r="NNT1" s="9"/>
      <c r="NNU1" s="8"/>
      <c r="NNV1" s="9"/>
      <c r="NNW1" s="8"/>
      <c r="NNX1" s="9"/>
      <c r="NNY1" s="8"/>
      <c r="NNZ1" s="9"/>
      <c r="NOA1" s="8"/>
      <c r="NOB1" s="9"/>
      <c r="NOC1" s="8"/>
      <c r="NOD1" s="9"/>
      <c r="NOE1" s="8"/>
      <c r="NOF1" s="9"/>
      <c r="NOG1" s="8"/>
      <c r="NOH1" s="9"/>
      <c r="NOI1" s="8"/>
      <c r="NOJ1" s="9"/>
      <c r="NOK1" s="8"/>
      <c r="NOL1" s="9"/>
      <c r="NOM1" s="8"/>
      <c r="NON1" s="9"/>
      <c r="NOO1" s="8"/>
      <c r="NOP1" s="9"/>
      <c r="NOQ1" s="8"/>
      <c r="NOR1" s="9"/>
      <c r="NOS1" s="8"/>
      <c r="NOT1" s="9"/>
      <c r="NOU1" s="8"/>
      <c r="NOV1" s="9"/>
      <c r="NOW1" s="8"/>
      <c r="NOX1" s="9"/>
      <c r="NOY1" s="8"/>
      <c r="NOZ1" s="9"/>
      <c r="NPA1" s="8"/>
      <c r="NPB1" s="9"/>
      <c r="NPC1" s="8"/>
      <c r="NPD1" s="9"/>
      <c r="NPE1" s="8"/>
      <c r="NPF1" s="9"/>
      <c r="NPG1" s="8"/>
      <c r="NPH1" s="9"/>
      <c r="NPI1" s="8"/>
      <c r="NPJ1" s="9"/>
      <c r="NPK1" s="8"/>
      <c r="NPL1" s="9"/>
      <c r="NPM1" s="8"/>
      <c r="NPN1" s="9"/>
      <c r="NPO1" s="8"/>
      <c r="NPP1" s="9"/>
      <c r="NPQ1" s="8"/>
      <c r="NPR1" s="9"/>
      <c r="NPS1" s="8"/>
      <c r="NPT1" s="9"/>
      <c r="NPU1" s="8"/>
      <c r="NPV1" s="9"/>
      <c r="NPW1" s="8"/>
      <c r="NPX1" s="9"/>
      <c r="NPY1" s="8"/>
      <c r="NPZ1" s="9"/>
      <c r="NQA1" s="8"/>
      <c r="NQB1" s="9"/>
      <c r="NQC1" s="8"/>
      <c r="NQD1" s="9"/>
      <c r="NQE1" s="8"/>
      <c r="NQF1" s="9"/>
      <c r="NQG1" s="8"/>
      <c r="NQH1" s="9"/>
      <c r="NQI1" s="8"/>
      <c r="NQJ1" s="9"/>
      <c r="NQK1" s="8"/>
      <c r="NQL1" s="9"/>
      <c r="NQM1" s="8"/>
      <c r="NQN1" s="9"/>
      <c r="NQO1" s="8"/>
      <c r="NQP1" s="9"/>
      <c r="NQQ1" s="8"/>
      <c r="NQR1" s="9"/>
      <c r="NQS1" s="8"/>
      <c r="NQT1" s="9"/>
      <c r="NQU1" s="8"/>
      <c r="NQV1" s="9"/>
      <c r="NQW1" s="8"/>
      <c r="NQX1" s="9"/>
      <c r="NQY1" s="8"/>
      <c r="NQZ1" s="9"/>
      <c r="NRA1" s="8"/>
      <c r="NRB1" s="9"/>
      <c r="NRC1" s="8"/>
      <c r="NRD1" s="9"/>
      <c r="NRE1" s="8"/>
      <c r="NRF1" s="9"/>
      <c r="NRG1" s="8"/>
      <c r="NRH1" s="9"/>
      <c r="NRI1" s="8"/>
      <c r="NRJ1" s="9"/>
      <c r="NRK1" s="8"/>
      <c r="NRL1" s="9"/>
      <c r="NRM1" s="8"/>
      <c r="NRN1" s="9"/>
      <c r="NRO1" s="8"/>
      <c r="NRP1" s="9"/>
      <c r="NRQ1" s="8"/>
      <c r="NRR1" s="9"/>
      <c r="NRS1" s="8"/>
      <c r="NRT1" s="9"/>
      <c r="NRU1" s="8"/>
      <c r="NRV1" s="9"/>
      <c r="NRW1" s="8"/>
      <c r="NRX1" s="9"/>
      <c r="NRY1" s="8"/>
      <c r="NRZ1" s="9"/>
      <c r="NSA1" s="8"/>
      <c r="NSB1" s="9"/>
      <c r="NSC1" s="8"/>
      <c r="NSD1" s="9"/>
      <c r="NSE1" s="8"/>
      <c r="NSF1" s="9"/>
      <c r="NSG1" s="8"/>
      <c r="NSH1" s="9"/>
      <c r="NSI1" s="8"/>
      <c r="NSJ1" s="9"/>
      <c r="NSK1" s="8"/>
      <c r="NSL1" s="9"/>
      <c r="NSM1" s="8"/>
      <c r="NSN1" s="9"/>
      <c r="NSO1" s="8"/>
      <c r="NSP1" s="9"/>
      <c r="NSQ1" s="8"/>
      <c r="NSR1" s="9"/>
      <c r="NSS1" s="8"/>
      <c r="NST1" s="9"/>
      <c r="NSU1" s="8"/>
      <c r="NSV1" s="9"/>
      <c r="NSW1" s="8"/>
      <c r="NSX1" s="9"/>
      <c r="NSY1" s="8"/>
      <c r="NSZ1" s="9"/>
      <c r="NTA1" s="8"/>
      <c r="NTB1" s="9"/>
      <c r="NTC1" s="8"/>
      <c r="NTD1" s="9"/>
      <c r="NTE1" s="8"/>
      <c r="NTF1" s="9"/>
      <c r="NTG1" s="8"/>
      <c r="NTH1" s="9"/>
      <c r="NTI1" s="8"/>
      <c r="NTJ1" s="9"/>
      <c r="NTK1" s="8"/>
      <c r="NTL1" s="9"/>
      <c r="NTM1" s="8"/>
      <c r="NTN1" s="9"/>
      <c r="NTO1" s="8"/>
      <c r="NTP1" s="9"/>
      <c r="NTQ1" s="8"/>
      <c r="NTR1" s="9"/>
      <c r="NTS1" s="8"/>
      <c r="NTT1" s="9"/>
      <c r="NTU1" s="8"/>
      <c r="NTV1" s="9"/>
      <c r="NTW1" s="8"/>
      <c r="NTX1" s="9"/>
      <c r="NTY1" s="8"/>
      <c r="NTZ1" s="9"/>
      <c r="NUA1" s="8"/>
      <c r="NUB1" s="9"/>
      <c r="NUC1" s="8"/>
      <c r="NUD1" s="9"/>
      <c r="NUE1" s="8"/>
      <c r="NUF1" s="9"/>
      <c r="NUG1" s="8"/>
      <c r="NUH1" s="9"/>
      <c r="NUI1" s="8"/>
      <c r="NUJ1" s="9"/>
      <c r="NUK1" s="8"/>
      <c r="NUL1" s="9"/>
      <c r="NUM1" s="8"/>
      <c r="NUN1" s="9"/>
      <c r="NUO1" s="8"/>
      <c r="NUP1" s="9"/>
      <c r="NUQ1" s="8"/>
      <c r="NUR1" s="9"/>
      <c r="NUS1" s="8"/>
      <c r="NUT1" s="9"/>
      <c r="NUU1" s="8"/>
      <c r="NUV1" s="9"/>
      <c r="NUW1" s="8"/>
      <c r="NUX1" s="9"/>
      <c r="NUY1" s="8"/>
      <c r="NUZ1" s="9"/>
      <c r="NVA1" s="8"/>
      <c r="NVB1" s="9"/>
      <c r="NVC1" s="8"/>
      <c r="NVD1" s="9"/>
      <c r="NVE1" s="8"/>
      <c r="NVF1" s="9"/>
      <c r="NVG1" s="8"/>
      <c r="NVH1" s="9"/>
      <c r="NVI1" s="8"/>
      <c r="NVJ1" s="9"/>
      <c r="NVK1" s="8"/>
      <c r="NVL1" s="9"/>
      <c r="NVM1" s="8"/>
      <c r="NVN1" s="9"/>
      <c r="NVO1" s="8"/>
      <c r="NVP1" s="9"/>
      <c r="NVQ1" s="8"/>
      <c r="NVR1" s="9"/>
      <c r="NVS1" s="8"/>
      <c r="NVT1" s="9"/>
      <c r="NVU1" s="8"/>
      <c r="NVV1" s="9"/>
      <c r="NVW1" s="8"/>
      <c r="NVX1" s="9"/>
      <c r="NVY1" s="8"/>
      <c r="NVZ1" s="9"/>
      <c r="NWA1" s="8"/>
      <c r="NWB1" s="9"/>
      <c r="NWC1" s="8"/>
      <c r="NWD1" s="9"/>
      <c r="NWE1" s="8"/>
      <c r="NWF1" s="9"/>
      <c r="NWG1" s="8"/>
      <c r="NWH1" s="9"/>
      <c r="NWI1" s="8"/>
      <c r="NWJ1" s="9"/>
      <c r="NWK1" s="8"/>
      <c r="NWL1" s="9"/>
      <c r="NWM1" s="8"/>
      <c r="NWN1" s="9"/>
      <c r="NWO1" s="8"/>
      <c r="NWP1" s="9"/>
      <c r="NWQ1" s="8"/>
      <c r="NWR1" s="9"/>
      <c r="NWS1" s="8"/>
      <c r="NWT1" s="9"/>
      <c r="NWU1" s="8"/>
      <c r="NWV1" s="9"/>
      <c r="NWW1" s="8"/>
      <c r="NWX1" s="9"/>
      <c r="NWY1" s="8"/>
      <c r="NWZ1" s="9"/>
      <c r="NXA1" s="8"/>
      <c r="NXB1" s="9"/>
      <c r="NXC1" s="8"/>
      <c r="NXD1" s="9"/>
      <c r="NXE1" s="8"/>
      <c r="NXF1" s="9"/>
      <c r="NXG1" s="8"/>
      <c r="NXH1" s="9"/>
      <c r="NXI1" s="8"/>
      <c r="NXJ1" s="9"/>
      <c r="NXK1" s="8"/>
      <c r="NXL1" s="9"/>
      <c r="NXM1" s="8"/>
      <c r="NXN1" s="9"/>
      <c r="NXO1" s="8"/>
      <c r="NXP1" s="9"/>
      <c r="NXQ1" s="8"/>
      <c r="NXR1" s="9"/>
      <c r="NXS1" s="8"/>
      <c r="NXT1" s="9"/>
      <c r="NXU1" s="8"/>
      <c r="NXV1" s="9"/>
      <c r="NXW1" s="8"/>
      <c r="NXX1" s="9"/>
      <c r="NXY1" s="8"/>
      <c r="NXZ1" s="9"/>
      <c r="NYA1" s="8"/>
      <c r="NYB1" s="9"/>
      <c r="NYC1" s="8"/>
      <c r="NYD1" s="9"/>
      <c r="NYE1" s="8"/>
      <c r="NYF1" s="9"/>
      <c r="NYG1" s="8"/>
      <c r="NYH1" s="9"/>
      <c r="NYI1" s="8"/>
      <c r="NYJ1" s="9"/>
      <c r="NYK1" s="8"/>
      <c r="NYL1" s="9"/>
      <c r="NYM1" s="8"/>
      <c r="NYN1" s="9"/>
      <c r="NYO1" s="8"/>
      <c r="NYP1" s="9"/>
      <c r="NYQ1" s="8"/>
      <c r="NYR1" s="9"/>
      <c r="NYS1" s="8"/>
      <c r="NYT1" s="9"/>
      <c r="NYU1" s="8"/>
      <c r="NYV1" s="9"/>
      <c r="NYW1" s="8"/>
      <c r="NYX1" s="9"/>
      <c r="NYY1" s="8"/>
      <c r="NYZ1" s="9"/>
      <c r="NZA1" s="8"/>
      <c r="NZB1" s="9"/>
      <c r="NZC1" s="8"/>
      <c r="NZD1" s="9"/>
      <c r="NZE1" s="8"/>
      <c r="NZF1" s="9"/>
      <c r="NZG1" s="8"/>
      <c r="NZH1" s="9"/>
      <c r="NZI1" s="8"/>
      <c r="NZJ1" s="9"/>
      <c r="NZK1" s="8"/>
      <c r="NZL1" s="9"/>
      <c r="NZM1" s="8"/>
      <c r="NZN1" s="9"/>
      <c r="NZO1" s="8"/>
      <c r="NZP1" s="9"/>
      <c r="NZQ1" s="8"/>
      <c r="NZR1" s="9"/>
      <c r="NZS1" s="8"/>
      <c r="NZT1" s="9"/>
      <c r="NZU1" s="8"/>
      <c r="NZV1" s="9"/>
      <c r="NZW1" s="8"/>
      <c r="NZX1" s="9"/>
      <c r="NZY1" s="8"/>
      <c r="NZZ1" s="9"/>
      <c r="OAA1" s="8"/>
      <c r="OAB1" s="9"/>
      <c r="OAC1" s="8"/>
      <c r="OAD1" s="9"/>
      <c r="OAE1" s="8"/>
      <c r="OAF1" s="9"/>
      <c r="OAG1" s="8"/>
      <c r="OAH1" s="9"/>
      <c r="OAI1" s="8"/>
      <c r="OAJ1" s="9"/>
      <c r="OAK1" s="8"/>
      <c r="OAL1" s="9"/>
      <c r="OAM1" s="8"/>
      <c r="OAN1" s="9"/>
      <c r="OAO1" s="8"/>
      <c r="OAP1" s="9"/>
      <c r="OAQ1" s="8"/>
      <c r="OAR1" s="9"/>
      <c r="OAS1" s="8"/>
      <c r="OAT1" s="9"/>
      <c r="OAU1" s="8"/>
      <c r="OAV1" s="9"/>
      <c r="OAW1" s="8"/>
      <c r="OAX1" s="9"/>
      <c r="OAY1" s="8"/>
      <c r="OAZ1" s="9"/>
      <c r="OBA1" s="8"/>
      <c r="OBB1" s="9"/>
      <c r="OBC1" s="8"/>
      <c r="OBD1" s="9"/>
      <c r="OBE1" s="8"/>
      <c r="OBF1" s="9"/>
      <c r="OBG1" s="8"/>
      <c r="OBH1" s="9"/>
      <c r="OBI1" s="8"/>
      <c r="OBJ1" s="9"/>
      <c r="OBK1" s="8"/>
      <c r="OBL1" s="9"/>
      <c r="OBM1" s="8"/>
      <c r="OBN1" s="9"/>
      <c r="OBO1" s="8"/>
      <c r="OBP1" s="9"/>
      <c r="OBQ1" s="8"/>
      <c r="OBR1" s="9"/>
      <c r="OBS1" s="8"/>
      <c r="OBT1" s="9"/>
      <c r="OBU1" s="8"/>
      <c r="OBV1" s="9"/>
      <c r="OBW1" s="8"/>
      <c r="OBX1" s="9"/>
      <c r="OBY1" s="8"/>
      <c r="OBZ1" s="9"/>
      <c r="OCA1" s="8"/>
      <c r="OCB1" s="9"/>
      <c r="OCC1" s="8"/>
      <c r="OCD1" s="9"/>
      <c r="OCE1" s="8"/>
      <c r="OCF1" s="9"/>
      <c r="OCG1" s="8"/>
      <c r="OCH1" s="9"/>
      <c r="OCI1" s="8"/>
      <c r="OCJ1" s="9"/>
      <c r="OCK1" s="8"/>
      <c r="OCL1" s="9"/>
      <c r="OCM1" s="8"/>
      <c r="OCN1" s="9"/>
      <c r="OCO1" s="8"/>
      <c r="OCP1" s="9"/>
      <c r="OCQ1" s="8"/>
      <c r="OCR1" s="9"/>
      <c r="OCS1" s="8"/>
      <c r="OCT1" s="9"/>
      <c r="OCU1" s="8"/>
      <c r="OCV1" s="9"/>
      <c r="OCW1" s="8"/>
      <c r="OCX1" s="9"/>
      <c r="OCY1" s="8"/>
      <c r="OCZ1" s="9"/>
      <c r="ODA1" s="8"/>
      <c r="ODB1" s="9"/>
      <c r="ODC1" s="8"/>
      <c r="ODD1" s="9"/>
      <c r="ODE1" s="8"/>
      <c r="ODF1" s="9"/>
      <c r="ODG1" s="8"/>
      <c r="ODH1" s="9"/>
      <c r="ODI1" s="8"/>
      <c r="ODJ1" s="9"/>
      <c r="ODK1" s="8"/>
      <c r="ODL1" s="9"/>
      <c r="ODM1" s="8"/>
      <c r="ODN1" s="9"/>
      <c r="ODO1" s="8"/>
      <c r="ODP1" s="9"/>
      <c r="ODQ1" s="8"/>
      <c r="ODR1" s="9"/>
      <c r="ODS1" s="8"/>
      <c r="ODT1" s="9"/>
      <c r="ODU1" s="8"/>
      <c r="ODV1" s="9"/>
      <c r="ODW1" s="8"/>
      <c r="ODX1" s="9"/>
      <c r="ODY1" s="8"/>
      <c r="ODZ1" s="9"/>
      <c r="OEA1" s="8"/>
      <c r="OEB1" s="9"/>
      <c r="OEC1" s="8"/>
      <c r="OED1" s="9"/>
      <c r="OEE1" s="8"/>
      <c r="OEF1" s="9"/>
      <c r="OEG1" s="8"/>
      <c r="OEH1" s="9"/>
      <c r="OEI1" s="8"/>
      <c r="OEJ1" s="9"/>
      <c r="OEK1" s="8"/>
      <c r="OEL1" s="9"/>
      <c r="OEM1" s="8"/>
      <c r="OEN1" s="9"/>
      <c r="OEO1" s="8"/>
      <c r="OEP1" s="9"/>
      <c r="OEQ1" s="8"/>
      <c r="OER1" s="9"/>
      <c r="OES1" s="8"/>
      <c r="OET1" s="9"/>
      <c r="OEU1" s="8"/>
      <c r="OEV1" s="9"/>
      <c r="OEW1" s="8"/>
      <c r="OEX1" s="9"/>
      <c r="OEY1" s="8"/>
      <c r="OEZ1" s="9"/>
      <c r="OFA1" s="8"/>
      <c r="OFB1" s="9"/>
      <c r="OFC1" s="8"/>
      <c r="OFD1" s="9"/>
      <c r="OFE1" s="8"/>
      <c r="OFF1" s="9"/>
      <c r="OFG1" s="8"/>
      <c r="OFH1" s="9"/>
      <c r="OFI1" s="8"/>
      <c r="OFJ1" s="9"/>
      <c r="OFK1" s="8"/>
      <c r="OFL1" s="9"/>
      <c r="OFM1" s="8"/>
      <c r="OFN1" s="9"/>
      <c r="OFO1" s="8"/>
      <c r="OFP1" s="9"/>
      <c r="OFQ1" s="8"/>
      <c r="OFR1" s="9"/>
      <c r="OFS1" s="8"/>
      <c r="OFT1" s="9"/>
      <c r="OFU1" s="8"/>
      <c r="OFV1" s="9"/>
      <c r="OFW1" s="8"/>
      <c r="OFX1" s="9"/>
      <c r="OFY1" s="8"/>
      <c r="OFZ1" s="9"/>
      <c r="OGA1" s="8"/>
      <c r="OGB1" s="9"/>
      <c r="OGC1" s="8"/>
      <c r="OGD1" s="9"/>
      <c r="OGE1" s="8"/>
      <c r="OGF1" s="9"/>
      <c r="OGG1" s="8"/>
      <c r="OGH1" s="9"/>
      <c r="OGI1" s="8"/>
      <c r="OGJ1" s="9"/>
      <c r="OGK1" s="8"/>
      <c r="OGL1" s="9"/>
      <c r="OGM1" s="8"/>
      <c r="OGN1" s="9"/>
      <c r="OGO1" s="8"/>
      <c r="OGP1" s="9"/>
      <c r="OGQ1" s="8"/>
      <c r="OGR1" s="9"/>
      <c r="OGS1" s="8"/>
      <c r="OGT1" s="9"/>
      <c r="OGU1" s="8"/>
      <c r="OGV1" s="9"/>
      <c r="OGW1" s="8"/>
      <c r="OGX1" s="9"/>
      <c r="OGY1" s="8"/>
      <c r="OGZ1" s="9"/>
      <c r="OHA1" s="8"/>
      <c r="OHB1" s="9"/>
      <c r="OHC1" s="8"/>
      <c r="OHD1" s="9"/>
      <c r="OHE1" s="8"/>
      <c r="OHF1" s="9"/>
      <c r="OHG1" s="8"/>
      <c r="OHH1" s="9"/>
      <c r="OHI1" s="8"/>
      <c r="OHJ1" s="9"/>
      <c r="OHK1" s="8"/>
      <c r="OHL1" s="9"/>
      <c r="OHM1" s="8"/>
      <c r="OHN1" s="9"/>
      <c r="OHO1" s="8"/>
      <c r="OHP1" s="9"/>
      <c r="OHQ1" s="8"/>
      <c r="OHR1" s="9"/>
      <c r="OHS1" s="8"/>
      <c r="OHT1" s="9"/>
      <c r="OHU1" s="8"/>
      <c r="OHV1" s="9"/>
      <c r="OHW1" s="8"/>
      <c r="OHX1" s="9"/>
      <c r="OHY1" s="8"/>
      <c r="OHZ1" s="9"/>
      <c r="OIA1" s="8"/>
      <c r="OIB1" s="9"/>
      <c r="OIC1" s="8"/>
      <c r="OID1" s="9"/>
      <c r="OIE1" s="8"/>
      <c r="OIF1" s="9"/>
      <c r="OIG1" s="8"/>
      <c r="OIH1" s="9"/>
      <c r="OII1" s="8"/>
      <c r="OIJ1" s="9"/>
      <c r="OIK1" s="8"/>
      <c r="OIL1" s="9"/>
      <c r="OIM1" s="8"/>
      <c r="OIN1" s="9"/>
      <c r="OIO1" s="8"/>
      <c r="OIP1" s="9"/>
      <c r="OIQ1" s="8"/>
      <c r="OIR1" s="9"/>
      <c r="OIS1" s="8"/>
      <c r="OIT1" s="9"/>
      <c r="OIU1" s="8"/>
      <c r="OIV1" s="9"/>
      <c r="OIW1" s="8"/>
      <c r="OIX1" s="9"/>
      <c r="OIY1" s="8"/>
      <c r="OIZ1" s="9"/>
      <c r="OJA1" s="8"/>
      <c r="OJB1" s="9"/>
      <c r="OJC1" s="8"/>
      <c r="OJD1" s="9"/>
      <c r="OJE1" s="8"/>
      <c r="OJF1" s="9"/>
      <c r="OJG1" s="8"/>
      <c r="OJH1" s="9"/>
      <c r="OJI1" s="8"/>
      <c r="OJJ1" s="9"/>
      <c r="OJK1" s="8"/>
      <c r="OJL1" s="9"/>
      <c r="OJM1" s="8"/>
      <c r="OJN1" s="9"/>
      <c r="OJO1" s="8"/>
      <c r="OJP1" s="9"/>
      <c r="OJQ1" s="8"/>
      <c r="OJR1" s="9"/>
      <c r="OJS1" s="8"/>
      <c r="OJT1" s="9"/>
      <c r="OJU1" s="8"/>
      <c r="OJV1" s="9"/>
      <c r="OJW1" s="8"/>
      <c r="OJX1" s="9"/>
      <c r="OJY1" s="8"/>
      <c r="OJZ1" s="9"/>
      <c r="OKA1" s="8"/>
      <c r="OKB1" s="9"/>
      <c r="OKC1" s="8"/>
      <c r="OKD1" s="9"/>
      <c r="OKE1" s="8"/>
      <c r="OKF1" s="9"/>
      <c r="OKG1" s="8"/>
      <c r="OKH1" s="9"/>
      <c r="OKI1" s="8"/>
      <c r="OKJ1" s="9"/>
      <c r="OKK1" s="8"/>
      <c r="OKL1" s="9"/>
      <c r="OKM1" s="8"/>
      <c r="OKN1" s="9"/>
      <c r="OKO1" s="8"/>
      <c r="OKP1" s="9"/>
      <c r="OKQ1" s="8"/>
      <c r="OKR1" s="9"/>
      <c r="OKS1" s="8"/>
      <c r="OKT1" s="9"/>
      <c r="OKU1" s="8"/>
      <c r="OKV1" s="9"/>
      <c r="OKW1" s="8"/>
      <c r="OKX1" s="9"/>
      <c r="OKY1" s="8"/>
      <c r="OKZ1" s="9"/>
      <c r="OLA1" s="8"/>
      <c r="OLB1" s="9"/>
      <c r="OLC1" s="8"/>
      <c r="OLD1" s="9"/>
      <c r="OLE1" s="8"/>
      <c r="OLF1" s="9"/>
      <c r="OLG1" s="8"/>
      <c r="OLH1" s="9"/>
      <c r="OLI1" s="8"/>
      <c r="OLJ1" s="9"/>
      <c r="OLK1" s="8"/>
      <c r="OLL1" s="9"/>
      <c r="OLM1" s="8"/>
      <c r="OLN1" s="9"/>
      <c r="OLO1" s="8"/>
      <c r="OLP1" s="9"/>
      <c r="OLQ1" s="8"/>
      <c r="OLR1" s="9"/>
      <c r="OLS1" s="8"/>
      <c r="OLT1" s="9"/>
      <c r="OLU1" s="8"/>
      <c r="OLV1" s="9"/>
      <c r="OLW1" s="8"/>
      <c r="OLX1" s="9"/>
      <c r="OLY1" s="8"/>
      <c r="OLZ1" s="9"/>
      <c r="OMA1" s="8"/>
      <c r="OMB1" s="9"/>
      <c r="OMC1" s="8"/>
      <c r="OMD1" s="9"/>
      <c r="OME1" s="8"/>
      <c r="OMF1" s="9"/>
      <c r="OMG1" s="8"/>
      <c r="OMH1" s="9"/>
      <c r="OMI1" s="8"/>
      <c r="OMJ1" s="9"/>
      <c r="OMK1" s="8"/>
      <c r="OML1" s="9"/>
      <c r="OMM1" s="8"/>
      <c r="OMN1" s="9"/>
      <c r="OMO1" s="8"/>
      <c r="OMP1" s="9"/>
      <c r="OMQ1" s="8"/>
      <c r="OMR1" s="9"/>
      <c r="OMS1" s="8"/>
      <c r="OMT1" s="9"/>
      <c r="OMU1" s="8"/>
      <c r="OMV1" s="9"/>
      <c r="OMW1" s="8"/>
      <c r="OMX1" s="9"/>
      <c r="OMY1" s="8"/>
      <c r="OMZ1" s="9"/>
      <c r="ONA1" s="8"/>
      <c r="ONB1" s="9"/>
      <c r="ONC1" s="8"/>
      <c r="OND1" s="9"/>
      <c r="ONE1" s="8"/>
      <c r="ONF1" s="9"/>
      <c r="ONG1" s="8"/>
      <c r="ONH1" s="9"/>
      <c r="ONI1" s="8"/>
      <c r="ONJ1" s="9"/>
      <c r="ONK1" s="8"/>
      <c r="ONL1" s="9"/>
      <c r="ONM1" s="8"/>
      <c r="ONN1" s="9"/>
      <c r="ONO1" s="8"/>
      <c r="ONP1" s="9"/>
      <c r="ONQ1" s="8"/>
      <c r="ONR1" s="9"/>
      <c r="ONS1" s="8"/>
      <c r="ONT1" s="9"/>
      <c r="ONU1" s="8"/>
      <c r="ONV1" s="9"/>
      <c r="ONW1" s="8"/>
      <c r="ONX1" s="9"/>
      <c r="ONY1" s="8"/>
      <c r="ONZ1" s="9"/>
      <c r="OOA1" s="8"/>
      <c r="OOB1" s="9"/>
      <c r="OOC1" s="8"/>
      <c r="OOD1" s="9"/>
      <c r="OOE1" s="8"/>
      <c r="OOF1" s="9"/>
      <c r="OOG1" s="8"/>
      <c r="OOH1" s="9"/>
      <c r="OOI1" s="8"/>
      <c r="OOJ1" s="9"/>
      <c r="OOK1" s="8"/>
      <c r="OOL1" s="9"/>
      <c r="OOM1" s="8"/>
      <c r="OON1" s="9"/>
      <c r="OOO1" s="8"/>
      <c r="OOP1" s="9"/>
      <c r="OOQ1" s="8"/>
      <c r="OOR1" s="9"/>
      <c r="OOS1" s="8"/>
      <c r="OOT1" s="9"/>
      <c r="OOU1" s="8"/>
      <c r="OOV1" s="9"/>
      <c r="OOW1" s="8"/>
      <c r="OOX1" s="9"/>
      <c r="OOY1" s="8"/>
      <c r="OOZ1" s="9"/>
      <c r="OPA1" s="8"/>
      <c r="OPB1" s="9"/>
      <c r="OPC1" s="8"/>
      <c r="OPD1" s="9"/>
      <c r="OPE1" s="8"/>
      <c r="OPF1" s="9"/>
      <c r="OPG1" s="8"/>
      <c r="OPH1" s="9"/>
      <c r="OPI1" s="8"/>
      <c r="OPJ1" s="9"/>
      <c r="OPK1" s="8"/>
      <c r="OPL1" s="9"/>
      <c r="OPM1" s="8"/>
      <c r="OPN1" s="9"/>
      <c r="OPO1" s="8"/>
      <c r="OPP1" s="9"/>
      <c r="OPQ1" s="8"/>
      <c r="OPR1" s="9"/>
      <c r="OPS1" s="8"/>
      <c r="OPT1" s="9"/>
      <c r="OPU1" s="8"/>
      <c r="OPV1" s="9"/>
      <c r="OPW1" s="8"/>
      <c r="OPX1" s="9"/>
      <c r="OPY1" s="8"/>
      <c r="OPZ1" s="9"/>
      <c r="OQA1" s="8"/>
      <c r="OQB1" s="9"/>
      <c r="OQC1" s="8"/>
      <c r="OQD1" s="9"/>
      <c r="OQE1" s="8"/>
      <c r="OQF1" s="9"/>
      <c r="OQG1" s="8"/>
      <c r="OQH1" s="9"/>
      <c r="OQI1" s="8"/>
      <c r="OQJ1" s="9"/>
      <c r="OQK1" s="8"/>
      <c r="OQL1" s="9"/>
      <c r="OQM1" s="8"/>
      <c r="OQN1" s="9"/>
      <c r="OQO1" s="8"/>
      <c r="OQP1" s="9"/>
      <c r="OQQ1" s="8"/>
      <c r="OQR1" s="9"/>
      <c r="OQS1" s="8"/>
      <c r="OQT1" s="9"/>
      <c r="OQU1" s="8"/>
      <c r="OQV1" s="9"/>
      <c r="OQW1" s="8"/>
      <c r="OQX1" s="9"/>
      <c r="OQY1" s="8"/>
      <c r="OQZ1" s="9"/>
      <c r="ORA1" s="8"/>
      <c r="ORB1" s="9"/>
      <c r="ORC1" s="8"/>
      <c r="ORD1" s="9"/>
      <c r="ORE1" s="8"/>
      <c r="ORF1" s="9"/>
      <c r="ORG1" s="8"/>
      <c r="ORH1" s="9"/>
      <c r="ORI1" s="8"/>
      <c r="ORJ1" s="9"/>
      <c r="ORK1" s="8"/>
      <c r="ORL1" s="9"/>
      <c r="ORM1" s="8"/>
      <c r="ORN1" s="9"/>
      <c r="ORO1" s="8"/>
      <c r="ORP1" s="9"/>
      <c r="ORQ1" s="8"/>
      <c r="ORR1" s="9"/>
      <c r="ORS1" s="8"/>
      <c r="ORT1" s="9"/>
      <c r="ORU1" s="8"/>
      <c r="ORV1" s="9"/>
      <c r="ORW1" s="8"/>
      <c r="ORX1" s="9"/>
      <c r="ORY1" s="8"/>
      <c r="ORZ1" s="9"/>
      <c r="OSA1" s="8"/>
      <c r="OSB1" s="9"/>
      <c r="OSC1" s="8"/>
      <c r="OSD1" s="9"/>
      <c r="OSE1" s="8"/>
      <c r="OSF1" s="9"/>
      <c r="OSG1" s="8"/>
      <c r="OSH1" s="9"/>
      <c r="OSI1" s="8"/>
      <c r="OSJ1" s="9"/>
      <c r="OSK1" s="8"/>
      <c r="OSL1" s="9"/>
      <c r="OSM1" s="8"/>
      <c r="OSN1" s="9"/>
      <c r="OSO1" s="8"/>
      <c r="OSP1" s="9"/>
      <c r="OSQ1" s="8"/>
      <c r="OSR1" s="9"/>
      <c r="OSS1" s="8"/>
      <c r="OST1" s="9"/>
      <c r="OSU1" s="8"/>
      <c r="OSV1" s="9"/>
      <c r="OSW1" s="8"/>
      <c r="OSX1" s="9"/>
      <c r="OSY1" s="8"/>
      <c r="OSZ1" s="9"/>
      <c r="OTA1" s="8"/>
      <c r="OTB1" s="9"/>
      <c r="OTC1" s="8"/>
      <c r="OTD1" s="9"/>
      <c r="OTE1" s="8"/>
      <c r="OTF1" s="9"/>
      <c r="OTG1" s="8"/>
      <c r="OTH1" s="9"/>
      <c r="OTI1" s="8"/>
      <c r="OTJ1" s="9"/>
      <c r="OTK1" s="8"/>
      <c r="OTL1" s="9"/>
      <c r="OTM1" s="8"/>
      <c r="OTN1" s="9"/>
      <c r="OTO1" s="8"/>
      <c r="OTP1" s="9"/>
      <c r="OTQ1" s="8"/>
      <c r="OTR1" s="9"/>
      <c r="OTS1" s="8"/>
      <c r="OTT1" s="9"/>
      <c r="OTU1" s="8"/>
      <c r="OTV1" s="9"/>
      <c r="OTW1" s="8"/>
      <c r="OTX1" s="9"/>
      <c r="OTY1" s="8"/>
      <c r="OTZ1" s="9"/>
      <c r="OUA1" s="8"/>
      <c r="OUB1" s="9"/>
      <c r="OUC1" s="8"/>
      <c r="OUD1" s="9"/>
      <c r="OUE1" s="8"/>
      <c r="OUF1" s="9"/>
      <c r="OUG1" s="8"/>
      <c r="OUH1" s="9"/>
      <c r="OUI1" s="8"/>
      <c r="OUJ1" s="9"/>
      <c r="OUK1" s="8"/>
      <c r="OUL1" s="9"/>
      <c r="OUM1" s="8"/>
      <c r="OUN1" s="9"/>
      <c r="OUO1" s="8"/>
      <c r="OUP1" s="9"/>
      <c r="OUQ1" s="8"/>
      <c r="OUR1" s="9"/>
      <c r="OUS1" s="8"/>
      <c r="OUT1" s="9"/>
      <c r="OUU1" s="8"/>
      <c r="OUV1" s="9"/>
      <c r="OUW1" s="8"/>
      <c r="OUX1" s="9"/>
      <c r="OUY1" s="8"/>
      <c r="OUZ1" s="9"/>
      <c r="OVA1" s="8"/>
      <c r="OVB1" s="9"/>
      <c r="OVC1" s="8"/>
      <c r="OVD1" s="9"/>
      <c r="OVE1" s="8"/>
      <c r="OVF1" s="9"/>
      <c r="OVG1" s="8"/>
      <c r="OVH1" s="9"/>
      <c r="OVI1" s="8"/>
      <c r="OVJ1" s="9"/>
      <c r="OVK1" s="8"/>
      <c r="OVL1" s="9"/>
      <c r="OVM1" s="8"/>
      <c r="OVN1" s="9"/>
      <c r="OVO1" s="8"/>
      <c r="OVP1" s="9"/>
      <c r="OVQ1" s="8"/>
      <c r="OVR1" s="9"/>
      <c r="OVS1" s="8"/>
      <c r="OVT1" s="9"/>
      <c r="OVU1" s="8"/>
      <c r="OVV1" s="9"/>
      <c r="OVW1" s="8"/>
      <c r="OVX1" s="9"/>
      <c r="OVY1" s="8"/>
      <c r="OVZ1" s="9"/>
      <c r="OWA1" s="8"/>
      <c r="OWB1" s="9"/>
      <c r="OWC1" s="8"/>
      <c r="OWD1" s="9"/>
      <c r="OWE1" s="8"/>
      <c r="OWF1" s="9"/>
      <c r="OWG1" s="8"/>
      <c r="OWH1" s="9"/>
      <c r="OWI1" s="8"/>
      <c r="OWJ1" s="9"/>
      <c r="OWK1" s="8"/>
      <c r="OWL1" s="9"/>
      <c r="OWM1" s="8"/>
      <c r="OWN1" s="9"/>
      <c r="OWO1" s="8"/>
      <c r="OWP1" s="9"/>
      <c r="OWQ1" s="8"/>
      <c r="OWR1" s="9"/>
      <c r="OWS1" s="8"/>
      <c r="OWT1" s="9"/>
      <c r="OWU1" s="8"/>
      <c r="OWV1" s="9"/>
      <c r="OWW1" s="8"/>
      <c r="OWX1" s="9"/>
      <c r="OWY1" s="8"/>
      <c r="OWZ1" s="9"/>
      <c r="OXA1" s="8"/>
      <c r="OXB1" s="9"/>
      <c r="OXC1" s="8"/>
      <c r="OXD1" s="9"/>
      <c r="OXE1" s="8"/>
      <c r="OXF1" s="9"/>
      <c r="OXG1" s="8"/>
      <c r="OXH1" s="9"/>
      <c r="OXI1" s="8"/>
      <c r="OXJ1" s="9"/>
      <c r="OXK1" s="8"/>
      <c r="OXL1" s="9"/>
      <c r="OXM1" s="8"/>
      <c r="OXN1" s="9"/>
      <c r="OXO1" s="8"/>
      <c r="OXP1" s="9"/>
      <c r="OXQ1" s="8"/>
      <c r="OXR1" s="9"/>
      <c r="OXS1" s="8"/>
      <c r="OXT1" s="9"/>
      <c r="OXU1" s="8"/>
      <c r="OXV1" s="9"/>
      <c r="OXW1" s="8"/>
      <c r="OXX1" s="9"/>
      <c r="OXY1" s="8"/>
      <c r="OXZ1" s="9"/>
      <c r="OYA1" s="8"/>
      <c r="OYB1" s="9"/>
      <c r="OYC1" s="8"/>
      <c r="OYD1" s="9"/>
      <c r="OYE1" s="8"/>
      <c r="OYF1" s="9"/>
      <c r="OYG1" s="8"/>
      <c r="OYH1" s="9"/>
      <c r="OYI1" s="8"/>
      <c r="OYJ1" s="9"/>
      <c r="OYK1" s="8"/>
      <c r="OYL1" s="9"/>
      <c r="OYM1" s="8"/>
      <c r="OYN1" s="9"/>
      <c r="OYO1" s="8"/>
      <c r="OYP1" s="9"/>
      <c r="OYQ1" s="8"/>
      <c r="OYR1" s="9"/>
      <c r="OYS1" s="8"/>
      <c r="OYT1" s="9"/>
      <c r="OYU1" s="8"/>
      <c r="OYV1" s="9"/>
      <c r="OYW1" s="8"/>
      <c r="OYX1" s="9"/>
      <c r="OYY1" s="8"/>
      <c r="OYZ1" s="9"/>
      <c r="OZA1" s="8"/>
      <c r="OZB1" s="9"/>
      <c r="OZC1" s="8"/>
      <c r="OZD1" s="9"/>
      <c r="OZE1" s="8"/>
      <c r="OZF1" s="9"/>
      <c r="OZG1" s="8"/>
      <c r="OZH1" s="9"/>
      <c r="OZI1" s="8"/>
      <c r="OZJ1" s="9"/>
      <c r="OZK1" s="8"/>
      <c r="OZL1" s="9"/>
      <c r="OZM1" s="8"/>
      <c r="OZN1" s="9"/>
      <c r="OZO1" s="8"/>
      <c r="OZP1" s="9"/>
      <c r="OZQ1" s="8"/>
      <c r="OZR1" s="9"/>
      <c r="OZS1" s="8"/>
      <c r="OZT1" s="9"/>
      <c r="OZU1" s="8"/>
      <c r="OZV1" s="9"/>
      <c r="OZW1" s="8"/>
      <c r="OZX1" s="9"/>
      <c r="OZY1" s="8"/>
      <c r="OZZ1" s="9"/>
      <c r="PAA1" s="8"/>
      <c r="PAB1" s="9"/>
      <c r="PAC1" s="8"/>
      <c r="PAD1" s="9"/>
      <c r="PAE1" s="8"/>
      <c r="PAF1" s="9"/>
      <c r="PAG1" s="8"/>
      <c r="PAH1" s="9"/>
      <c r="PAI1" s="8"/>
      <c r="PAJ1" s="9"/>
      <c r="PAK1" s="8"/>
      <c r="PAL1" s="9"/>
      <c r="PAM1" s="8"/>
      <c r="PAN1" s="9"/>
      <c r="PAO1" s="8"/>
      <c r="PAP1" s="9"/>
      <c r="PAQ1" s="8"/>
      <c r="PAR1" s="9"/>
      <c r="PAS1" s="8"/>
      <c r="PAT1" s="9"/>
      <c r="PAU1" s="8"/>
      <c r="PAV1" s="9"/>
      <c r="PAW1" s="8"/>
      <c r="PAX1" s="9"/>
      <c r="PAY1" s="8"/>
      <c r="PAZ1" s="9"/>
      <c r="PBA1" s="8"/>
      <c r="PBB1" s="9"/>
      <c r="PBC1" s="8"/>
      <c r="PBD1" s="9"/>
      <c r="PBE1" s="8"/>
      <c r="PBF1" s="9"/>
      <c r="PBG1" s="8"/>
      <c r="PBH1" s="9"/>
      <c r="PBI1" s="8"/>
      <c r="PBJ1" s="9"/>
      <c r="PBK1" s="8"/>
      <c r="PBL1" s="9"/>
      <c r="PBM1" s="8"/>
      <c r="PBN1" s="9"/>
      <c r="PBO1" s="8"/>
      <c r="PBP1" s="9"/>
      <c r="PBQ1" s="8"/>
      <c r="PBR1" s="9"/>
      <c r="PBS1" s="8"/>
      <c r="PBT1" s="9"/>
      <c r="PBU1" s="8"/>
      <c r="PBV1" s="9"/>
      <c r="PBW1" s="8"/>
      <c r="PBX1" s="9"/>
      <c r="PBY1" s="8"/>
      <c r="PBZ1" s="9"/>
      <c r="PCA1" s="8"/>
      <c r="PCB1" s="9"/>
      <c r="PCC1" s="8"/>
      <c r="PCD1" s="9"/>
      <c r="PCE1" s="8"/>
      <c r="PCF1" s="9"/>
      <c r="PCG1" s="8"/>
      <c r="PCH1" s="9"/>
      <c r="PCI1" s="8"/>
      <c r="PCJ1" s="9"/>
      <c r="PCK1" s="8"/>
      <c r="PCL1" s="9"/>
      <c r="PCM1" s="8"/>
      <c r="PCN1" s="9"/>
      <c r="PCO1" s="8"/>
      <c r="PCP1" s="9"/>
      <c r="PCQ1" s="8"/>
      <c r="PCR1" s="9"/>
      <c r="PCS1" s="8"/>
      <c r="PCT1" s="9"/>
      <c r="PCU1" s="8"/>
      <c r="PCV1" s="9"/>
      <c r="PCW1" s="8"/>
      <c r="PCX1" s="9"/>
      <c r="PCY1" s="8"/>
      <c r="PCZ1" s="9"/>
      <c r="PDA1" s="8"/>
      <c r="PDB1" s="9"/>
      <c r="PDC1" s="8"/>
      <c r="PDD1" s="9"/>
      <c r="PDE1" s="8"/>
      <c r="PDF1" s="9"/>
      <c r="PDG1" s="8"/>
      <c r="PDH1" s="9"/>
      <c r="PDI1" s="8"/>
      <c r="PDJ1" s="9"/>
      <c r="PDK1" s="8"/>
      <c r="PDL1" s="9"/>
      <c r="PDM1" s="8"/>
      <c r="PDN1" s="9"/>
      <c r="PDO1" s="8"/>
      <c r="PDP1" s="9"/>
      <c r="PDQ1" s="8"/>
      <c r="PDR1" s="9"/>
      <c r="PDS1" s="8"/>
      <c r="PDT1" s="9"/>
      <c r="PDU1" s="8"/>
      <c r="PDV1" s="9"/>
      <c r="PDW1" s="8"/>
      <c r="PDX1" s="9"/>
      <c r="PDY1" s="8"/>
      <c r="PDZ1" s="9"/>
      <c r="PEA1" s="8"/>
      <c r="PEB1" s="9"/>
      <c r="PEC1" s="8"/>
      <c r="PED1" s="9"/>
      <c r="PEE1" s="8"/>
      <c r="PEF1" s="9"/>
      <c r="PEG1" s="8"/>
      <c r="PEH1" s="9"/>
      <c r="PEI1" s="8"/>
      <c r="PEJ1" s="9"/>
      <c r="PEK1" s="8"/>
      <c r="PEL1" s="9"/>
      <c r="PEM1" s="8"/>
      <c r="PEN1" s="9"/>
      <c r="PEO1" s="8"/>
      <c r="PEP1" s="9"/>
      <c r="PEQ1" s="8"/>
      <c r="PER1" s="9"/>
      <c r="PES1" s="8"/>
      <c r="PET1" s="9"/>
      <c r="PEU1" s="8"/>
      <c r="PEV1" s="9"/>
      <c r="PEW1" s="8"/>
      <c r="PEX1" s="9"/>
      <c r="PEY1" s="8"/>
      <c r="PEZ1" s="9"/>
      <c r="PFA1" s="8"/>
      <c r="PFB1" s="9"/>
      <c r="PFC1" s="8"/>
      <c r="PFD1" s="9"/>
      <c r="PFE1" s="8"/>
      <c r="PFF1" s="9"/>
      <c r="PFG1" s="8"/>
      <c r="PFH1" s="9"/>
      <c r="PFI1" s="8"/>
      <c r="PFJ1" s="9"/>
      <c r="PFK1" s="8"/>
      <c r="PFL1" s="9"/>
      <c r="PFM1" s="8"/>
      <c r="PFN1" s="9"/>
      <c r="PFO1" s="8"/>
      <c r="PFP1" s="9"/>
      <c r="PFQ1" s="8"/>
      <c r="PFR1" s="9"/>
      <c r="PFS1" s="8"/>
      <c r="PFT1" s="9"/>
      <c r="PFU1" s="8"/>
      <c r="PFV1" s="9"/>
      <c r="PFW1" s="8"/>
      <c r="PFX1" s="9"/>
      <c r="PFY1" s="8"/>
      <c r="PFZ1" s="9"/>
      <c r="PGA1" s="8"/>
      <c r="PGB1" s="9"/>
      <c r="PGC1" s="8"/>
      <c r="PGD1" s="9"/>
      <c r="PGE1" s="8"/>
      <c r="PGF1" s="9"/>
      <c r="PGG1" s="8"/>
      <c r="PGH1" s="9"/>
      <c r="PGI1" s="8"/>
      <c r="PGJ1" s="9"/>
      <c r="PGK1" s="8"/>
      <c r="PGL1" s="9"/>
      <c r="PGM1" s="8"/>
      <c r="PGN1" s="9"/>
      <c r="PGO1" s="8"/>
      <c r="PGP1" s="9"/>
      <c r="PGQ1" s="8"/>
      <c r="PGR1" s="9"/>
      <c r="PGS1" s="8"/>
      <c r="PGT1" s="9"/>
      <c r="PGU1" s="8"/>
      <c r="PGV1" s="9"/>
      <c r="PGW1" s="8"/>
      <c r="PGX1" s="9"/>
      <c r="PGY1" s="8"/>
      <c r="PGZ1" s="9"/>
      <c r="PHA1" s="8"/>
      <c r="PHB1" s="9"/>
      <c r="PHC1" s="8"/>
      <c r="PHD1" s="9"/>
      <c r="PHE1" s="8"/>
      <c r="PHF1" s="9"/>
      <c r="PHG1" s="8"/>
      <c r="PHH1" s="9"/>
      <c r="PHI1" s="8"/>
      <c r="PHJ1" s="9"/>
      <c r="PHK1" s="8"/>
      <c r="PHL1" s="9"/>
      <c r="PHM1" s="8"/>
      <c r="PHN1" s="9"/>
      <c r="PHO1" s="8"/>
      <c r="PHP1" s="9"/>
      <c r="PHQ1" s="8"/>
      <c r="PHR1" s="9"/>
      <c r="PHS1" s="8"/>
      <c r="PHT1" s="9"/>
      <c r="PHU1" s="8"/>
      <c r="PHV1" s="9"/>
      <c r="PHW1" s="8"/>
      <c r="PHX1" s="9"/>
      <c r="PHY1" s="8"/>
      <c r="PHZ1" s="9"/>
      <c r="PIA1" s="8"/>
      <c r="PIB1" s="9"/>
      <c r="PIC1" s="8"/>
      <c r="PID1" s="9"/>
      <c r="PIE1" s="8"/>
      <c r="PIF1" s="9"/>
      <c r="PIG1" s="8"/>
      <c r="PIH1" s="9"/>
      <c r="PII1" s="8"/>
      <c r="PIJ1" s="9"/>
      <c r="PIK1" s="8"/>
      <c r="PIL1" s="9"/>
      <c r="PIM1" s="8"/>
      <c r="PIN1" s="9"/>
      <c r="PIO1" s="8"/>
      <c r="PIP1" s="9"/>
      <c r="PIQ1" s="8"/>
      <c r="PIR1" s="9"/>
      <c r="PIS1" s="8"/>
      <c r="PIT1" s="9"/>
      <c r="PIU1" s="8"/>
      <c r="PIV1" s="9"/>
      <c r="PIW1" s="8"/>
      <c r="PIX1" s="9"/>
      <c r="PIY1" s="8"/>
      <c r="PIZ1" s="9"/>
      <c r="PJA1" s="8"/>
      <c r="PJB1" s="9"/>
      <c r="PJC1" s="8"/>
      <c r="PJD1" s="9"/>
      <c r="PJE1" s="8"/>
      <c r="PJF1" s="9"/>
      <c r="PJG1" s="8"/>
      <c r="PJH1" s="9"/>
      <c r="PJI1" s="8"/>
      <c r="PJJ1" s="9"/>
      <c r="PJK1" s="8"/>
      <c r="PJL1" s="9"/>
      <c r="PJM1" s="8"/>
      <c r="PJN1" s="9"/>
      <c r="PJO1" s="8"/>
      <c r="PJP1" s="9"/>
      <c r="PJQ1" s="8"/>
      <c r="PJR1" s="9"/>
      <c r="PJS1" s="8"/>
      <c r="PJT1" s="9"/>
      <c r="PJU1" s="8"/>
      <c r="PJV1" s="9"/>
      <c r="PJW1" s="8"/>
      <c r="PJX1" s="9"/>
      <c r="PJY1" s="8"/>
      <c r="PJZ1" s="9"/>
      <c r="PKA1" s="8"/>
      <c r="PKB1" s="9"/>
      <c r="PKC1" s="8"/>
      <c r="PKD1" s="9"/>
      <c r="PKE1" s="8"/>
      <c r="PKF1" s="9"/>
      <c r="PKG1" s="8"/>
      <c r="PKH1" s="9"/>
      <c r="PKI1" s="8"/>
      <c r="PKJ1" s="9"/>
      <c r="PKK1" s="8"/>
      <c r="PKL1" s="9"/>
      <c r="PKM1" s="8"/>
      <c r="PKN1" s="9"/>
      <c r="PKO1" s="8"/>
      <c r="PKP1" s="9"/>
      <c r="PKQ1" s="8"/>
      <c r="PKR1" s="9"/>
      <c r="PKS1" s="8"/>
      <c r="PKT1" s="9"/>
      <c r="PKU1" s="8"/>
      <c r="PKV1" s="9"/>
      <c r="PKW1" s="8"/>
      <c r="PKX1" s="9"/>
      <c r="PKY1" s="8"/>
      <c r="PKZ1" s="9"/>
      <c r="PLA1" s="8"/>
      <c r="PLB1" s="9"/>
      <c r="PLC1" s="8"/>
      <c r="PLD1" s="9"/>
      <c r="PLE1" s="8"/>
      <c r="PLF1" s="9"/>
      <c r="PLG1" s="8"/>
      <c r="PLH1" s="9"/>
      <c r="PLI1" s="8"/>
      <c r="PLJ1" s="9"/>
      <c r="PLK1" s="8"/>
      <c r="PLL1" s="9"/>
      <c r="PLM1" s="8"/>
      <c r="PLN1" s="9"/>
      <c r="PLO1" s="8"/>
      <c r="PLP1" s="9"/>
      <c r="PLQ1" s="8"/>
      <c r="PLR1" s="9"/>
      <c r="PLS1" s="8"/>
      <c r="PLT1" s="9"/>
      <c r="PLU1" s="8"/>
      <c r="PLV1" s="9"/>
      <c r="PLW1" s="8"/>
      <c r="PLX1" s="9"/>
      <c r="PLY1" s="8"/>
      <c r="PLZ1" s="9"/>
      <c r="PMA1" s="8"/>
      <c r="PMB1" s="9"/>
      <c r="PMC1" s="8"/>
      <c r="PMD1" s="9"/>
      <c r="PME1" s="8"/>
      <c r="PMF1" s="9"/>
      <c r="PMG1" s="8"/>
      <c r="PMH1" s="9"/>
      <c r="PMI1" s="8"/>
      <c r="PMJ1" s="9"/>
      <c r="PMK1" s="8"/>
      <c r="PML1" s="9"/>
      <c r="PMM1" s="8"/>
      <c r="PMN1" s="9"/>
      <c r="PMO1" s="8"/>
      <c r="PMP1" s="9"/>
      <c r="PMQ1" s="8"/>
      <c r="PMR1" s="9"/>
      <c r="PMS1" s="8"/>
      <c r="PMT1" s="9"/>
      <c r="PMU1" s="8"/>
      <c r="PMV1" s="9"/>
      <c r="PMW1" s="8"/>
      <c r="PMX1" s="9"/>
      <c r="PMY1" s="8"/>
      <c r="PMZ1" s="9"/>
      <c r="PNA1" s="8"/>
      <c r="PNB1" s="9"/>
      <c r="PNC1" s="8"/>
      <c r="PND1" s="9"/>
      <c r="PNE1" s="8"/>
      <c r="PNF1" s="9"/>
      <c r="PNG1" s="8"/>
      <c r="PNH1" s="9"/>
      <c r="PNI1" s="8"/>
      <c r="PNJ1" s="9"/>
      <c r="PNK1" s="8"/>
      <c r="PNL1" s="9"/>
      <c r="PNM1" s="8"/>
      <c r="PNN1" s="9"/>
      <c r="PNO1" s="8"/>
      <c r="PNP1" s="9"/>
      <c r="PNQ1" s="8"/>
      <c r="PNR1" s="9"/>
      <c r="PNS1" s="8"/>
      <c r="PNT1" s="9"/>
      <c r="PNU1" s="8"/>
      <c r="PNV1" s="9"/>
      <c r="PNW1" s="8"/>
      <c r="PNX1" s="9"/>
      <c r="PNY1" s="8"/>
      <c r="PNZ1" s="9"/>
      <c r="POA1" s="8"/>
      <c r="POB1" s="9"/>
      <c r="POC1" s="8"/>
      <c r="POD1" s="9"/>
      <c r="POE1" s="8"/>
      <c r="POF1" s="9"/>
      <c r="POG1" s="8"/>
      <c r="POH1" s="9"/>
      <c r="POI1" s="8"/>
      <c r="POJ1" s="9"/>
      <c r="POK1" s="8"/>
      <c r="POL1" s="9"/>
      <c r="POM1" s="8"/>
      <c r="PON1" s="9"/>
      <c r="POO1" s="8"/>
      <c r="POP1" s="9"/>
      <c r="POQ1" s="8"/>
      <c r="POR1" s="9"/>
      <c r="POS1" s="8"/>
      <c r="POT1" s="9"/>
      <c r="POU1" s="8"/>
      <c r="POV1" s="9"/>
      <c r="POW1" s="8"/>
      <c r="POX1" s="9"/>
      <c r="POY1" s="8"/>
      <c r="POZ1" s="9"/>
      <c r="PPA1" s="8"/>
      <c r="PPB1" s="9"/>
      <c r="PPC1" s="8"/>
      <c r="PPD1" s="9"/>
      <c r="PPE1" s="8"/>
      <c r="PPF1" s="9"/>
      <c r="PPG1" s="8"/>
      <c r="PPH1" s="9"/>
      <c r="PPI1" s="8"/>
      <c r="PPJ1" s="9"/>
      <c r="PPK1" s="8"/>
      <c r="PPL1" s="9"/>
      <c r="PPM1" s="8"/>
      <c r="PPN1" s="9"/>
      <c r="PPO1" s="8"/>
      <c r="PPP1" s="9"/>
      <c r="PPQ1" s="8"/>
      <c r="PPR1" s="9"/>
      <c r="PPS1" s="8"/>
      <c r="PPT1" s="9"/>
      <c r="PPU1" s="8"/>
      <c r="PPV1" s="9"/>
      <c r="PPW1" s="8"/>
      <c r="PPX1" s="9"/>
      <c r="PPY1" s="8"/>
      <c r="PPZ1" s="9"/>
      <c r="PQA1" s="8"/>
      <c r="PQB1" s="9"/>
      <c r="PQC1" s="8"/>
      <c r="PQD1" s="9"/>
      <c r="PQE1" s="8"/>
      <c r="PQF1" s="9"/>
      <c r="PQG1" s="8"/>
      <c r="PQH1" s="9"/>
      <c r="PQI1" s="8"/>
      <c r="PQJ1" s="9"/>
      <c r="PQK1" s="8"/>
      <c r="PQL1" s="9"/>
      <c r="PQM1" s="8"/>
      <c r="PQN1" s="9"/>
      <c r="PQO1" s="8"/>
      <c r="PQP1" s="9"/>
      <c r="PQQ1" s="8"/>
      <c r="PQR1" s="9"/>
      <c r="PQS1" s="8"/>
      <c r="PQT1" s="9"/>
      <c r="PQU1" s="8"/>
      <c r="PQV1" s="9"/>
      <c r="PQW1" s="8"/>
      <c r="PQX1" s="9"/>
      <c r="PQY1" s="8"/>
      <c r="PQZ1" s="9"/>
      <c r="PRA1" s="8"/>
      <c r="PRB1" s="9"/>
      <c r="PRC1" s="8"/>
      <c r="PRD1" s="9"/>
      <c r="PRE1" s="8"/>
      <c r="PRF1" s="9"/>
      <c r="PRG1" s="8"/>
      <c r="PRH1" s="9"/>
      <c r="PRI1" s="8"/>
      <c r="PRJ1" s="9"/>
      <c r="PRK1" s="8"/>
      <c r="PRL1" s="9"/>
      <c r="PRM1" s="8"/>
      <c r="PRN1" s="9"/>
      <c r="PRO1" s="8"/>
      <c r="PRP1" s="9"/>
      <c r="PRQ1" s="8"/>
      <c r="PRR1" s="9"/>
      <c r="PRS1" s="8"/>
      <c r="PRT1" s="9"/>
      <c r="PRU1" s="8"/>
      <c r="PRV1" s="9"/>
      <c r="PRW1" s="8"/>
      <c r="PRX1" s="9"/>
      <c r="PRY1" s="8"/>
      <c r="PRZ1" s="9"/>
      <c r="PSA1" s="8"/>
      <c r="PSB1" s="9"/>
      <c r="PSC1" s="8"/>
      <c r="PSD1" s="9"/>
      <c r="PSE1" s="8"/>
      <c r="PSF1" s="9"/>
      <c r="PSG1" s="8"/>
      <c r="PSH1" s="9"/>
      <c r="PSI1" s="8"/>
      <c r="PSJ1" s="9"/>
      <c r="PSK1" s="8"/>
      <c r="PSL1" s="9"/>
      <c r="PSM1" s="8"/>
      <c r="PSN1" s="9"/>
      <c r="PSO1" s="8"/>
      <c r="PSP1" s="9"/>
      <c r="PSQ1" s="8"/>
      <c r="PSR1" s="9"/>
      <c r="PSS1" s="8"/>
      <c r="PST1" s="9"/>
      <c r="PSU1" s="8"/>
      <c r="PSV1" s="9"/>
      <c r="PSW1" s="8"/>
      <c r="PSX1" s="9"/>
      <c r="PSY1" s="8"/>
      <c r="PSZ1" s="9"/>
      <c r="PTA1" s="8"/>
      <c r="PTB1" s="9"/>
      <c r="PTC1" s="8"/>
      <c r="PTD1" s="9"/>
      <c r="PTE1" s="8"/>
      <c r="PTF1" s="9"/>
      <c r="PTG1" s="8"/>
      <c r="PTH1" s="9"/>
      <c r="PTI1" s="8"/>
      <c r="PTJ1" s="9"/>
      <c r="PTK1" s="8"/>
      <c r="PTL1" s="9"/>
      <c r="PTM1" s="8"/>
      <c r="PTN1" s="9"/>
      <c r="PTO1" s="8"/>
      <c r="PTP1" s="9"/>
      <c r="PTQ1" s="8"/>
      <c r="PTR1" s="9"/>
      <c r="PTS1" s="8"/>
      <c r="PTT1" s="9"/>
      <c r="PTU1" s="8"/>
      <c r="PTV1" s="9"/>
      <c r="PTW1" s="8"/>
      <c r="PTX1" s="9"/>
      <c r="PTY1" s="8"/>
      <c r="PTZ1" s="9"/>
      <c r="PUA1" s="8"/>
      <c r="PUB1" s="9"/>
      <c r="PUC1" s="8"/>
      <c r="PUD1" s="9"/>
      <c r="PUE1" s="8"/>
      <c r="PUF1" s="9"/>
      <c r="PUG1" s="8"/>
      <c r="PUH1" s="9"/>
      <c r="PUI1" s="8"/>
      <c r="PUJ1" s="9"/>
      <c r="PUK1" s="8"/>
      <c r="PUL1" s="9"/>
      <c r="PUM1" s="8"/>
      <c r="PUN1" s="9"/>
      <c r="PUO1" s="8"/>
      <c r="PUP1" s="9"/>
      <c r="PUQ1" s="8"/>
      <c r="PUR1" s="9"/>
      <c r="PUS1" s="8"/>
      <c r="PUT1" s="9"/>
      <c r="PUU1" s="8"/>
      <c r="PUV1" s="9"/>
      <c r="PUW1" s="8"/>
      <c r="PUX1" s="9"/>
      <c r="PUY1" s="8"/>
      <c r="PUZ1" s="9"/>
      <c r="PVA1" s="8"/>
      <c r="PVB1" s="9"/>
      <c r="PVC1" s="8"/>
      <c r="PVD1" s="9"/>
      <c r="PVE1" s="8"/>
      <c r="PVF1" s="9"/>
      <c r="PVG1" s="8"/>
      <c r="PVH1" s="9"/>
      <c r="PVI1" s="8"/>
      <c r="PVJ1" s="9"/>
      <c r="PVK1" s="8"/>
      <c r="PVL1" s="9"/>
      <c r="PVM1" s="8"/>
      <c r="PVN1" s="9"/>
      <c r="PVO1" s="8"/>
      <c r="PVP1" s="9"/>
      <c r="PVQ1" s="8"/>
      <c r="PVR1" s="9"/>
      <c r="PVS1" s="8"/>
      <c r="PVT1" s="9"/>
      <c r="PVU1" s="8"/>
      <c r="PVV1" s="9"/>
      <c r="PVW1" s="8"/>
      <c r="PVX1" s="9"/>
      <c r="PVY1" s="8"/>
      <c r="PVZ1" s="9"/>
      <c r="PWA1" s="8"/>
      <c r="PWB1" s="9"/>
      <c r="PWC1" s="8"/>
      <c r="PWD1" s="9"/>
      <c r="PWE1" s="8"/>
      <c r="PWF1" s="9"/>
      <c r="PWG1" s="8"/>
      <c r="PWH1" s="9"/>
      <c r="PWI1" s="8"/>
      <c r="PWJ1" s="9"/>
      <c r="PWK1" s="8"/>
      <c r="PWL1" s="9"/>
      <c r="PWM1" s="8"/>
      <c r="PWN1" s="9"/>
      <c r="PWO1" s="8"/>
      <c r="PWP1" s="9"/>
      <c r="PWQ1" s="8"/>
      <c r="PWR1" s="9"/>
      <c r="PWS1" s="8"/>
      <c r="PWT1" s="9"/>
      <c r="PWU1" s="8"/>
      <c r="PWV1" s="9"/>
      <c r="PWW1" s="8"/>
      <c r="PWX1" s="9"/>
      <c r="PWY1" s="8"/>
      <c r="PWZ1" s="9"/>
      <c r="PXA1" s="8"/>
      <c r="PXB1" s="9"/>
      <c r="PXC1" s="8"/>
      <c r="PXD1" s="9"/>
      <c r="PXE1" s="8"/>
      <c r="PXF1" s="9"/>
      <c r="PXG1" s="8"/>
      <c r="PXH1" s="9"/>
      <c r="PXI1" s="8"/>
      <c r="PXJ1" s="9"/>
      <c r="PXK1" s="8"/>
      <c r="PXL1" s="9"/>
      <c r="PXM1" s="8"/>
      <c r="PXN1" s="9"/>
      <c r="PXO1" s="8"/>
      <c r="PXP1" s="9"/>
      <c r="PXQ1" s="8"/>
      <c r="PXR1" s="9"/>
      <c r="PXS1" s="8"/>
      <c r="PXT1" s="9"/>
      <c r="PXU1" s="8"/>
      <c r="PXV1" s="9"/>
      <c r="PXW1" s="8"/>
      <c r="PXX1" s="9"/>
      <c r="PXY1" s="8"/>
      <c r="PXZ1" s="9"/>
      <c r="PYA1" s="8"/>
      <c r="PYB1" s="9"/>
      <c r="PYC1" s="8"/>
      <c r="PYD1" s="9"/>
      <c r="PYE1" s="8"/>
      <c r="PYF1" s="9"/>
      <c r="PYG1" s="8"/>
      <c r="PYH1" s="9"/>
      <c r="PYI1" s="8"/>
      <c r="PYJ1" s="9"/>
      <c r="PYK1" s="8"/>
      <c r="PYL1" s="9"/>
      <c r="PYM1" s="8"/>
      <c r="PYN1" s="9"/>
      <c r="PYO1" s="8"/>
      <c r="PYP1" s="9"/>
      <c r="PYQ1" s="8"/>
      <c r="PYR1" s="9"/>
      <c r="PYS1" s="8"/>
      <c r="PYT1" s="9"/>
      <c r="PYU1" s="8"/>
      <c r="PYV1" s="9"/>
      <c r="PYW1" s="8"/>
      <c r="PYX1" s="9"/>
      <c r="PYY1" s="8"/>
      <c r="PYZ1" s="9"/>
      <c r="PZA1" s="8"/>
      <c r="PZB1" s="9"/>
      <c r="PZC1" s="8"/>
      <c r="PZD1" s="9"/>
      <c r="PZE1" s="8"/>
      <c r="PZF1" s="9"/>
      <c r="PZG1" s="8"/>
      <c r="PZH1" s="9"/>
      <c r="PZI1" s="8"/>
      <c r="PZJ1" s="9"/>
      <c r="PZK1" s="8"/>
      <c r="PZL1" s="9"/>
      <c r="PZM1" s="8"/>
      <c r="PZN1" s="9"/>
      <c r="PZO1" s="8"/>
      <c r="PZP1" s="9"/>
      <c r="PZQ1" s="8"/>
      <c r="PZR1" s="9"/>
      <c r="PZS1" s="8"/>
      <c r="PZT1" s="9"/>
      <c r="PZU1" s="8"/>
      <c r="PZV1" s="9"/>
      <c r="PZW1" s="8"/>
      <c r="PZX1" s="9"/>
      <c r="PZY1" s="8"/>
      <c r="PZZ1" s="9"/>
      <c r="QAA1" s="8"/>
      <c r="QAB1" s="9"/>
      <c r="QAC1" s="8"/>
      <c r="QAD1" s="9"/>
      <c r="QAE1" s="8"/>
      <c r="QAF1" s="9"/>
      <c r="QAG1" s="8"/>
      <c r="QAH1" s="9"/>
      <c r="QAI1" s="8"/>
      <c r="QAJ1" s="9"/>
      <c r="QAK1" s="8"/>
      <c r="QAL1" s="9"/>
      <c r="QAM1" s="8"/>
      <c r="QAN1" s="9"/>
      <c r="QAO1" s="8"/>
      <c r="QAP1" s="9"/>
      <c r="QAQ1" s="8"/>
      <c r="QAR1" s="9"/>
      <c r="QAS1" s="8"/>
      <c r="QAT1" s="9"/>
      <c r="QAU1" s="8"/>
      <c r="QAV1" s="9"/>
      <c r="QAW1" s="8"/>
      <c r="QAX1" s="9"/>
      <c r="QAY1" s="8"/>
      <c r="QAZ1" s="9"/>
      <c r="QBA1" s="8"/>
      <c r="QBB1" s="9"/>
      <c r="QBC1" s="8"/>
      <c r="QBD1" s="9"/>
      <c r="QBE1" s="8"/>
      <c r="QBF1" s="9"/>
      <c r="QBG1" s="8"/>
      <c r="QBH1" s="9"/>
      <c r="QBI1" s="8"/>
      <c r="QBJ1" s="9"/>
      <c r="QBK1" s="8"/>
      <c r="QBL1" s="9"/>
      <c r="QBM1" s="8"/>
      <c r="QBN1" s="9"/>
      <c r="QBO1" s="8"/>
      <c r="QBP1" s="9"/>
      <c r="QBQ1" s="8"/>
      <c r="QBR1" s="9"/>
      <c r="QBS1" s="8"/>
      <c r="QBT1" s="9"/>
      <c r="QBU1" s="8"/>
      <c r="QBV1" s="9"/>
      <c r="QBW1" s="8"/>
      <c r="QBX1" s="9"/>
      <c r="QBY1" s="8"/>
      <c r="QBZ1" s="9"/>
      <c r="QCA1" s="8"/>
      <c r="QCB1" s="9"/>
      <c r="QCC1" s="8"/>
      <c r="QCD1" s="9"/>
      <c r="QCE1" s="8"/>
      <c r="QCF1" s="9"/>
      <c r="QCG1" s="8"/>
      <c r="QCH1" s="9"/>
      <c r="QCI1" s="8"/>
      <c r="QCJ1" s="9"/>
      <c r="QCK1" s="8"/>
      <c r="QCL1" s="9"/>
      <c r="QCM1" s="8"/>
      <c r="QCN1" s="9"/>
      <c r="QCO1" s="8"/>
      <c r="QCP1" s="9"/>
      <c r="QCQ1" s="8"/>
      <c r="QCR1" s="9"/>
      <c r="QCS1" s="8"/>
      <c r="QCT1" s="9"/>
      <c r="QCU1" s="8"/>
      <c r="QCV1" s="9"/>
      <c r="QCW1" s="8"/>
      <c r="QCX1" s="9"/>
      <c r="QCY1" s="8"/>
      <c r="QCZ1" s="9"/>
      <c r="QDA1" s="8"/>
      <c r="QDB1" s="9"/>
      <c r="QDC1" s="8"/>
      <c r="QDD1" s="9"/>
      <c r="QDE1" s="8"/>
      <c r="QDF1" s="9"/>
      <c r="QDG1" s="8"/>
      <c r="QDH1" s="9"/>
      <c r="QDI1" s="8"/>
      <c r="QDJ1" s="9"/>
      <c r="QDK1" s="8"/>
      <c r="QDL1" s="9"/>
      <c r="QDM1" s="8"/>
      <c r="QDN1" s="9"/>
      <c r="QDO1" s="8"/>
      <c r="QDP1" s="9"/>
      <c r="QDQ1" s="8"/>
      <c r="QDR1" s="9"/>
      <c r="QDS1" s="8"/>
      <c r="QDT1" s="9"/>
      <c r="QDU1" s="8"/>
      <c r="QDV1" s="9"/>
      <c r="QDW1" s="8"/>
      <c r="QDX1" s="9"/>
      <c r="QDY1" s="8"/>
      <c r="QDZ1" s="9"/>
      <c r="QEA1" s="8"/>
      <c r="QEB1" s="9"/>
      <c r="QEC1" s="8"/>
      <c r="QED1" s="9"/>
      <c r="QEE1" s="8"/>
      <c r="QEF1" s="9"/>
      <c r="QEG1" s="8"/>
      <c r="QEH1" s="9"/>
      <c r="QEI1" s="8"/>
      <c r="QEJ1" s="9"/>
      <c r="QEK1" s="8"/>
      <c r="QEL1" s="9"/>
      <c r="QEM1" s="8"/>
      <c r="QEN1" s="9"/>
      <c r="QEO1" s="8"/>
      <c r="QEP1" s="9"/>
      <c r="QEQ1" s="8"/>
      <c r="QER1" s="9"/>
      <c r="QES1" s="8"/>
      <c r="QET1" s="9"/>
      <c r="QEU1" s="8"/>
      <c r="QEV1" s="9"/>
      <c r="QEW1" s="8"/>
      <c r="QEX1" s="9"/>
      <c r="QEY1" s="8"/>
      <c r="QEZ1" s="9"/>
      <c r="QFA1" s="8"/>
      <c r="QFB1" s="9"/>
      <c r="QFC1" s="8"/>
      <c r="QFD1" s="9"/>
      <c r="QFE1" s="8"/>
      <c r="QFF1" s="9"/>
      <c r="QFG1" s="8"/>
      <c r="QFH1" s="9"/>
      <c r="QFI1" s="8"/>
      <c r="QFJ1" s="9"/>
      <c r="QFK1" s="8"/>
      <c r="QFL1" s="9"/>
      <c r="QFM1" s="8"/>
      <c r="QFN1" s="9"/>
      <c r="QFO1" s="8"/>
      <c r="QFP1" s="9"/>
      <c r="QFQ1" s="8"/>
      <c r="QFR1" s="9"/>
      <c r="QFS1" s="8"/>
      <c r="QFT1" s="9"/>
      <c r="QFU1" s="8"/>
      <c r="QFV1" s="9"/>
      <c r="QFW1" s="8"/>
      <c r="QFX1" s="9"/>
      <c r="QFY1" s="8"/>
      <c r="QFZ1" s="9"/>
      <c r="QGA1" s="8"/>
      <c r="QGB1" s="9"/>
      <c r="QGC1" s="8"/>
      <c r="QGD1" s="9"/>
      <c r="QGE1" s="8"/>
      <c r="QGF1" s="9"/>
      <c r="QGG1" s="8"/>
      <c r="QGH1" s="9"/>
      <c r="QGI1" s="8"/>
      <c r="QGJ1" s="9"/>
      <c r="QGK1" s="8"/>
      <c r="QGL1" s="9"/>
      <c r="QGM1" s="8"/>
      <c r="QGN1" s="9"/>
      <c r="QGO1" s="8"/>
      <c r="QGP1" s="9"/>
      <c r="QGQ1" s="8"/>
      <c r="QGR1" s="9"/>
      <c r="QGS1" s="8"/>
      <c r="QGT1" s="9"/>
      <c r="QGU1" s="8"/>
      <c r="QGV1" s="9"/>
      <c r="QGW1" s="8"/>
      <c r="QGX1" s="9"/>
      <c r="QGY1" s="8"/>
      <c r="QGZ1" s="9"/>
      <c r="QHA1" s="8"/>
      <c r="QHB1" s="9"/>
      <c r="QHC1" s="8"/>
      <c r="QHD1" s="9"/>
      <c r="QHE1" s="8"/>
      <c r="QHF1" s="9"/>
      <c r="QHG1" s="8"/>
      <c r="QHH1" s="9"/>
      <c r="QHI1" s="8"/>
      <c r="QHJ1" s="9"/>
      <c r="QHK1" s="8"/>
      <c r="QHL1" s="9"/>
      <c r="QHM1" s="8"/>
      <c r="QHN1" s="9"/>
      <c r="QHO1" s="8"/>
      <c r="QHP1" s="9"/>
      <c r="QHQ1" s="8"/>
      <c r="QHR1" s="9"/>
      <c r="QHS1" s="8"/>
      <c r="QHT1" s="9"/>
      <c r="QHU1" s="8"/>
      <c r="QHV1" s="9"/>
      <c r="QHW1" s="8"/>
      <c r="QHX1" s="9"/>
      <c r="QHY1" s="8"/>
      <c r="QHZ1" s="9"/>
      <c r="QIA1" s="8"/>
      <c r="QIB1" s="9"/>
      <c r="QIC1" s="8"/>
      <c r="QID1" s="9"/>
      <c r="QIE1" s="8"/>
      <c r="QIF1" s="9"/>
      <c r="QIG1" s="8"/>
      <c r="QIH1" s="9"/>
      <c r="QII1" s="8"/>
      <c r="QIJ1" s="9"/>
      <c r="QIK1" s="8"/>
      <c r="QIL1" s="9"/>
      <c r="QIM1" s="8"/>
      <c r="QIN1" s="9"/>
      <c r="QIO1" s="8"/>
      <c r="QIP1" s="9"/>
      <c r="QIQ1" s="8"/>
      <c r="QIR1" s="9"/>
      <c r="QIS1" s="8"/>
      <c r="QIT1" s="9"/>
      <c r="QIU1" s="8"/>
      <c r="QIV1" s="9"/>
      <c r="QIW1" s="8"/>
      <c r="QIX1" s="9"/>
      <c r="QIY1" s="8"/>
      <c r="QIZ1" s="9"/>
      <c r="QJA1" s="8"/>
      <c r="QJB1" s="9"/>
      <c r="QJC1" s="8"/>
      <c r="QJD1" s="9"/>
      <c r="QJE1" s="8"/>
      <c r="QJF1" s="9"/>
      <c r="QJG1" s="8"/>
      <c r="QJH1" s="9"/>
      <c r="QJI1" s="8"/>
      <c r="QJJ1" s="9"/>
      <c r="QJK1" s="8"/>
      <c r="QJL1" s="9"/>
      <c r="QJM1" s="8"/>
      <c r="QJN1" s="9"/>
      <c r="QJO1" s="8"/>
      <c r="QJP1" s="9"/>
      <c r="QJQ1" s="8"/>
      <c r="QJR1" s="9"/>
      <c r="QJS1" s="8"/>
      <c r="QJT1" s="9"/>
      <c r="QJU1" s="8"/>
      <c r="QJV1" s="9"/>
      <c r="QJW1" s="8"/>
      <c r="QJX1" s="9"/>
      <c r="QJY1" s="8"/>
      <c r="QJZ1" s="9"/>
      <c r="QKA1" s="8"/>
      <c r="QKB1" s="9"/>
      <c r="QKC1" s="8"/>
      <c r="QKD1" s="9"/>
      <c r="QKE1" s="8"/>
      <c r="QKF1" s="9"/>
      <c r="QKG1" s="8"/>
      <c r="QKH1" s="9"/>
      <c r="QKI1" s="8"/>
      <c r="QKJ1" s="9"/>
      <c r="QKK1" s="8"/>
      <c r="QKL1" s="9"/>
      <c r="QKM1" s="8"/>
      <c r="QKN1" s="9"/>
      <c r="QKO1" s="8"/>
      <c r="QKP1" s="9"/>
      <c r="QKQ1" s="8"/>
      <c r="QKR1" s="9"/>
      <c r="QKS1" s="8"/>
      <c r="QKT1" s="9"/>
      <c r="QKU1" s="8"/>
      <c r="QKV1" s="9"/>
      <c r="QKW1" s="8"/>
      <c r="QKX1" s="9"/>
      <c r="QKY1" s="8"/>
      <c r="QKZ1" s="9"/>
      <c r="QLA1" s="8"/>
      <c r="QLB1" s="9"/>
      <c r="QLC1" s="8"/>
      <c r="QLD1" s="9"/>
      <c r="QLE1" s="8"/>
      <c r="QLF1" s="9"/>
      <c r="QLG1" s="8"/>
      <c r="QLH1" s="9"/>
      <c r="QLI1" s="8"/>
      <c r="QLJ1" s="9"/>
      <c r="QLK1" s="8"/>
      <c r="QLL1" s="9"/>
      <c r="QLM1" s="8"/>
      <c r="QLN1" s="9"/>
      <c r="QLO1" s="8"/>
      <c r="QLP1" s="9"/>
      <c r="QLQ1" s="8"/>
      <c r="QLR1" s="9"/>
      <c r="QLS1" s="8"/>
      <c r="QLT1" s="9"/>
      <c r="QLU1" s="8"/>
      <c r="QLV1" s="9"/>
      <c r="QLW1" s="8"/>
      <c r="QLX1" s="9"/>
      <c r="QLY1" s="8"/>
      <c r="QLZ1" s="9"/>
      <c r="QMA1" s="8"/>
      <c r="QMB1" s="9"/>
      <c r="QMC1" s="8"/>
      <c r="QMD1" s="9"/>
      <c r="QME1" s="8"/>
      <c r="QMF1" s="9"/>
      <c r="QMG1" s="8"/>
      <c r="QMH1" s="9"/>
      <c r="QMI1" s="8"/>
      <c r="QMJ1" s="9"/>
      <c r="QMK1" s="8"/>
      <c r="QML1" s="9"/>
      <c r="QMM1" s="8"/>
      <c r="QMN1" s="9"/>
      <c r="QMO1" s="8"/>
      <c r="QMP1" s="9"/>
      <c r="QMQ1" s="8"/>
      <c r="QMR1" s="9"/>
      <c r="QMS1" s="8"/>
      <c r="QMT1" s="9"/>
      <c r="QMU1" s="8"/>
      <c r="QMV1" s="9"/>
      <c r="QMW1" s="8"/>
      <c r="QMX1" s="9"/>
      <c r="QMY1" s="8"/>
      <c r="QMZ1" s="9"/>
      <c r="QNA1" s="8"/>
      <c r="QNB1" s="9"/>
      <c r="QNC1" s="8"/>
      <c r="QND1" s="9"/>
      <c r="QNE1" s="8"/>
      <c r="QNF1" s="9"/>
      <c r="QNG1" s="8"/>
      <c r="QNH1" s="9"/>
      <c r="QNI1" s="8"/>
      <c r="QNJ1" s="9"/>
      <c r="QNK1" s="8"/>
      <c r="QNL1" s="9"/>
      <c r="QNM1" s="8"/>
      <c r="QNN1" s="9"/>
      <c r="QNO1" s="8"/>
      <c r="QNP1" s="9"/>
      <c r="QNQ1" s="8"/>
      <c r="QNR1" s="9"/>
      <c r="QNS1" s="8"/>
      <c r="QNT1" s="9"/>
      <c r="QNU1" s="8"/>
      <c r="QNV1" s="9"/>
      <c r="QNW1" s="8"/>
      <c r="QNX1" s="9"/>
      <c r="QNY1" s="8"/>
      <c r="QNZ1" s="9"/>
      <c r="QOA1" s="8"/>
      <c r="QOB1" s="9"/>
      <c r="QOC1" s="8"/>
      <c r="QOD1" s="9"/>
      <c r="QOE1" s="8"/>
      <c r="QOF1" s="9"/>
      <c r="QOG1" s="8"/>
      <c r="QOH1" s="9"/>
      <c r="QOI1" s="8"/>
      <c r="QOJ1" s="9"/>
      <c r="QOK1" s="8"/>
      <c r="QOL1" s="9"/>
      <c r="QOM1" s="8"/>
      <c r="QON1" s="9"/>
      <c r="QOO1" s="8"/>
      <c r="QOP1" s="9"/>
      <c r="QOQ1" s="8"/>
      <c r="QOR1" s="9"/>
      <c r="QOS1" s="8"/>
      <c r="QOT1" s="9"/>
      <c r="QOU1" s="8"/>
      <c r="QOV1" s="9"/>
      <c r="QOW1" s="8"/>
      <c r="QOX1" s="9"/>
      <c r="QOY1" s="8"/>
      <c r="QOZ1" s="9"/>
      <c r="QPA1" s="8"/>
      <c r="QPB1" s="9"/>
      <c r="QPC1" s="8"/>
      <c r="QPD1" s="9"/>
      <c r="QPE1" s="8"/>
      <c r="QPF1" s="9"/>
      <c r="QPG1" s="8"/>
      <c r="QPH1" s="9"/>
      <c r="QPI1" s="8"/>
      <c r="QPJ1" s="9"/>
      <c r="QPK1" s="8"/>
      <c r="QPL1" s="9"/>
      <c r="QPM1" s="8"/>
      <c r="QPN1" s="9"/>
      <c r="QPO1" s="8"/>
      <c r="QPP1" s="9"/>
      <c r="QPQ1" s="8"/>
      <c r="QPR1" s="9"/>
      <c r="QPS1" s="8"/>
      <c r="QPT1" s="9"/>
      <c r="QPU1" s="8"/>
      <c r="QPV1" s="9"/>
      <c r="QPW1" s="8"/>
      <c r="QPX1" s="9"/>
      <c r="QPY1" s="8"/>
      <c r="QPZ1" s="9"/>
      <c r="QQA1" s="8"/>
      <c r="QQB1" s="9"/>
      <c r="QQC1" s="8"/>
      <c r="QQD1" s="9"/>
      <c r="QQE1" s="8"/>
      <c r="QQF1" s="9"/>
      <c r="QQG1" s="8"/>
      <c r="QQH1" s="9"/>
      <c r="QQI1" s="8"/>
      <c r="QQJ1" s="9"/>
      <c r="QQK1" s="8"/>
      <c r="QQL1" s="9"/>
      <c r="QQM1" s="8"/>
      <c r="QQN1" s="9"/>
      <c r="QQO1" s="8"/>
      <c r="QQP1" s="9"/>
      <c r="QQQ1" s="8"/>
      <c r="QQR1" s="9"/>
      <c r="QQS1" s="8"/>
      <c r="QQT1" s="9"/>
      <c r="QQU1" s="8"/>
      <c r="QQV1" s="9"/>
      <c r="QQW1" s="8"/>
      <c r="QQX1" s="9"/>
      <c r="QQY1" s="8"/>
      <c r="QQZ1" s="9"/>
      <c r="QRA1" s="8"/>
      <c r="QRB1" s="9"/>
      <c r="QRC1" s="8"/>
      <c r="QRD1" s="9"/>
      <c r="QRE1" s="8"/>
      <c r="QRF1" s="9"/>
      <c r="QRG1" s="8"/>
      <c r="QRH1" s="9"/>
      <c r="QRI1" s="8"/>
      <c r="QRJ1" s="9"/>
      <c r="QRK1" s="8"/>
      <c r="QRL1" s="9"/>
      <c r="QRM1" s="8"/>
      <c r="QRN1" s="9"/>
      <c r="QRO1" s="8"/>
      <c r="QRP1" s="9"/>
      <c r="QRQ1" s="8"/>
      <c r="QRR1" s="9"/>
      <c r="QRS1" s="8"/>
      <c r="QRT1" s="9"/>
      <c r="QRU1" s="8"/>
      <c r="QRV1" s="9"/>
      <c r="QRW1" s="8"/>
      <c r="QRX1" s="9"/>
      <c r="QRY1" s="8"/>
      <c r="QRZ1" s="9"/>
      <c r="QSA1" s="8"/>
      <c r="QSB1" s="9"/>
      <c r="QSC1" s="8"/>
      <c r="QSD1" s="9"/>
      <c r="QSE1" s="8"/>
      <c r="QSF1" s="9"/>
      <c r="QSG1" s="8"/>
      <c r="QSH1" s="9"/>
      <c r="QSI1" s="8"/>
      <c r="QSJ1" s="9"/>
      <c r="QSK1" s="8"/>
      <c r="QSL1" s="9"/>
      <c r="QSM1" s="8"/>
      <c r="QSN1" s="9"/>
      <c r="QSO1" s="8"/>
      <c r="QSP1" s="9"/>
      <c r="QSQ1" s="8"/>
      <c r="QSR1" s="9"/>
      <c r="QSS1" s="8"/>
      <c r="QST1" s="9"/>
      <c r="QSU1" s="8"/>
      <c r="QSV1" s="9"/>
      <c r="QSW1" s="8"/>
      <c r="QSX1" s="9"/>
      <c r="QSY1" s="8"/>
      <c r="QSZ1" s="9"/>
      <c r="QTA1" s="8"/>
      <c r="QTB1" s="9"/>
      <c r="QTC1" s="8"/>
      <c r="QTD1" s="9"/>
      <c r="QTE1" s="8"/>
      <c r="QTF1" s="9"/>
      <c r="QTG1" s="8"/>
      <c r="QTH1" s="9"/>
      <c r="QTI1" s="8"/>
      <c r="QTJ1" s="9"/>
      <c r="QTK1" s="8"/>
      <c r="QTL1" s="9"/>
      <c r="QTM1" s="8"/>
      <c r="QTN1" s="9"/>
      <c r="QTO1" s="8"/>
      <c r="QTP1" s="9"/>
      <c r="QTQ1" s="8"/>
      <c r="QTR1" s="9"/>
      <c r="QTS1" s="8"/>
      <c r="QTT1" s="9"/>
      <c r="QTU1" s="8"/>
      <c r="QTV1" s="9"/>
      <c r="QTW1" s="8"/>
      <c r="QTX1" s="9"/>
      <c r="QTY1" s="8"/>
      <c r="QTZ1" s="9"/>
      <c r="QUA1" s="8"/>
      <c r="QUB1" s="9"/>
      <c r="QUC1" s="8"/>
      <c r="QUD1" s="9"/>
      <c r="QUE1" s="8"/>
      <c r="QUF1" s="9"/>
      <c r="QUG1" s="8"/>
      <c r="QUH1" s="9"/>
      <c r="QUI1" s="8"/>
      <c r="QUJ1" s="9"/>
      <c r="QUK1" s="8"/>
      <c r="QUL1" s="9"/>
      <c r="QUM1" s="8"/>
      <c r="QUN1" s="9"/>
      <c r="QUO1" s="8"/>
      <c r="QUP1" s="9"/>
      <c r="QUQ1" s="8"/>
      <c r="QUR1" s="9"/>
      <c r="QUS1" s="8"/>
      <c r="QUT1" s="9"/>
      <c r="QUU1" s="8"/>
      <c r="QUV1" s="9"/>
      <c r="QUW1" s="8"/>
      <c r="QUX1" s="9"/>
      <c r="QUY1" s="8"/>
      <c r="QUZ1" s="9"/>
      <c r="QVA1" s="8"/>
      <c r="QVB1" s="9"/>
      <c r="QVC1" s="8"/>
      <c r="QVD1" s="9"/>
      <c r="QVE1" s="8"/>
      <c r="QVF1" s="9"/>
      <c r="QVG1" s="8"/>
      <c r="QVH1" s="9"/>
      <c r="QVI1" s="8"/>
      <c r="QVJ1" s="9"/>
      <c r="QVK1" s="8"/>
      <c r="QVL1" s="9"/>
      <c r="QVM1" s="8"/>
      <c r="QVN1" s="9"/>
      <c r="QVO1" s="8"/>
      <c r="QVP1" s="9"/>
      <c r="QVQ1" s="8"/>
      <c r="QVR1" s="9"/>
      <c r="QVS1" s="8"/>
      <c r="QVT1" s="9"/>
      <c r="QVU1" s="8"/>
      <c r="QVV1" s="9"/>
      <c r="QVW1" s="8"/>
      <c r="QVX1" s="9"/>
      <c r="QVY1" s="8"/>
      <c r="QVZ1" s="9"/>
      <c r="QWA1" s="8"/>
      <c r="QWB1" s="9"/>
      <c r="QWC1" s="8"/>
      <c r="QWD1" s="9"/>
      <c r="QWE1" s="8"/>
      <c r="QWF1" s="9"/>
      <c r="QWG1" s="8"/>
      <c r="QWH1" s="9"/>
      <c r="QWI1" s="8"/>
      <c r="QWJ1" s="9"/>
      <c r="QWK1" s="8"/>
      <c r="QWL1" s="9"/>
      <c r="QWM1" s="8"/>
      <c r="QWN1" s="9"/>
      <c r="QWO1" s="8"/>
      <c r="QWP1" s="9"/>
      <c r="QWQ1" s="8"/>
      <c r="QWR1" s="9"/>
      <c r="QWS1" s="8"/>
      <c r="QWT1" s="9"/>
      <c r="QWU1" s="8"/>
      <c r="QWV1" s="9"/>
      <c r="QWW1" s="8"/>
      <c r="QWX1" s="9"/>
      <c r="QWY1" s="8"/>
      <c r="QWZ1" s="9"/>
      <c r="QXA1" s="8"/>
      <c r="QXB1" s="9"/>
      <c r="QXC1" s="8"/>
      <c r="QXD1" s="9"/>
      <c r="QXE1" s="8"/>
      <c r="QXF1" s="9"/>
      <c r="QXG1" s="8"/>
      <c r="QXH1" s="9"/>
      <c r="QXI1" s="8"/>
      <c r="QXJ1" s="9"/>
      <c r="QXK1" s="8"/>
      <c r="QXL1" s="9"/>
      <c r="QXM1" s="8"/>
      <c r="QXN1" s="9"/>
      <c r="QXO1" s="8"/>
      <c r="QXP1" s="9"/>
      <c r="QXQ1" s="8"/>
      <c r="QXR1" s="9"/>
      <c r="QXS1" s="8"/>
      <c r="QXT1" s="9"/>
      <c r="QXU1" s="8"/>
      <c r="QXV1" s="9"/>
      <c r="QXW1" s="8"/>
      <c r="QXX1" s="9"/>
      <c r="QXY1" s="8"/>
      <c r="QXZ1" s="9"/>
      <c r="QYA1" s="8"/>
      <c r="QYB1" s="9"/>
      <c r="QYC1" s="8"/>
      <c r="QYD1" s="9"/>
      <c r="QYE1" s="8"/>
      <c r="QYF1" s="9"/>
      <c r="QYG1" s="8"/>
      <c r="QYH1" s="9"/>
      <c r="QYI1" s="8"/>
      <c r="QYJ1" s="9"/>
      <c r="QYK1" s="8"/>
      <c r="QYL1" s="9"/>
      <c r="QYM1" s="8"/>
      <c r="QYN1" s="9"/>
      <c r="QYO1" s="8"/>
      <c r="QYP1" s="9"/>
      <c r="QYQ1" s="8"/>
      <c r="QYR1" s="9"/>
      <c r="QYS1" s="8"/>
      <c r="QYT1" s="9"/>
      <c r="QYU1" s="8"/>
      <c r="QYV1" s="9"/>
      <c r="QYW1" s="8"/>
      <c r="QYX1" s="9"/>
      <c r="QYY1" s="8"/>
      <c r="QYZ1" s="9"/>
      <c r="QZA1" s="8"/>
      <c r="QZB1" s="9"/>
      <c r="QZC1" s="8"/>
      <c r="QZD1" s="9"/>
      <c r="QZE1" s="8"/>
      <c r="QZF1" s="9"/>
      <c r="QZG1" s="8"/>
      <c r="QZH1" s="9"/>
      <c r="QZI1" s="8"/>
      <c r="QZJ1" s="9"/>
      <c r="QZK1" s="8"/>
      <c r="QZL1" s="9"/>
      <c r="QZM1" s="8"/>
      <c r="QZN1" s="9"/>
      <c r="QZO1" s="8"/>
      <c r="QZP1" s="9"/>
      <c r="QZQ1" s="8"/>
      <c r="QZR1" s="9"/>
      <c r="QZS1" s="8"/>
      <c r="QZT1" s="9"/>
      <c r="QZU1" s="8"/>
      <c r="QZV1" s="9"/>
      <c r="QZW1" s="8"/>
      <c r="QZX1" s="9"/>
      <c r="QZY1" s="8"/>
      <c r="QZZ1" s="9"/>
      <c r="RAA1" s="8"/>
      <c r="RAB1" s="9"/>
      <c r="RAC1" s="8"/>
      <c r="RAD1" s="9"/>
      <c r="RAE1" s="8"/>
      <c r="RAF1" s="9"/>
      <c r="RAG1" s="8"/>
      <c r="RAH1" s="9"/>
      <c r="RAI1" s="8"/>
      <c r="RAJ1" s="9"/>
      <c r="RAK1" s="8"/>
      <c r="RAL1" s="9"/>
      <c r="RAM1" s="8"/>
      <c r="RAN1" s="9"/>
      <c r="RAO1" s="8"/>
      <c r="RAP1" s="9"/>
      <c r="RAQ1" s="8"/>
      <c r="RAR1" s="9"/>
      <c r="RAS1" s="8"/>
      <c r="RAT1" s="9"/>
      <c r="RAU1" s="8"/>
      <c r="RAV1" s="9"/>
      <c r="RAW1" s="8"/>
      <c r="RAX1" s="9"/>
      <c r="RAY1" s="8"/>
      <c r="RAZ1" s="9"/>
      <c r="RBA1" s="8"/>
      <c r="RBB1" s="9"/>
      <c r="RBC1" s="8"/>
      <c r="RBD1" s="9"/>
      <c r="RBE1" s="8"/>
      <c r="RBF1" s="9"/>
      <c r="RBG1" s="8"/>
      <c r="RBH1" s="9"/>
      <c r="RBI1" s="8"/>
      <c r="RBJ1" s="9"/>
      <c r="RBK1" s="8"/>
      <c r="RBL1" s="9"/>
      <c r="RBM1" s="8"/>
      <c r="RBN1" s="9"/>
      <c r="RBO1" s="8"/>
      <c r="RBP1" s="9"/>
      <c r="RBQ1" s="8"/>
      <c r="RBR1" s="9"/>
      <c r="RBS1" s="8"/>
      <c r="RBT1" s="9"/>
      <c r="RBU1" s="8"/>
      <c r="RBV1" s="9"/>
      <c r="RBW1" s="8"/>
      <c r="RBX1" s="9"/>
      <c r="RBY1" s="8"/>
      <c r="RBZ1" s="9"/>
      <c r="RCA1" s="8"/>
      <c r="RCB1" s="9"/>
      <c r="RCC1" s="8"/>
      <c r="RCD1" s="9"/>
      <c r="RCE1" s="8"/>
      <c r="RCF1" s="9"/>
      <c r="RCG1" s="8"/>
      <c r="RCH1" s="9"/>
      <c r="RCI1" s="8"/>
      <c r="RCJ1" s="9"/>
      <c r="RCK1" s="8"/>
      <c r="RCL1" s="9"/>
      <c r="RCM1" s="8"/>
      <c r="RCN1" s="9"/>
      <c r="RCO1" s="8"/>
      <c r="RCP1" s="9"/>
      <c r="RCQ1" s="8"/>
      <c r="RCR1" s="9"/>
      <c r="RCS1" s="8"/>
      <c r="RCT1" s="9"/>
      <c r="RCU1" s="8"/>
      <c r="RCV1" s="9"/>
      <c r="RCW1" s="8"/>
      <c r="RCX1" s="9"/>
      <c r="RCY1" s="8"/>
      <c r="RCZ1" s="9"/>
      <c r="RDA1" s="8"/>
      <c r="RDB1" s="9"/>
      <c r="RDC1" s="8"/>
      <c r="RDD1" s="9"/>
      <c r="RDE1" s="8"/>
      <c r="RDF1" s="9"/>
      <c r="RDG1" s="8"/>
      <c r="RDH1" s="9"/>
      <c r="RDI1" s="8"/>
      <c r="RDJ1" s="9"/>
      <c r="RDK1" s="8"/>
      <c r="RDL1" s="9"/>
      <c r="RDM1" s="8"/>
      <c r="RDN1" s="9"/>
      <c r="RDO1" s="8"/>
      <c r="RDP1" s="9"/>
      <c r="RDQ1" s="8"/>
      <c r="RDR1" s="9"/>
      <c r="RDS1" s="8"/>
      <c r="RDT1" s="9"/>
      <c r="RDU1" s="8"/>
      <c r="RDV1" s="9"/>
      <c r="RDW1" s="8"/>
      <c r="RDX1" s="9"/>
      <c r="RDY1" s="8"/>
      <c r="RDZ1" s="9"/>
      <c r="REA1" s="8"/>
      <c r="REB1" s="9"/>
      <c r="REC1" s="8"/>
      <c r="RED1" s="9"/>
      <c r="REE1" s="8"/>
      <c r="REF1" s="9"/>
      <c r="REG1" s="8"/>
      <c r="REH1" s="9"/>
      <c r="REI1" s="8"/>
      <c r="REJ1" s="9"/>
      <c r="REK1" s="8"/>
      <c r="REL1" s="9"/>
      <c r="REM1" s="8"/>
      <c r="REN1" s="9"/>
      <c r="REO1" s="8"/>
      <c r="REP1" s="9"/>
      <c r="REQ1" s="8"/>
      <c r="RER1" s="9"/>
      <c r="RES1" s="8"/>
      <c r="RET1" s="9"/>
      <c r="REU1" s="8"/>
      <c r="REV1" s="9"/>
      <c r="REW1" s="8"/>
      <c r="REX1" s="9"/>
      <c r="REY1" s="8"/>
      <c r="REZ1" s="9"/>
      <c r="RFA1" s="8"/>
      <c r="RFB1" s="9"/>
      <c r="RFC1" s="8"/>
      <c r="RFD1" s="9"/>
      <c r="RFE1" s="8"/>
      <c r="RFF1" s="9"/>
      <c r="RFG1" s="8"/>
      <c r="RFH1" s="9"/>
      <c r="RFI1" s="8"/>
      <c r="RFJ1" s="9"/>
      <c r="RFK1" s="8"/>
      <c r="RFL1" s="9"/>
      <c r="RFM1" s="8"/>
      <c r="RFN1" s="9"/>
      <c r="RFO1" s="8"/>
      <c r="RFP1" s="9"/>
      <c r="RFQ1" s="8"/>
      <c r="RFR1" s="9"/>
      <c r="RFS1" s="8"/>
      <c r="RFT1" s="9"/>
      <c r="RFU1" s="8"/>
      <c r="RFV1" s="9"/>
      <c r="RFW1" s="8"/>
      <c r="RFX1" s="9"/>
      <c r="RFY1" s="8"/>
      <c r="RFZ1" s="9"/>
      <c r="RGA1" s="8"/>
      <c r="RGB1" s="9"/>
      <c r="RGC1" s="8"/>
      <c r="RGD1" s="9"/>
      <c r="RGE1" s="8"/>
      <c r="RGF1" s="9"/>
      <c r="RGG1" s="8"/>
      <c r="RGH1" s="9"/>
      <c r="RGI1" s="8"/>
      <c r="RGJ1" s="9"/>
      <c r="RGK1" s="8"/>
      <c r="RGL1" s="9"/>
      <c r="RGM1" s="8"/>
      <c r="RGN1" s="9"/>
      <c r="RGO1" s="8"/>
      <c r="RGP1" s="9"/>
      <c r="RGQ1" s="8"/>
      <c r="RGR1" s="9"/>
      <c r="RGS1" s="8"/>
      <c r="RGT1" s="9"/>
      <c r="RGU1" s="8"/>
      <c r="RGV1" s="9"/>
      <c r="RGW1" s="8"/>
      <c r="RGX1" s="9"/>
      <c r="RGY1" s="8"/>
      <c r="RGZ1" s="9"/>
      <c r="RHA1" s="8"/>
      <c r="RHB1" s="9"/>
      <c r="RHC1" s="8"/>
      <c r="RHD1" s="9"/>
      <c r="RHE1" s="8"/>
      <c r="RHF1" s="9"/>
      <c r="RHG1" s="8"/>
      <c r="RHH1" s="9"/>
      <c r="RHI1" s="8"/>
      <c r="RHJ1" s="9"/>
      <c r="RHK1" s="8"/>
      <c r="RHL1" s="9"/>
      <c r="RHM1" s="8"/>
      <c r="RHN1" s="9"/>
      <c r="RHO1" s="8"/>
      <c r="RHP1" s="9"/>
      <c r="RHQ1" s="8"/>
      <c r="RHR1" s="9"/>
      <c r="RHS1" s="8"/>
      <c r="RHT1" s="9"/>
      <c r="RHU1" s="8"/>
      <c r="RHV1" s="9"/>
      <c r="RHW1" s="8"/>
      <c r="RHX1" s="9"/>
      <c r="RHY1" s="8"/>
      <c r="RHZ1" s="9"/>
      <c r="RIA1" s="8"/>
      <c r="RIB1" s="9"/>
      <c r="RIC1" s="8"/>
      <c r="RID1" s="9"/>
      <c r="RIE1" s="8"/>
      <c r="RIF1" s="9"/>
      <c r="RIG1" s="8"/>
      <c r="RIH1" s="9"/>
      <c r="RII1" s="8"/>
      <c r="RIJ1" s="9"/>
      <c r="RIK1" s="8"/>
      <c r="RIL1" s="9"/>
      <c r="RIM1" s="8"/>
      <c r="RIN1" s="9"/>
      <c r="RIO1" s="8"/>
      <c r="RIP1" s="9"/>
      <c r="RIQ1" s="8"/>
      <c r="RIR1" s="9"/>
      <c r="RIS1" s="8"/>
      <c r="RIT1" s="9"/>
      <c r="RIU1" s="8"/>
      <c r="RIV1" s="9"/>
      <c r="RIW1" s="8"/>
      <c r="RIX1" s="9"/>
      <c r="RIY1" s="8"/>
      <c r="RIZ1" s="9"/>
      <c r="RJA1" s="8"/>
      <c r="RJB1" s="9"/>
      <c r="RJC1" s="8"/>
      <c r="RJD1" s="9"/>
      <c r="RJE1" s="8"/>
      <c r="RJF1" s="9"/>
      <c r="RJG1" s="8"/>
      <c r="RJH1" s="9"/>
      <c r="RJI1" s="8"/>
      <c r="RJJ1" s="9"/>
      <c r="RJK1" s="8"/>
      <c r="RJL1" s="9"/>
      <c r="RJM1" s="8"/>
      <c r="RJN1" s="9"/>
      <c r="RJO1" s="8"/>
      <c r="RJP1" s="9"/>
      <c r="RJQ1" s="8"/>
      <c r="RJR1" s="9"/>
      <c r="RJS1" s="8"/>
      <c r="RJT1" s="9"/>
      <c r="RJU1" s="8"/>
      <c r="RJV1" s="9"/>
      <c r="RJW1" s="8"/>
      <c r="RJX1" s="9"/>
      <c r="RJY1" s="8"/>
      <c r="RJZ1" s="9"/>
      <c r="RKA1" s="8"/>
      <c r="RKB1" s="9"/>
      <c r="RKC1" s="8"/>
      <c r="RKD1" s="9"/>
      <c r="RKE1" s="8"/>
      <c r="RKF1" s="9"/>
      <c r="RKG1" s="8"/>
      <c r="RKH1" s="9"/>
      <c r="RKI1" s="8"/>
      <c r="RKJ1" s="9"/>
      <c r="RKK1" s="8"/>
      <c r="RKL1" s="9"/>
      <c r="RKM1" s="8"/>
      <c r="RKN1" s="9"/>
      <c r="RKO1" s="8"/>
      <c r="RKP1" s="9"/>
      <c r="RKQ1" s="8"/>
      <c r="RKR1" s="9"/>
      <c r="RKS1" s="8"/>
      <c r="RKT1" s="9"/>
      <c r="RKU1" s="8"/>
      <c r="RKV1" s="9"/>
      <c r="RKW1" s="8"/>
      <c r="RKX1" s="9"/>
      <c r="RKY1" s="8"/>
      <c r="RKZ1" s="9"/>
      <c r="RLA1" s="8"/>
      <c r="RLB1" s="9"/>
      <c r="RLC1" s="8"/>
      <c r="RLD1" s="9"/>
      <c r="RLE1" s="8"/>
      <c r="RLF1" s="9"/>
      <c r="RLG1" s="8"/>
      <c r="RLH1" s="9"/>
      <c r="RLI1" s="8"/>
      <c r="RLJ1" s="9"/>
      <c r="RLK1" s="8"/>
      <c r="RLL1" s="9"/>
      <c r="RLM1" s="8"/>
      <c r="RLN1" s="9"/>
      <c r="RLO1" s="8"/>
      <c r="RLP1" s="9"/>
      <c r="RLQ1" s="8"/>
      <c r="RLR1" s="9"/>
      <c r="RLS1" s="8"/>
      <c r="RLT1" s="9"/>
      <c r="RLU1" s="8"/>
      <c r="RLV1" s="9"/>
      <c r="RLW1" s="8"/>
      <c r="RLX1" s="9"/>
      <c r="RLY1" s="8"/>
      <c r="RLZ1" s="9"/>
      <c r="RMA1" s="8"/>
      <c r="RMB1" s="9"/>
      <c r="RMC1" s="8"/>
      <c r="RMD1" s="9"/>
      <c r="RME1" s="8"/>
      <c r="RMF1" s="9"/>
      <c r="RMG1" s="8"/>
      <c r="RMH1" s="9"/>
      <c r="RMI1" s="8"/>
      <c r="RMJ1" s="9"/>
      <c r="RMK1" s="8"/>
      <c r="RML1" s="9"/>
      <c r="RMM1" s="8"/>
      <c r="RMN1" s="9"/>
      <c r="RMO1" s="8"/>
      <c r="RMP1" s="9"/>
      <c r="RMQ1" s="8"/>
      <c r="RMR1" s="9"/>
      <c r="RMS1" s="8"/>
      <c r="RMT1" s="9"/>
      <c r="RMU1" s="8"/>
      <c r="RMV1" s="9"/>
      <c r="RMW1" s="8"/>
      <c r="RMX1" s="9"/>
      <c r="RMY1" s="8"/>
      <c r="RMZ1" s="9"/>
      <c r="RNA1" s="8"/>
      <c r="RNB1" s="9"/>
      <c r="RNC1" s="8"/>
      <c r="RND1" s="9"/>
      <c r="RNE1" s="8"/>
      <c r="RNF1" s="9"/>
      <c r="RNG1" s="8"/>
      <c r="RNH1" s="9"/>
      <c r="RNI1" s="8"/>
      <c r="RNJ1" s="9"/>
      <c r="RNK1" s="8"/>
      <c r="RNL1" s="9"/>
      <c r="RNM1" s="8"/>
      <c r="RNN1" s="9"/>
      <c r="RNO1" s="8"/>
      <c r="RNP1" s="9"/>
      <c r="RNQ1" s="8"/>
      <c r="RNR1" s="9"/>
      <c r="RNS1" s="8"/>
      <c r="RNT1" s="9"/>
      <c r="RNU1" s="8"/>
      <c r="RNV1" s="9"/>
      <c r="RNW1" s="8"/>
      <c r="RNX1" s="9"/>
      <c r="RNY1" s="8"/>
      <c r="RNZ1" s="9"/>
      <c r="ROA1" s="8"/>
      <c r="ROB1" s="9"/>
      <c r="ROC1" s="8"/>
      <c r="ROD1" s="9"/>
      <c r="ROE1" s="8"/>
      <c r="ROF1" s="9"/>
      <c r="ROG1" s="8"/>
      <c r="ROH1" s="9"/>
      <c r="ROI1" s="8"/>
      <c r="ROJ1" s="9"/>
      <c r="ROK1" s="8"/>
      <c r="ROL1" s="9"/>
      <c r="ROM1" s="8"/>
      <c r="RON1" s="9"/>
      <c r="ROO1" s="8"/>
      <c r="ROP1" s="9"/>
      <c r="ROQ1" s="8"/>
      <c r="ROR1" s="9"/>
      <c r="ROS1" s="8"/>
      <c r="ROT1" s="9"/>
      <c r="ROU1" s="8"/>
      <c r="ROV1" s="9"/>
      <c r="ROW1" s="8"/>
      <c r="ROX1" s="9"/>
      <c r="ROY1" s="8"/>
      <c r="ROZ1" s="9"/>
      <c r="RPA1" s="8"/>
      <c r="RPB1" s="9"/>
      <c r="RPC1" s="8"/>
      <c r="RPD1" s="9"/>
      <c r="RPE1" s="8"/>
      <c r="RPF1" s="9"/>
      <c r="RPG1" s="8"/>
      <c r="RPH1" s="9"/>
      <c r="RPI1" s="8"/>
      <c r="RPJ1" s="9"/>
      <c r="RPK1" s="8"/>
      <c r="RPL1" s="9"/>
      <c r="RPM1" s="8"/>
      <c r="RPN1" s="9"/>
      <c r="RPO1" s="8"/>
      <c r="RPP1" s="9"/>
      <c r="RPQ1" s="8"/>
      <c r="RPR1" s="9"/>
      <c r="RPS1" s="8"/>
      <c r="RPT1" s="9"/>
      <c r="RPU1" s="8"/>
      <c r="RPV1" s="9"/>
      <c r="RPW1" s="8"/>
      <c r="RPX1" s="9"/>
      <c r="RPY1" s="8"/>
      <c r="RPZ1" s="9"/>
      <c r="RQA1" s="8"/>
      <c r="RQB1" s="9"/>
      <c r="RQC1" s="8"/>
      <c r="RQD1" s="9"/>
      <c r="RQE1" s="8"/>
      <c r="RQF1" s="9"/>
      <c r="RQG1" s="8"/>
      <c r="RQH1" s="9"/>
      <c r="RQI1" s="8"/>
      <c r="RQJ1" s="9"/>
      <c r="RQK1" s="8"/>
      <c r="RQL1" s="9"/>
      <c r="RQM1" s="8"/>
      <c r="RQN1" s="9"/>
      <c r="RQO1" s="8"/>
      <c r="RQP1" s="9"/>
      <c r="RQQ1" s="8"/>
      <c r="RQR1" s="9"/>
      <c r="RQS1" s="8"/>
      <c r="RQT1" s="9"/>
      <c r="RQU1" s="8"/>
      <c r="RQV1" s="9"/>
      <c r="RQW1" s="8"/>
      <c r="RQX1" s="9"/>
      <c r="RQY1" s="8"/>
      <c r="RQZ1" s="9"/>
      <c r="RRA1" s="8"/>
      <c r="RRB1" s="9"/>
      <c r="RRC1" s="8"/>
      <c r="RRD1" s="9"/>
      <c r="RRE1" s="8"/>
      <c r="RRF1" s="9"/>
      <c r="RRG1" s="8"/>
      <c r="RRH1" s="9"/>
      <c r="RRI1" s="8"/>
      <c r="RRJ1" s="9"/>
      <c r="RRK1" s="8"/>
      <c r="RRL1" s="9"/>
      <c r="RRM1" s="8"/>
      <c r="RRN1" s="9"/>
      <c r="RRO1" s="8"/>
      <c r="RRP1" s="9"/>
      <c r="RRQ1" s="8"/>
      <c r="RRR1" s="9"/>
      <c r="RRS1" s="8"/>
      <c r="RRT1" s="9"/>
      <c r="RRU1" s="8"/>
      <c r="RRV1" s="9"/>
      <c r="RRW1" s="8"/>
      <c r="RRX1" s="9"/>
      <c r="RRY1" s="8"/>
      <c r="RRZ1" s="9"/>
      <c r="RSA1" s="8"/>
      <c r="RSB1" s="9"/>
      <c r="RSC1" s="8"/>
      <c r="RSD1" s="9"/>
      <c r="RSE1" s="8"/>
      <c r="RSF1" s="9"/>
      <c r="RSG1" s="8"/>
      <c r="RSH1" s="9"/>
      <c r="RSI1" s="8"/>
      <c r="RSJ1" s="9"/>
      <c r="RSK1" s="8"/>
      <c r="RSL1" s="9"/>
      <c r="RSM1" s="8"/>
      <c r="RSN1" s="9"/>
      <c r="RSO1" s="8"/>
      <c r="RSP1" s="9"/>
      <c r="RSQ1" s="8"/>
      <c r="RSR1" s="9"/>
      <c r="RSS1" s="8"/>
      <c r="RST1" s="9"/>
      <c r="RSU1" s="8"/>
      <c r="RSV1" s="9"/>
      <c r="RSW1" s="8"/>
      <c r="RSX1" s="9"/>
      <c r="RSY1" s="8"/>
      <c r="RSZ1" s="9"/>
      <c r="RTA1" s="8"/>
      <c r="RTB1" s="9"/>
      <c r="RTC1" s="8"/>
      <c r="RTD1" s="9"/>
      <c r="RTE1" s="8"/>
      <c r="RTF1" s="9"/>
      <c r="RTG1" s="8"/>
      <c r="RTH1" s="9"/>
      <c r="RTI1" s="8"/>
      <c r="RTJ1" s="9"/>
      <c r="RTK1" s="8"/>
      <c r="RTL1" s="9"/>
      <c r="RTM1" s="8"/>
      <c r="RTN1" s="9"/>
      <c r="RTO1" s="8"/>
      <c r="RTP1" s="9"/>
      <c r="RTQ1" s="8"/>
      <c r="RTR1" s="9"/>
      <c r="RTS1" s="8"/>
      <c r="RTT1" s="9"/>
      <c r="RTU1" s="8"/>
      <c r="RTV1" s="9"/>
      <c r="RTW1" s="8"/>
      <c r="RTX1" s="9"/>
      <c r="RTY1" s="8"/>
      <c r="RTZ1" s="9"/>
      <c r="RUA1" s="8"/>
      <c r="RUB1" s="9"/>
      <c r="RUC1" s="8"/>
      <c r="RUD1" s="9"/>
      <c r="RUE1" s="8"/>
      <c r="RUF1" s="9"/>
      <c r="RUG1" s="8"/>
      <c r="RUH1" s="9"/>
      <c r="RUI1" s="8"/>
      <c r="RUJ1" s="9"/>
      <c r="RUK1" s="8"/>
      <c r="RUL1" s="9"/>
      <c r="RUM1" s="8"/>
      <c r="RUN1" s="9"/>
      <c r="RUO1" s="8"/>
      <c r="RUP1" s="9"/>
      <c r="RUQ1" s="8"/>
      <c r="RUR1" s="9"/>
      <c r="RUS1" s="8"/>
      <c r="RUT1" s="9"/>
      <c r="RUU1" s="8"/>
      <c r="RUV1" s="9"/>
      <c r="RUW1" s="8"/>
      <c r="RUX1" s="9"/>
      <c r="RUY1" s="8"/>
      <c r="RUZ1" s="9"/>
      <c r="RVA1" s="8"/>
      <c r="RVB1" s="9"/>
      <c r="RVC1" s="8"/>
      <c r="RVD1" s="9"/>
      <c r="RVE1" s="8"/>
      <c r="RVF1" s="9"/>
      <c r="RVG1" s="8"/>
      <c r="RVH1" s="9"/>
      <c r="RVI1" s="8"/>
      <c r="RVJ1" s="9"/>
      <c r="RVK1" s="8"/>
      <c r="RVL1" s="9"/>
      <c r="RVM1" s="8"/>
      <c r="RVN1" s="9"/>
      <c r="RVO1" s="8"/>
      <c r="RVP1" s="9"/>
      <c r="RVQ1" s="8"/>
      <c r="RVR1" s="9"/>
      <c r="RVS1" s="8"/>
      <c r="RVT1" s="9"/>
      <c r="RVU1" s="8"/>
      <c r="RVV1" s="9"/>
      <c r="RVW1" s="8"/>
      <c r="RVX1" s="9"/>
      <c r="RVY1" s="8"/>
      <c r="RVZ1" s="9"/>
      <c r="RWA1" s="8"/>
      <c r="RWB1" s="9"/>
      <c r="RWC1" s="8"/>
      <c r="RWD1" s="9"/>
      <c r="RWE1" s="8"/>
      <c r="RWF1" s="9"/>
      <c r="RWG1" s="8"/>
      <c r="RWH1" s="9"/>
      <c r="RWI1" s="8"/>
      <c r="RWJ1" s="9"/>
      <c r="RWK1" s="8"/>
      <c r="RWL1" s="9"/>
      <c r="RWM1" s="8"/>
      <c r="RWN1" s="9"/>
      <c r="RWO1" s="8"/>
      <c r="RWP1" s="9"/>
      <c r="RWQ1" s="8"/>
      <c r="RWR1" s="9"/>
      <c r="RWS1" s="8"/>
      <c r="RWT1" s="9"/>
      <c r="RWU1" s="8"/>
      <c r="RWV1" s="9"/>
      <c r="RWW1" s="8"/>
      <c r="RWX1" s="9"/>
      <c r="RWY1" s="8"/>
      <c r="RWZ1" s="9"/>
      <c r="RXA1" s="8"/>
      <c r="RXB1" s="9"/>
      <c r="RXC1" s="8"/>
      <c r="RXD1" s="9"/>
      <c r="RXE1" s="8"/>
      <c r="RXF1" s="9"/>
      <c r="RXG1" s="8"/>
      <c r="RXH1" s="9"/>
      <c r="RXI1" s="8"/>
      <c r="RXJ1" s="9"/>
      <c r="RXK1" s="8"/>
      <c r="RXL1" s="9"/>
      <c r="RXM1" s="8"/>
      <c r="RXN1" s="9"/>
      <c r="RXO1" s="8"/>
      <c r="RXP1" s="9"/>
      <c r="RXQ1" s="8"/>
      <c r="RXR1" s="9"/>
      <c r="RXS1" s="8"/>
      <c r="RXT1" s="9"/>
      <c r="RXU1" s="8"/>
      <c r="RXV1" s="9"/>
      <c r="RXW1" s="8"/>
      <c r="RXX1" s="9"/>
      <c r="RXY1" s="8"/>
      <c r="RXZ1" s="9"/>
      <c r="RYA1" s="8"/>
      <c r="RYB1" s="9"/>
      <c r="RYC1" s="8"/>
      <c r="RYD1" s="9"/>
      <c r="RYE1" s="8"/>
      <c r="RYF1" s="9"/>
      <c r="RYG1" s="8"/>
      <c r="RYH1" s="9"/>
      <c r="RYI1" s="8"/>
      <c r="RYJ1" s="9"/>
      <c r="RYK1" s="8"/>
      <c r="RYL1" s="9"/>
      <c r="RYM1" s="8"/>
      <c r="RYN1" s="9"/>
      <c r="RYO1" s="8"/>
      <c r="RYP1" s="9"/>
      <c r="RYQ1" s="8"/>
      <c r="RYR1" s="9"/>
      <c r="RYS1" s="8"/>
      <c r="RYT1" s="9"/>
      <c r="RYU1" s="8"/>
      <c r="RYV1" s="9"/>
      <c r="RYW1" s="8"/>
      <c r="RYX1" s="9"/>
      <c r="RYY1" s="8"/>
      <c r="RYZ1" s="9"/>
      <c r="RZA1" s="8"/>
      <c r="RZB1" s="9"/>
      <c r="RZC1" s="8"/>
      <c r="RZD1" s="9"/>
      <c r="RZE1" s="8"/>
      <c r="RZF1" s="9"/>
      <c r="RZG1" s="8"/>
      <c r="RZH1" s="9"/>
      <c r="RZI1" s="8"/>
      <c r="RZJ1" s="9"/>
      <c r="RZK1" s="8"/>
      <c r="RZL1" s="9"/>
      <c r="RZM1" s="8"/>
      <c r="RZN1" s="9"/>
      <c r="RZO1" s="8"/>
      <c r="RZP1" s="9"/>
      <c r="RZQ1" s="8"/>
      <c r="RZR1" s="9"/>
      <c r="RZS1" s="8"/>
      <c r="RZT1" s="9"/>
      <c r="RZU1" s="8"/>
      <c r="RZV1" s="9"/>
      <c r="RZW1" s="8"/>
      <c r="RZX1" s="9"/>
      <c r="RZY1" s="8"/>
      <c r="RZZ1" s="9"/>
      <c r="SAA1" s="8"/>
      <c r="SAB1" s="9"/>
      <c r="SAC1" s="8"/>
      <c r="SAD1" s="9"/>
      <c r="SAE1" s="8"/>
      <c r="SAF1" s="9"/>
      <c r="SAG1" s="8"/>
      <c r="SAH1" s="9"/>
      <c r="SAI1" s="8"/>
      <c r="SAJ1" s="9"/>
      <c r="SAK1" s="8"/>
      <c r="SAL1" s="9"/>
      <c r="SAM1" s="8"/>
      <c r="SAN1" s="9"/>
      <c r="SAO1" s="8"/>
      <c r="SAP1" s="9"/>
      <c r="SAQ1" s="8"/>
      <c r="SAR1" s="9"/>
      <c r="SAS1" s="8"/>
      <c r="SAT1" s="9"/>
      <c r="SAU1" s="8"/>
      <c r="SAV1" s="9"/>
      <c r="SAW1" s="8"/>
      <c r="SAX1" s="9"/>
      <c r="SAY1" s="8"/>
      <c r="SAZ1" s="9"/>
      <c r="SBA1" s="8"/>
      <c r="SBB1" s="9"/>
      <c r="SBC1" s="8"/>
      <c r="SBD1" s="9"/>
      <c r="SBE1" s="8"/>
      <c r="SBF1" s="9"/>
      <c r="SBG1" s="8"/>
      <c r="SBH1" s="9"/>
      <c r="SBI1" s="8"/>
      <c r="SBJ1" s="9"/>
      <c r="SBK1" s="8"/>
      <c r="SBL1" s="9"/>
      <c r="SBM1" s="8"/>
      <c r="SBN1" s="9"/>
      <c r="SBO1" s="8"/>
      <c r="SBP1" s="9"/>
      <c r="SBQ1" s="8"/>
      <c r="SBR1" s="9"/>
      <c r="SBS1" s="8"/>
      <c r="SBT1" s="9"/>
      <c r="SBU1" s="8"/>
      <c r="SBV1" s="9"/>
      <c r="SBW1" s="8"/>
      <c r="SBX1" s="9"/>
      <c r="SBY1" s="8"/>
      <c r="SBZ1" s="9"/>
      <c r="SCA1" s="8"/>
      <c r="SCB1" s="9"/>
      <c r="SCC1" s="8"/>
      <c r="SCD1" s="9"/>
      <c r="SCE1" s="8"/>
      <c r="SCF1" s="9"/>
      <c r="SCG1" s="8"/>
      <c r="SCH1" s="9"/>
      <c r="SCI1" s="8"/>
      <c r="SCJ1" s="9"/>
      <c r="SCK1" s="8"/>
      <c r="SCL1" s="9"/>
      <c r="SCM1" s="8"/>
      <c r="SCN1" s="9"/>
      <c r="SCO1" s="8"/>
      <c r="SCP1" s="9"/>
      <c r="SCQ1" s="8"/>
      <c r="SCR1" s="9"/>
      <c r="SCS1" s="8"/>
      <c r="SCT1" s="9"/>
      <c r="SCU1" s="8"/>
      <c r="SCV1" s="9"/>
      <c r="SCW1" s="8"/>
      <c r="SCX1" s="9"/>
      <c r="SCY1" s="8"/>
      <c r="SCZ1" s="9"/>
      <c r="SDA1" s="8"/>
      <c r="SDB1" s="9"/>
      <c r="SDC1" s="8"/>
      <c r="SDD1" s="9"/>
      <c r="SDE1" s="8"/>
      <c r="SDF1" s="9"/>
      <c r="SDG1" s="8"/>
      <c r="SDH1" s="9"/>
      <c r="SDI1" s="8"/>
      <c r="SDJ1" s="9"/>
      <c r="SDK1" s="8"/>
      <c r="SDL1" s="9"/>
      <c r="SDM1" s="8"/>
      <c r="SDN1" s="9"/>
      <c r="SDO1" s="8"/>
      <c r="SDP1" s="9"/>
      <c r="SDQ1" s="8"/>
      <c r="SDR1" s="9"/>
      <c r="SDS1" s="8"/>
      <c r="SDT1" s="9"/>
      <c r="SDU1" s="8"/>
      <c r="SDV1" s="9"/>
      <c r="SDW1" s="8"/>
      <c r="SDX1" s="9"/>
      <c r="SDY1" s="8"/>
      <c r="SDZ1" s="9"/>
      <c r="SEA1" s="8"/>
      <c r="SEB1" s="9"/>
      <c r="SEC1" s="8"/>
      <c r="SED1" s="9"/>
      <c r="SEE1" s="8"/>
      <c r="SEF1" s="9"/>
      <c r="SEG1" s="8"/>
      <c r="SEH1" s="9"/>
      <c r="SEI1" s="8"/>
      <c r="SEJ1" s="9"/>
      <c r="SEK1" s="8"/>
      <c r="SEL1" s="9"/>
      <c r="SEM1" s="8"/>
      <c r="SEN1" s="9"/>
      <c r="SEO1" s="8"/>
      <c r="SEP1" s="9"/>
      <c r="SEQ1" s="8"/>
      <c r="SER1" s="9"/>
      <c r="SES1" s="8"/>
      <c r="SET1" s="9"/>
      <c r="SEU1" s="8"/>
      <c r="SEV1" s="9"/>
      <c r="SEW1" s="8"/>
      <c r="SEX1" s="9"/>
      <c r="SEY1" s="8"/>
      <c r="SEZ1" s="9"/>
      <c r="SFA1" s="8"/>
      <c r="SFB1" s="9"/>
      <c r="SFC1" s="8"/>
      <c r="SFD1" s="9"/>
      <c r="SFE1" s="8"/>
      <c r="SFF1" s="9"/>
      <c r="SFG1" s="8"/>
      <c r="SFH1" s="9"/>
      <c r="SFI1" s="8"/>
      <c r="SFJ1" s="9"/>
      <c r="SFK1" s="8"/>
      <c r="SFL1" s="9"/>
      <c r="SFM1" s="8"/>
      <c r="SFN1" s="9"/>
      <c r="SFO1" s="8"/>
      <c r="SFP1" s="9"/>
      <c r="SFQ1" s="8"/>
      <c r="SFR1" s="9"/>
      <c r="SFS1" s="8"/>
      <c r="SFT1" s="9"/>
      <c r="SFU1" s="8"/>
      <c r="SFV1" s="9"/>
      <c r="SFW1" s="8"/>
      <c r="SFX1" s="9"/>
      <c r="SFY1" s="8"/>
      <c r="SFZ1" s="9"/>
      <c r="SGA1" s="8"/>
      <c r="SGB1" s="9"/>
      <c r="SGC1" s="8"/>
      <c r="SGD1" s="9"/>
      <c r="SGE1" s="8"/>
      <c r="SGF1" s="9"/>
      <c r="SGG1" s="8"/>
      <c r="SGH1" s="9"/>
      <c r="SGI1" s="8"/>
      <c r="SGJ1" s="9"/>
      <c r="SGK1" s="8"/>
      <c r="SGL1" s="9"/>
      <c r="SGM1" s="8"/>
      <c r="SGN1" s="9"/>
      <c r="SGO1" s="8"/>
      <c r="SGP1" s="9"/>
      <c r="SGQ1" s="8"/>
      <c r="SGR1" s="9"/>
      <c r="SGS1" s="8"/>
      <c r="SGT1" s="9"/>
      <c r="SGU1" s="8"/>
      <c r="SGV1" s="9"/>
      <c r="SGW1" s="8"/>
      <c r="SGX1" s="9"/>
      <c r="SGY1" s="8"/>
      <c r="SGZ1" s="9"/>
      <c r="SHA1" s="8"/>
      <c r="SHB1" s="9"/>
      <c r="SHC1" s="8"/>
      <c r="SHD1" s="9"/>
      <c r="SHE1" s="8"/>
      <c r="SHF1" s="9"/>
      <c r="SHG1" s="8"/>
      <c r="SHH1" s="9"/>
      <c r="SHI1" s="8"/>
      <c r="SHJ1" s="9"/>
      <c r="SHK1" s="8"/>
      <c r="SHL1" s="9"/>
      <c r="SHM1" s="8"/>
      <c r="SHN1" s="9"/>
      <c r="SHO1" s="8"/>
      <c r="SHP1" s="9"/>
      <c r="SHQ1" s="8"/>
      <c r="SHR1" s="9"/>
      <c r="SHS1" s="8"/>
      <c r="SHT1" s="9"/>
      <c r="SHU1" s="8"/>
      <c r="SHV1" s="9"/>
      <c r="SHW1" s="8"/>
      <c r="SHX1" s="9"/>
      <c r="SHY1" s="8"/>
      <c r="SHZ1" s="9"/>
      <c r="SIA1" s="8"/>
      <c r="SIB1" s="9"/>
      <c r="SIC1" s="8"/>
      <c r="SID1" s="9"/>
      <c r="SIE1" s="8"/>
      <c r="SIF1" s="9"/>
      <c r="SIG1" s="8"/>
      <c r="SIH1" s="9"/>
      <c r="SII1" s="8"/>
      <c r="SIJ1" s="9"/>
      <c r="SIK1" s="8"/>
      <c r="SIL1" s="9"/>
      <c r="SIM1" s="8"/>
      <c r="SIN1" s="9"/>
      <c r="SIO1" s="8"/>
      <c r="SIP1" s="9"/>
      <c r="SIQ1" s="8"/>
      <c r="SIR1" s="9"/>
      <c r="SIS1" s="8"/>
      <c r="SIT1" s="9"/>
      <c r="SIU1" s="8"/>
      <c r="SIV1" s="9"/>
      <c r="SIW1" s="8"/>
      <c r="SIX1" s="9"/>
      <c r="SIY1" s="8"/>
      <c r="SIZ1" s="9"/>
      <c r="SJA1" s="8"/>
      <c r="SJB1" s="9"/>
      <c r="SJC1" s="8"/>
      <c r="SJD1" s="9"/>
      <c r="SJE1" s="8"/>
      <c r="SJF1" s="9"/>
      <c r="SJG1" s="8"/>
      <c r="SJH1" s="9"/>
      <c r="SJI1" s="8"/>
      <c r="SJJ1" s="9"/>
      <c r="SJK1" s="8"/>
      <c r="SJL1" s="9"/>
      <c r="SJM1" s="8"/>
      <c r="SJN1" s="9"/>
      <c r="SJO1" s="8"/>
      <c r="SJP1" s="9"/>
      <c r="SJQ1" s="8"/>
      <c r="SJR1" s="9"/>
      <c r="SJS1" s="8"/>
      <c r="SJT1" s="9"/>
      <c r="SJU1" s="8"/>
      <c r="SJV1" s="9"/>
      <c r="SJW1" s="8"/>
      <c r="SJX1" s="9"/>
      <c r="SJY1" s="8"/>
      <c r="SJZ1" s="9"/>
      <c r="SKA1" s="8"/>
      <c r="SKB1" s="9"/>
      <c r="SKC1" s="8"/>
      <c r="SKD1" s="9"/>
      <c r="SKE1" s="8"/>
      <c r="SKF1" s="9"/>
      <c r="SKG1" s="8"/>
      <c r="SKH1" s="9"/>
      <c r="SKI1" s="8"/>
      <c r="SKJ1" s="9"/>
      <c r="SKK1" s="8"/>
      <c r="SKL1" s="9"/>
      <c r="SKM1" s="8"/>
      <c r="SKN1" s="9"/>
      <c r="SKO1" s="8"/>
      <c r="SKP1" s="9"/>
      <c r="SKQ1" s="8"/>
      <c r="SKR1" s="9"/>
      <c r="SKS1" s="8"/>
      <c r="SKT1" s="9"/>
      <c r="SKU1" s="8"/>
      <c r="SKV1" s="9"/>
      <c r="SKW1" s="8"/>
      <c r="SKX1" s="9"/>
      <c r="SKY1" s="8"/>
      <c r="SKZ1" s="9"/>
      <c r="SLA1" s="8"/>
      <c r="SLB1" s="9"/>
      <c r="SLC1" s="8"/>
      <c r="SLD1" s="9"/>
      <c r="SLE1" s="8"/>
      <c r="SLF1" s="9"/>
      <c r="SLG1" s="8"/>
      <c r="SLH1" s="9"/>
      <c r="SLI1" s="8"/>
      <c r="SLJ1" s="9"/>
      <c r="SLK1" s="8"/>
      <c r="SLL1" s="9"/>
      <c r="SLM1" s="8"/>
      <c r="SLN1" s="9"/>
      <c r="SLO1" s="8"/>
      <c r="SLP1" s="9"/>
      <c r="SLQ1" s="8"/>
      <c r="SLR1" s="9"/>
      <c r="SLS1" s="8"/>
      <c r="SLT1" s="9"/>
      <c r="SLU1" s="8"/>
      <c r="SLV1" s="9"/>
      <c r="SLW1" s="8"/>
      <c r="SLX1" s="9"/>
      <c r="SLY1" s="8"/>
      <c r="SLZ1" s="9"/>
      <c r="SMA1" s="8"/>
      <c r="SMB1" s="9"/>
      <c r="SMC1" s="8"/>
      <c r="SMD1" s="9"/>
      <c r="SME1" s="8"/>
      <c r="SMF1" s="9"/>
      <c r="SMG1" s="8"/>
      <c r="SMH1" s="9"/>
      <c r="SMI1" s="8"/>
      <c r="SMJ1" s="9"/>
      <c r="SMK1" s="8"/>
      <c r="SML1" s="9"/>
      <c r="SMM1" s="8"/>
      <c r="SMN1" s="9"/>
      <c r="SMO1" s="8"/>
      <c r="SMP1" s="9"/>
      <c r="SMQ1" s="8"/>
      <c r="SMR1" s="9"/>
      <c r="SMS1" s="8"/>
      <c r="SMT1" s="9"/>
      <c r="SMU1" s="8"/>
      <c r="SMV1" s="9"/>
      <c r="SMW1" s="8"/>
      <c r="SMX1" s="9"/>
      <c r="SMY1" s="8"/>
      <c r="SMZ1" s="9"/>
      <c r="SNA1" s="8"/>
      <c r="SNB1" s="9"/>
      <c r="SNC1" s="8"/>
      <c r="SND1" s="9"/>
      <c r="SNE1" s="8"/>
      <c r="SNF1" s="9"/>
      <c r="SNG1" s="8"/>
      <c r="SNH1" s="9"/>
      <c r="SNI1" s="8"/>
      <c r="SNJ1" s="9"/>
      <c r="SNK1" s="8"/>
      <c r="SNL1" s="9"/>
      <c r="SNM1" s="8"/>
      <c r="SNN1" s="9"/>
      <c r="SNO1" s="8"/>
      <c r="SNP1" s="9"/>
      <c r="SNQ1" s="8"/>
      <c r="SNR1" s="9"/>
      <c r="SNS1" s="8"/>
      <c r="SNT1" s="9"/>
      <c r="SNU1" s="8"/>
      <c r="SNV1" s="9"/>
      <c r="SNW1" s="8"/>
      <c r="SNX1" s="9"/>
      <c r="SNY1" s="8"/>
      <c r="SNZ1" s="9"/>
      <c r="SOA1" s="8"/>
      <c r="SOB1" s="9"/>
      <c r="SOC1" s="8"/>
      <c r="SOD1" s="9"/>
      <c r="SOE1" s="8"/>
      <c r="SOF1" s="9"/>
      <c r="SOG1" s="8"/>
      <c r="SOH1" s="9"/>
      <c r="SOI1" s="8"/>
      <c r="SOJ1" s="9"/>
      <c r="SOK1" s="8"/>
      <c r="SOL1" s="9"/>
      <c r="SOM1" s="8"/>
      <c r="SON1" s="9"/>
      <c r="SOO1" s="8"/>
      <c r="SOP1" s="9"/>
      <c r="SOQ1" s="8"/>
      <c r="SOR1" s="9"/>
      <c r="SOS1" s="8"/>
      <c r="SOT1" s="9"/>
      <c r="SOU1" s="8"/>
      <c r="SOV1" s="9"/>
      <c r="SOW1" s="8"/>
      <c r="SOX1" s="9"/>
      <c r="SOY1" s="8"/>
      <c r="SOZ1" s="9"/>
      <c r="SPA1" s="8"/>
      <c r="SPB1" s="9"/>
      <c r="SPC1" s="8"/>
      <c r="SPD1" s="9"/>
      <c r="SPE1" s="8"/>
      <c r="SPF1" s="9"/>
      <c r="SPG1" s="8"/>
      <c r="SPH1" s="9"/>
      <c r="SPI1" s="8"/>
      <c r="SPJ1" s="9"/>
      <c r="SPK1" s="8"/>
      <c r="SPL1" s="9"/>
      <c r="SPM1" s="8"/>
      <c r="SPN1" s="9"/>
      <c r="SPO1" s="8"/>
      <c r="SPP1" s="9"/>
      <c r="SPQ1" s="8"/>
      <c r="SPR1" s="9"/>
      <c r="SPS1" s="8"/>
      <c r="SPT1" s="9"/>
      <c r="SPU1" s="8"/>
      <c r="SPV1" s="9"/>
      <c r="SPW1" s="8"/>
      <c r="SPX1" s="9"/>
      <c r="SPY1" s="8"/>
      <c r="SPZ1" s="9"/>
      <c r="SQA1" s="8"/>
      <c r="SQB1" s="9"/>
      <c r="SQC1" s="8"/>
      <c r="SQD1" s="9"/>
      <c r="SQE1" s="8"/>
      <c r="SQF1" s="9"/>
      <c r="SQG1" s="8"/>
      <c r="SQH1" s="9"/>
      <c r="SQI1" s="8"/>
      <c r="SQJ1" s="9"/>
      <c r="SQK1" s="8"/>
      <c r="SQL1" s="9"/>
      <c r="SQM1" s="8"/>
      <c r="SQN1" s="9"/>
      <c r="SQO1" s="8"/>
      <c r="SQP1" s="9"/>
      <c r="SQQ1" s="8"/>
      <c r="SQR1" s="9"/>
      <c r="SQS1" s="8"/>
      <c r="SQT1" s="9"/>
      <c r="SQU1" s="8"/>
      <c r="SQV1" s="9"/>
      <c r="SQW1" s="8"/>
      <c r="SQX1" s="9"/>
      <c r="SQY1" s="8"/>
      <c r="SQZ1" s="9"/>
      <c r="SRA1" s="8"/>
      <c r="SRB1" s="9"/>
      <c r="SRC1" s="8"/>
      <c r="SRD1" s="9"/>
      <c r="SRE1" s="8"/>
      <c r="SRF1" s="9"/>
      <c r="SRG1" s="8"/>
      <c r="SRH1" s="9"/>
      <c r="SRI1" s="8"/>
      <c r="SRJ1" s="9"/>
      <c r="SRK1" s="8"/>
      <c r="SRL1" s="9"/>
      <c r="SRM1" s="8"/>
      <c r="SRN1" s="9"/>
      <c r="SRO1" s="8"/>
      <c r="SRP1" s="9"/>
      <c r="SRQ1" s="8"/>
      <c r="SRR1" s="9"/>
      <c r="SRS1" s="8"/>
      <c r="SRT1" s="9"/>
      <c r="SRU1" s="8"/>
      <c r="SRV1" s="9"/>
      <c r="SRW1" s="8"/>
      <c r="SRX1" s="9"/>
      <c r="SRY1" s="8"/>
      <c r="SRZ1" s="9"/>
      <c r="SSA1" s="8"/>
      <c r="SSB1" s="9"/>
      <c r="SSC1" s="8"/>
      <c r="SSD1" s="9"/>
      <c r="SSE1" s="8"/>
      <c r="SSF1" s="9"/>
      <c r="SSG1" s="8"/>
      <c r="SSH1" s="9"/>
      <c r="SSI1" s="8"/>
      <c r="SSJ1" s="9"/>
      <c r="SSK1" s="8"/>
      <c r="SSL1" s="9"/>
      <c r="SSM1" s="8"/>
      <c r="SSN1" s="9"/>
      <c r="SSO1" s="8"/>
      <c r="SSP1" s="9"/>
      <c r="SSQ1" s="8"/>
      <c r="SSR1" s="9"/>
      <c r="SSS1" s="8"/>
      <c r="SST1" s="9"/>
      <c r="SSU1" s="8"/>
      <c r="SSV1" s="9"/>
      <c r="SSW1" s="8"/>
      <c r="SSX1" s="9"/>
      <c r="SSY1" s="8"/>
      <c r="SSZ1" s="9"/>
      <c r="STA1" s="8"/>
      <c r="STB1" s="9"/>
      <c r="STC1" s="8"/>
      <c r="STD1" s="9"/>
      <c r="STE1" s="8"/>
      <c r="STF1" s="9"/>
      <c r="STG1" s="8"/>
      <c r="STH1" s="9"/>
      <c r="STI1" s="8"/>
      <c r="STJ1" s="9"/>
      <c r="STK1" s="8"/>
      <c r="STL1" s="9"/>
      <c r="STM1" s="8"/>
      <c r="STN1" s="9"/>
      <c r="STO1" s="8"/>
      <c r="STP1" s="9"/>
      <c r="STQ1" s="8"/>
      <c r="STR1" s="9"/>
      <c r="STS1" s="8"/>
      <c r="STT1" s="9"/>
      <c r="STU1" s="8"/>
      <c r="STV1" s="9"/>
      <c r="STW1" s="8"/>
      <c r="STX1" s="9"/>
      <c r="STY1" s="8"/>
      <c r="STZ1" s="9"/>
      <c r="SUA1" s="8"/>
      <c r="SUB1" s="9"/>
      <c r="SUC1" s="8"/>
      <c r="SUD1" s="9"/>
      <c r="SUE1" s="8"/>
      <c r="SUF1" s="9"/>
      <c r="SUG1" s="8"/>
      <c r="SUH1" s="9"/>
      <c r="SUI1" s="8"/>
      <c r="SUJ1" s="9"/>
      <c r="SUK1" s="8"/>
      <c r="SUL1" s="9"/>
      <c r="SUM1" s="8"/>
      <c r="SUN1" s="9"/>
      <c r="SUO1" s="8"/>
      <c r="SUP1" s="9"/>
      <c r="SUQ1" s="8"/>
      <c r="SUR1" s="9"/>
      <c r="SUS1" s="8"/>
      <c r="SUT1" s="9"/>
      <c r="SUU1" s="8"/>
      <c r="SUV1" s="9"/>
      <c r="SUW1" s="8"/>
      <c r="SUX1" s="9"/>
      <c r="SUY1" s="8"/>
      <c r="SUZ1" s="9"/>
      <c r="SVA1" s="8"/>
      <c r="SVB1" s="9"/>
      <c r="SVC1" s="8"/>
      <c r="SVD1" s="9"/>
      <c r="SVE1" s="8"/>
      <c r="SVF1" s="9"/>
      <c r="SVG1" s="8"/>
      <c r="SVH1" s="9"/>
      <c r="SVI1" s="8"/>
      <c r="SVJ1" s="9"/>
      <c r="SVK1" s="8"/>
      <c r="SVL1" s="9"/>
      <c r="SVM1" s="8"/>
      <c r="SVN1" s="9"/>
      <c r="SVO1" s="8"/>
      <c r="SVP1" s="9"/>
      <c r="SVQ1" s="8"/>
      <c r="SVR1" s="9"/>
      <c r="SVS1" s="8"/>
      <c r="SVT1" s="9"/>
      <c r="SVU1" s="8"/>
      <c r="SVV1" s="9"/>
      <c r="SVW1" s="8"/>
      <c r="SVX1" s="9"/>
      <c r="SVY1" s="8"/>
      <c r="SVZ1" s="9"/>
      <c r="SWA1" s="8"/>
      <c r="SWB1" s="9"/>
      <c r="SWC1" s="8"/>
      <c r="SWD1" s="9"/>
      <c r="SWE1" s="8"/>
      <c r="SWF1" s="9"/>
      <c r="SWG1" s="8"/>
      <c r="SWH1" s="9"/>
      <c r="SWI1" s="8"/>
      <c r="SWJ1" s="9"/>
      <c r="SWK1" s="8"/>
      <c r="SWL1" s="9"/>
      <c r="SWM1" s="8"/>
      <c r="SWN1" s="9"/>
      <c r="SWO1" s="8"/>
      <c r="SWP1" s="9"/>
      <c r="SWQ1" s="8"/>
      <c r="SWR1" s="9"/>
      <c r="SWS1" s="8"/>
      <c r="SWT1" s="9"/>
      <c r="SWU1" s="8"/>
      <c r="SWV1" s="9"/>
      <c r="SWW1" s="8"/>
      <c r="SWX1" s="9"/>
      <c r="SWY1" s="8"/>
      <c r="SWZ1" s="9"/>
      <c r="SXA1" s="8"/>
      <c r="SXB1" s="9"/>
      <c r="SXC1" s="8"/>
      <c r="SXD1" s="9"/>
      <c r="SXE1" s="8"/>
      <c r="SXF1" s="9"/>
      <c r="SXG1" s="8"/>
      <c r="SXH1" s="9"/>
      <c r="SXI1" s="8"/>
      <c r="SXJ1" s="9"/>
      <c r="SXK1" s="8"/>
      <c r="SXL1" s="9"/>
      <c r="SXM1" s="8"/>
      <c r="SXN1" s="9"/>
      <c r="SXO1" s="8"/>
      <c r="SXP1" s="9"/>
      <c r="SXQ1" s="8"/>
      <c r="SXR1" s="9"/>
      <c r="SXS1" s="8"/>
      <c r="SXT1" s="9"/>
      <c r="SXU1" s="8"/>
      <c r="SXV1" s="9"/>
      <c r="SXW1" s="8"/>
      <c r="SXX1" s="9"/>
      <c r="SXY1" s="8"/>
      <c r="SXZ1" s="9"/>
      <c r="SYA1" s="8"/>
      <c r="SYB1" s="9"/>
      <c r="SYC1" s="8"/>
      <c r="SYD1" s="9"/>
      <c r="SYE1" s="8"/>
      <c r="SYF1" s="9"/>
      <c r="SYG1" s="8"/>
      <c r="SYH1" s="9"/>
      <c r="SYI1" s="8"/>
      <c r="SYJ1" s="9"/>
      <c r="SYK1" s="8"/>
      <c r="SYL1" s="9"/>
      <c r="SYM1" s="8"/>
      <c r="SYN1" s="9"/>
      <c r="SYO1" s="8"/>
      <c r="SYP1" s="9"/>
      <c r="SYQ1" s="8"/>
      <c r="SYR1" s="9"/>
      <c r="SYS1" s="8"/>
      <c r="SYT1" s="9"/>
      <c r="SYU1" s="8"/>
      <c r="SYV1" s="9"/>
      <c r="SYW1" s="8"/>
      <c r="SYX1" s="9"/>
      <c r="SYY1" s="8"/>
      <c r="SYZ1" s="9"/>
      <c r="SZA1" s="8"/>
      <c r="SZB1" s="9"/>
      <c r="SZC1" s="8"/>
      <c r="SZD1" s="9"/>
      <c r="SZE1" s="8"/>
      <c r="SZF1" s="9"/>
      <c r="SZG1" s="8"/>
      <c r="SZH1" s="9"/>
      <c r="SZI1" s="8"/>
      <c r="SZJ1" s="9"/>
      <c r="SZK1" s="8"/>
      <c r="SZL1" s="9"/>
      <c r="SZM1" s="8"/>
      <c r="SZN1" s="9"/>
      <c r="SZO1" s="8"/>
      <c r="SZP1" s="9"/>
      <c r="SZQ1" s="8"/>
      <c r="SZR1" s="9"/>
      <c r="SZS1" s="8"/>
      <c r="SZT1" s="9"/>
      <c r="SZU1" s="8"/>
      <c r="SZV1" s="9"/>
      <c r="SZW1" s="8"/>
      <c r="SZX1" s="9"/>
      <c r="SZY1" s="8"/>
      <c r="SZZ1" s="9"/>
      <c r="TAA1" s="8"/>
      <c r="TAB1" s="9"/>
      <c r="TAC1" s="8"/>
      <c r="TAD1" s="9"/>
      <c r="TAE1" s="8"/>
      <c r="TAF1" s="9"/>
      <c r="TAG1" s="8"/>
      <c r="TAH1" s="9"/>
      <c r="TAI1" s="8"/>
      <c r="TAJ1" s="9"/>
      <c r="TAK1" s="8"/>
      <c r="TAL1" s="9"/>
      <c r="TAM1" s="8"/>
      <c r="TAN1" s="9"/>
      <c r="TAO1" s="8"/>
      <c r="TAP1" s="9"/>
      <c r="TAQ1" s="8"/>
      <c r="TAR1" s="9"/>
      <c r="TAS1" s="8"/>
      <c r="TAT1" s="9"/>
      <c r="TAU1" s="8"/>
      <c r="TAV1" s="9"/>
      <c r="TAW1" s="8"/>
      <c r="TAX1" s="9"/>
      <c r="TAY1" s="8"/>
      <c r="TAZ1" s="9"/>
      <c r="TBA1" s="8"/>
      <c r="TBB1" s="9"/>
      <c r="TBC1" s="8"/>
      <c r="TBD1" s="9"/>
      <c r="TBE1" s="8"/>
      <c r="TBF1" s="9"/>
      <c r="TBG1" s="8"/>
      <c r="TBH1" s="9"/>
      <c r="TBI1" s="8"/>
      <c r="TBJ1" s="9"/>
      <c r="TBK1" s="8"/>
      <c r="TBL1" s="9"/>
      <c r="TBM1" s="8"/>
      <c r="TBN1" s="9"/>
      <c r="TBO1" s="8"/>
      <c r="TBP1" s="9"/>
      <c r="TBQ1" s="8"/>
      <c r="TBR1" s="9"/>
      <c r="TBS1" s="8"/>
      <c r="TBT1" s="9"/>
      <c r="TBU1" s="8"/>
      <c r="TBV1" s="9"/>
      <c r="TBW1" s="8"/>
      <c r="TBX1" s="9"/>
      <c r="TBY1" s="8"/>
      <c r="TBZ1" s="9"/>
      <c r="TCA1" s="8"/>
      <c r="TCB1" s="9"/>
      <c r="TCC1" s="8"/>
      <c r="TCD1" s="9"/>
      <c r="TCE1" s="8"/>
      <c r="TCF1" s="9"/>
      <c r="TCG1" s="8"/>
      <c r="TCH1" s="9"/>
      <c r="TCI1" s="8"/>
      <c r="TCJ1" s="9"/>
      <c r="TCK1" s="8"/>
      <c r="TCL1" s="9"/>
      <c r="TCM1" s="8"/>
      <c r="TCN1" s="9"/>
      <c r="TCO1" s="8"/>
      <c r="TCP1" s="9"/>
      <c r="TCQ1" s="8"/>
      <c r="TCR1" s="9"/>
      <c r="TCS1" s="8"/>
      <c r="TCT1" s="9"/>
      <c r="TCU1" s="8"/>
      <c r="TCV1" s="9"/>
      <c r="TCW1" s="8"/>
      <c r="TCX1" s="9"/>
      <c r="TCY1" s="8"/>
      <c r="TCZ1" s="9"/>
      <c r="TDA1" s="8"/>
      <c r="TDB1" s="9"/>
      <c r="TDC1" s="8"/>
      <c r="TDD1" s="9"/>
      <c r="TDE1" s="8"/>
      <c r="TDF1" s="9"/>
      <c r="TDG1" s="8"/>
      <c r="TDH1" s="9"/>
      <c r="TDI1" s="8"/>
      <c r="TDJ1" s="9"/>
      <c r="TDK1" s="8"/>
      <c r="TDL1" s="9"/>
      <c r="TDM1" s="8"/>
      <c r="TDN1" s="9"/>
      <c r="TDO1" s="8"/>
      <c r="TDP1" s="9"/>
      <c r="TDQ1" s="8"/>
      <c r="TDR1" s="9"/>
      <c r="TDS1" s="8"/>
      <c r="TDT1" s="9"/>
      <c r="TDU1" s="8"/>
      <c r="TDV1" s="9"/>
      <c r="TDW1" s="8"/>
      <c r="TDX1" s="9"/>
      <c r="TDY1" s="8"/>
      <c r="TDZ1" s="9"/>
      <c r="TEA1" s="8"/>
      <c r="TEB1" s="9"/>
      <c r="TEC1" s="8"/>
      <c r="TED1" s="9"/>
      <c r="TEE1" s="8"/>
      <c r="TEF1" s="9"/>
      <c r="TEG1" s="8"/>
      <c r="TEH1" s="9"/>
      <c r="TEI1" s="8"/>
      <c r="TEJ1" s="9"/>
      <c r="TEK1" s="8"/>
      <c r="TEL1" s="9"/>
      <c r="TEM1" s="8"/>
      <c r="TEN1" s="9"/>
      <c r="TEO1" s="8"/>
      <c r="TEP1" s="9"/>
      <c r="TEQ1" s="8"/>
      <c r="TER1" s="9"/>
      <c r="TES1" s="8"/>
      <c r="TET1" s="9"/>
      <c r="TEU1" s="8"/>
      <c r="TEV1" s="9"/>
      <c r="TEW1" s="8"/>
      <c r="TEX1" s="9"/>
      <c r="TEY1" s="8"/>
      <c r="TEZ1" s="9"/>
      <c r="TFA1" s="8"/>
      <c r="TFB1" s="9"/>
      <c r="TFC1" s="8"/>
      <c r="TFD1" s="9"/>
      <c r="TFE1" s="8"/>
      <c r="TFF1" s="9"/>
      <c r="TFG1" s="8"/>
      <c r="TFH1" s="9"/>
      <c r="TFI1" s="8"/>
      <c r="TFJ1" s="9"/>
      <c r="TFK1" s="8"/>
      <c r="TFL1" s="9"/>
      <c r="TFM1" s="8"/>
      <c r="TFN1" s="9"/>
      <c r="TFO1" s="8"/>
      <c r="TFP1" s="9"/>
      <c r="TFQ1" s="8"/>
      <c r="TFR1" s="9"/>
      <c r="TFS1" s="8"/>
      <c r="TFT1" s="9"/>
      <c r="TFU1" s="8"/>
      <c r="TFV1" s="9"/>
      <c r="TFW1" s="8"/>
      <c r="TFX1" s="9"/>
      <c r="TFY1" s="8"/>
      <c r="TFZ1" s="9"/>
      <c r="TGA1" s="8"/>
      <c r="TGB1" s="9"/>
      <c r="TGC1" s="8"/>
      <c r="TGD1" s="9"/>
      <c r="TGE1" s="8"/>
      <c r="TGF1" s="9"/>
      <c r="TGG1" s="8"/>
      <c r="TGH1" s="9"/>
      <c r="TGI1" s="8"/>
      <c r="TGJ1" s="9"/>
      <c r="TGK1" s="8"/>
      <c r="TGL1" s="9"/>
      <c r="TGM1" s="8"/>
      <c r="TGN1" s="9"/>
      <c r="TGO1" s="8"/>
      <c r="TGP1" s="9"/>
      <c r="TGQ1" s="8"/>
      <c r="TGR1" s="9"/>
      <c r="TGS1" s="8"/>
      <c r="TGT1" s="9"/>
      <c r="TGU1" s="8"/>
      <c r="TGV1" s="9"/>
      <c r="TGW1" s="8"/>
      <c r="TGX1" s="9"/>
      <c r="TGY1" s="8"/>
      <c r="TGZ1" s="9"/>
      <c r="THA1" s="8"/>
      <c r="THB1" s="9"/>
      <c r="THC1" s="8"/>
      <c r="THD1" s="9"/>
      <c r="THE1" s="8"/>
      <c r="THF1" s="9"/>
      <c r="THG1" s="8"/>
      <c r="THH1" s="9"/>
      <c r="THI1" s="8"/>
      <c r="THJ1" s="9"/>
      <c r="THK1" s="8"/>
      <c r="THL1" s="9"/>
      <c r="THM1" s="8"/>
      <c r="THN1" s="9"/>
      <c r="THO1" s="8"/>
      <c r="THP1" s="9"/>
      <c r="THQ1" s="8"/>
      <c r="THR1" s="9"/>
      <c r="THS1" s="8"/>
      <c r="THT1" s="9"/>
      <c r="THU1" s="8"/>
      <c r="THV1" s="9"/>
      <c r="THW1" s="8"/>
      <c r="THX1" s="9"/>
      <c r="THY1" s="8"/>
      <c r="THZ1" s="9"/>
      <c r="TIA1" s="8"/>
      <c r="TIB1" s="9"/>
      <c r="TIC1" s="8"/>
      <c r="TID1" s="9"/>
      <c r="TIE1" s="8"/>
      <c r="TIF1" s="9"/>
      <c r="TIG1" s="8"/>
      <c r="TIH1" s="9"/>
      <c r="TII1" s="8"/>
      <c r="TIJ1" s="9"/>
      <c r="TIK1" s="8"/>
      <c r="TIL1" s="9"/>
      <c r="TIM1" s="8"/>
      <c r="TIN1" s="9"/>
      <c r="TIO1" s="8"/>
      <c r="TIP1" s="9"/>
      <c r="TIQ1" s="8"/>
      <c r="TIR1" s="9"/>
      <c r="TIS1" s="8"/>
      <c r="TIT1" s="9"/>
      <c r="TIU1" s="8"/>
      <c r="TIV1" s="9"/>
      <c r="TIW1" s="8"/>
      <c r="TIX1" s="9"/>
      <c r="TIY1" s="8"/>
      <c r="TIZ1" s="9"/>
      <c r="TJA1" s="8"/>
      <c r="TJB1" s="9"/>
      <c r="TJC1" s="8"/>
      <c r="TJD1" s="9"/>
      <c r="TJE1" s="8"/>
      <c r="TJF1" s="9"/>
      <c r="TJG1" s="8"/>
      <c r="TJH1" s="9"/>
      <c r="TJI1" s="8"/>
      <c r="TJJ1" s="9"/>
      <c r="TJK1" s="8"/>
      <c r="TJL1" s="9"/>
      <c r="TJM1" s="8"/>
      <c r="TJN1" s="9"/>
      <c r="TJO1" s="8"/>
      <c r="TJP1" s="9"/>
      <c r="TJQ1" s="8"/>
      <c r="TJR1" s="9"/>
      <c r="TJS1" s="8"/>
      <c r="TJT1" s="9"/>
      <c r="TJU1" s="8"/>
      <c r="TJV1" s="9"/>
      <c r="TJW1" s="8"/>
      <c r="TJX1" s="9"/>
      <c r="TJY1" s="8"/>
      <c r="TJZ1" s="9"/>
      <c r="TKA1" s="8"/>
      <c r="TKB1" s="9"/>
      <c r="TKC1" s="8"/>
      <c r="TKD1" s="9"/>
      <c r="TKE1" s="8"/>
      <c r="TKF1" s="9"/>
      <c r="TKG1" s="8"/>
      <c r="TKH1" s="9"/>
      <c r="TKI1" s="8"/>
      <c r="TKJ1" s="9"/>
      <c r="TKK1" s="8"/>
      <c r="TKL1" s="9"/>
      <c r="TKM1" s="8"/>
      <c r="TKN1" s="9"/>
      <c r="TKO1" s="8"/>
      <c r="TKP1" s="9"/>
      <c r="TKQ1" s="8"/>
      <c r="TKR1" s="9"/>
      <c r="TKS1" s="8"/>
      <c r="TKT1" s="9"/>
      <c r="TKU1" s="8"/>
      <c r="TKV1" s="9"/>
      <c r="TKW1" s="8"/>
      <c r="TKX1" s="9"/>
      <c r="TKY1" s="8"/>
      <c r="TKZ1" s="9"/>
      <c r="TLA1" s="8"/>
      <c r="TLB1" s="9"/>
      <c r="TLC1" s="8"/>
      <c r="TLD1" s="9"/>
      <c r="TLE1" s="8"/>
      <c r="TLF1" s="9"/>
      <c r="TLG1" s="8"/>
      <c r="TLH1" s="9"/>
      <c r="TLI1" s="8"/>
      <c r="TLJ1" s="9"/>
      <c r="TLK1" s="8"/>
      <c r="TLL1" s="9"/>
      <c r="TLM1" s="8"/>
      <c r="TLN1" s="9"/>
      <c r="TLO1" s="8"/>
      <c r="TLP1" s="9"/>
      <c r="TLQ1" s="8"/>
      <c r="TLR1" s="9"/>
      <c r="TLS1" s="8"/>
      <c r="TLT1" s="9"/>
      <c r="TLU1" s="8"/>
      <c r="TLV1" s="9"/>
      <c r="TLW1" s="8"/>
      <c r="TLX1" s="9"/>
      <c r="TLY1" s="8"/>
      <c r="TLZ1" s="9"/>
      <c r="TMA1" s="8"/>
      <c r="TMB1" s="9"/>
      <c r="TMC1" s="8"/>
      <c r="TMD1" s="9"/>
      <c r="TME1" s="8"/>
      <c r="TMF1" s="9"/>
      <c r="TMG1" s="8"/>
      <c r="TMH1" s="9"/>
      <c r="TMI1" s="8"/>
      <c r="TMJ1" s="9"/>
      <c r="TMK1" s="8"/>
      <c r="TML1" s="9"/>
      <c r="TMM1" s="8"/>
      <c r="TMN1" s="9"/>
      <c r="TMO1" s="8"/>
      <c r="TMP1" s="9"/>
      <c r="TMQ1" s="8"/>
      <c r="TMR1" s="9"/>
      <c r="TMS1" s="8"/>
      <c r="TMT1" s="9"/>
      <c r="TMU1" s="8"/>
      <c r="TMV1" s="9"/>
      <c r="TMW1" s="8"/>
      <c r="TMX1" s="9"/>
      <c r="TMY1" s="8"/>
      <c r="TMZ1" s="9"/>
      <c r="TNA1" s="8"/>
      <c r="TNB1" s="9"/>
      <c r="TNC1" s="8"/>
      <c r="TND1" s="9"/>
      <c r="TNE1" s="8"/>
      <c r="TNF1" s="9"/>
      <c r="TNG1" s="8"/>
      <c r="TNH1" s="9"/>
      <c r="TNI1" s="8"/>
      <c r="TNJ1" s="9"/>
      <c r="TNK1" s="8"/>
      <c r="TNL1" s="9"/>
      <c r="TNM1" s="8"/>
      <c r="TNN1" s="9"/>
      <c r="TNO1" s="8"/>
      <c r="TNP1" s="9"/>
      <c r="TNQ1" s="8"/>
      <c r="TNR1" s="9"/>
      <c r="TNS1" s="8"/>
      <c r="TNT1" s="9"/>
      <c r="TNU1" s="8"/>
      <c r="TNV1" s="9"/>
      <c r="TNW1" s="8"/>
      <c r="TNX1" s="9"/>
      <c r="TNY1" s="8"/>
      <c r="TNZ1" s="9"/>
      <c r="TOA1" s="8"/>
      <c r="TOB1" s="9"/>
      <c r="TOC1" s="8"/>
      <c r="TOD1" s="9"/>
      <c r="TOE1" s="8"/>
      <c r="TOF1" s="9"/>
      <c r="TOG1" s="8"/>
      <c r="TOH1" s="9"/>
      <c r="TOI1" s="8"/>
      <c r="TOJ1" s="9"/>
      <c r="TOK1" s="8"/>
      <c r="TOL1" s="9"/>
      <c r="TOM1" s="8"/>
      <c r="TON1" s="9"/>
      <c r="TOO1" s="8"/>
      <c r="TOP1" s="9"/>
      <c r="TOQ1" s="8"/>
      <c r="TOR1" s="9"/>
      <c r="TOS1" s="8"/>
      <c r="TOT1" s="9"/>
      <c r="TOU1" s="8"/>
      <c r="TOV1" s="9"/>
      <c r="TOW1" s="8"/>
      <c r="TOX1" s="9"/>
      <c r="TOY1" s="8"/>
      <c r="TOZ1" s="9"/>
      <c r="TPA1" s="8"/>
      <c r="TPB1" s="9"/>
      <c r="TPC1" s="8"/>
      <c r="TPD1" s="9"/>
      <c r="TPE1" s="8"/>
      <c r="TPF1" s="9"/>
      <c r="TPG1" s="8"/>
      <c r="TPH1" s="9"/>
      <c r="TPI1" s="8"/>
      <c r="TPJ1" s="9"/>
      <c r="TPK1" s="8"/>
      <c r="TPL1" s="9"/>
      <c r="TPM1" s="8"/>
      <c r="TPN1" s="9"/>
      <c r="TPO1" s="8"/>
      <c r="TPP1" s="9"/>
      <c r="TPQ1" s="8"/>
      <c r="TPR1" s="9"/>
      <c r="TPS1" s="8"/>
      <c r="TPT1" s="9"/>
      <c r="TPU1" s="8"/>
      <c r="TPV1" s="9"/>
      <c r="TPW1" s="8"/>
      <c r="TPX1" s="9"/>
      <c r="TPY1" s="8"/>
      <c r="TPZ1" s="9"/>
      <c r="TQA1" s="8"/>
      <c r="TQB1" s="9"/>
      <c r="TQC1" s="8"/>
      <c r="TQD1" s="9"/>
      <c r="TQE1" s="8"/>
      <c r="TQF1" s="9"/>
      <c r="TQG1" s="8"/>
      <c r="TQH1" s="9"/>
      <c r="TQI1" s="8"/>
      <c r="TQJ1" s="9"/>
      <c r="TQK1" s="8"/>
      <c r="TQL1" s="9"/>
      <c r="TQM1" s="8"/>
      <c r="TQN1" s="9"/>
      <c r="TQO1" s="8"/>
      <c r="TQP1" s="9"/>
      <c r="TQQ1" s="8"/>
      <c r="TQR1" s="9"/>
      <c r="TQS1" s="8"/>
      <c r="TQT1" s="9"/>
      <c r="TQU1" s="8"/>
      <c r="TQV1" s="9"/>
      <c r="TQW1" s="8"/>
      <c r="TQX1" s="9"/>
      <c r="TQY1" s="8"/>
      <c r="TQZ1" s="9"/>
      <c r="TRA1" s="8"/>
      <c r="TRB1" s="9"/>
      <c r="TRC1" s="8"/>
      <c r="TRD1" s="9"/>
      <c r="TRE1" s="8"/>
      <c r="TRF1" s="9"/>
      <c r="TRG1" s="8"/>
      <c r="TRH1" s="9"/>
      <c r="TRI1" s="8"/>
      <c r="TRJ1" s="9"/>
      <c r="TRK1" s="8"/>
      <c r="TRL1" s="9"/>
      <c r="TRM1" s="8"/>
      <c r="TRN1" s="9"/>
      <c r="TRO1" s="8"/>
      <c r="TRP1" s="9"/>
      <c r="TRQ1" s="8"/>
      <c r="TRR1" s="9"/>
      <c r="TRS1" s="8"/>
      <c r="TRT1" s="9"/>
      <c r="TRU1" s="8"/>
      <c r="TRV1" s="9"/>
      <c r="TRW1" s="8"/>
      <c r="TRX1" s="9"/>
      <c r="TRY1" s="8"/>
      <c r="TRZ1" s="9"/>
      <c r="TSA1" s="8"/>
      <c r="TSB1" s="9"/>
      <c r="TSC1" s="8"/>
      <c r="TSD1" s="9"/>
      <c r="TSE1" s="8"/>
      <c r="TSF1" s="9"/>
      <c r="TSG1" s="8"/>
      <c r="TSH1" s="9"/>
      <c r="TSI1" s="8"/>
      <c r="TSJ1" s="9"/>
      <c r="TSK1" s="8"/>
      <c r="TSL1" s="9"/>
      <c r="TSM1" s="8"/>
      <c r="TSN1" s="9"/>
      <c r="TSO1" s="8"/>
      <c r="TSP1" s="9"/>
      <c r="TSQ1" s="8"/>
      <c r="TSR1" s="9"/>
      <c r="TSS1" s="8"/>
      <c r="TST1" s="9"/>
      <c r="TSU1" s="8"/>
      <c r="TSV1" s="9"/>
      <c r="TSW1" s="8"/>
      <c r="TSX1" s="9"/>
      <c r="TSY1" s="8"/>
      <c r="TSZ1" s="9"/>
      <c r="TTA1" s="8"/>
      <c r="TTB1" s="9"/>
      <c r="TTC1" s="8"/>
      <c r="TTD1" s="9"/>
      <c r="TTE1" s="8"/>
      <c r="TTF1" s="9"/>
      <c r="TTG1" s="8"/>
      <c r="TTH1" s="9"/>
      <c r="TTI1" s="8"/>
      <c r="TTJ1" s="9"/>
      <c r="TTK1" s="8"/>
      <c r="TTL1" s="9"/>
      <c r="TTM1" s="8"/>
      <c r="TTN1" s="9"/>
      <c r="TTO1" s="8"/>
      <c r="TTP1" s="9"/>
      <c r="TTQ1" s="8"/>
      <c r="TTR1" s="9"/>
      <c r="TTS1" s="8"/>
      <c r="TTT1" s="9"/>
      <c r="TTU1" s="8"/>
      <c r="TTV1" s="9"/>
      <c r="TTW1" s="8"/>
      <c r="TTX1" s="9"/>
      <c r="TTY1" s="8"/>
      <c r="TTZ1" s="9"/>
      <c r="TUA1" s="8"/>
      <c r="TUB1" s="9"/>
      <c r="TUC1" s="8"/>
      <c r="TUD1" s="9"/>
      <c r="TUE1" s="8"/>
      <c r="TUF1" s="9"/>
      <c r="TUG1" s="8"/>
      <c r="TUH1" s="9"/>
      <c r="TUI1" s="8"/>
      <c r="TUJ1" s="9"/>
      <c r="TUK1" s="8"/>
      <c r="TUL1" s="9"/>
      <c r="TUM1" s="8"/>
      <c r="TUN1" s="9"/>
      <c r="TUO1" s="8"/>
      <c r="TUP1" s="9"/>
      <c r="TUQ1" s="8"/>
      <c r="TUR1" s="9"/>
      <c r="TUS1" s="8"/>
      <c r="TUT1" s="9"/>
      <c r="TUU1" s="8"/>
      <c r="TUV1" s="9"/>
      <c r="TUW1" s="8"/>
      <c r="TUX1" s="9"/>
      <c r="TUY1" s="8"/>
      <c r="TUZ1" s="9"/>
      <c r="TVA1" s="8"/>
      <c r="TVB1" s="9"/>
      <c r="TVC1" s="8"/>
      <c r="TVD1" s="9"/>
      <c r="TVE1" s="8"/>
      <c r="TVF1" s="9"/>
      <c r="TVG1" s="8"/>
      <c r="TVH1" s="9"/>
      <c r="TVI1" s="8"/>
      <c r="TVJ1" s="9"/>
      <c r="TVK1" s="8"/>
      <c r="TVL1" s="9"/>
      <c r="TVM1" s="8"/>
      <c r="TVN1" s="9"/>
      <c r="TVO1" s="8"/>
      <c r="TVP1" s="9"/>
      <c r="TVQ1" s="8"/>
      <c r="TVR1" s="9"/>
      <c r="TVS1" s="8"/>
      <c r="TVT1" s="9"/>
      <c r="TVU1" s="8"/>
      <c r="TVV1" s="9"/>
      <c r="TVW1" s="8"/>
      <c r="TVX1" s="9"/>
      <c r="TVY1" s="8"/>
      <c r="TVZ1" s="9"/>
      <c r="TWA1" s="8"/>
      <c r="TWB1" s="9"/>
      <c r="TWC1" s="8"/>
      <c r="TWD1" s="9"/>
      <c r="TWE1" s="8"/>
      <c r="TWF1" s="9"/>
      <c r="TWG1" s="8"/>
      <c r="TWH1" s="9"/>
      <c r="TWI1" s="8"/>
      <c r="TWJ1" s="9"/>
      <c r="TWK1" s="8"/>
      <c r="TWL1" s="9"/>
      <c r="TWM1" s="8"/>
      <c r="TWN1" s="9"/>
      <c r="TWO1" s="8"/>
      <c r="TWP1" s="9"/>
      <c r="TWQ1" s="8"/>
      <c r="TWR1" s="9"/>
      <c r="TWS1" s="8"/>
      <c r="TWT1" s="9"/>
      <c r="TWU1" s="8"/>
      <c r="TWV1" s="9"/>
      <c r="TWW1" s="8"/>
      <c r="TWX1" s="9"/>
      <c r="TWY1" s="8"/>
      <c r="TWZ1" s="9"/>
      <c r="TXA1" s="8"/>
      <c r="TXB1" s="9"/>
      <c r="TXC1" s="8"/>
      <c r="TXD1" s="9"/>
      <c r="TXE1" s="8"/>
      <c r="TXF1" s="9"/>
      <c r="TXG1" s="8"/>
      <c r="TXH1" s="9"/>
      <c r="TXI1" s="8"/>
      <c r="TXJ1" s="9"/>
      <c r="TXK1" s="8"/>
      <c r="TXL1" s="9"/>
      <c r="TXM1" s="8"/>
      <c r="TXN1" s="9"/>
      <c r="TXO1" s="8"/>
      <c r="TXP1" s="9"/>
      <c r="TXQ1" s="8"/>
      <c r="TXR1" s="9"/>
      <c r="TXS1" s="8"/>
      <c r="TXT1" s="9"/>
      <c r="TXU1" s="8"/>
      <c r="TXV1" s="9"/>
      <c r="TXW1" s="8"/>
      <c r="TXX1" s="9"/>
      <c r="TXY1" s="8"/>
      <c r="TXZ1" s="9"/>
      <c r="TYA1" s="8"/>
      <c r="TYB1" s="9"/>
      <c r="TYC1" s="8"/>
      <c r="TYD1" s="9"/>
      <c r="TYE1" s="8"/>
      <c r="TYF1" s="9"/>
      <c r="TYG1" s="8"/>
      <c r="TYH1" s="9"/>
      <c r="TYI1" s="8"/>
      <c r="TYJ1" s="9"/>
      <c r="TYK1" s="8"/>
      <c r="TYL1" s="9"/>
      <c r="TYM1" s="8"/>
      <c r="TYN1" s="9"/>
      <c r="TYO1" s="8"/>
      <c r="TYP1" s="9"/>
      <c r="TYQ1" s="8"/>
      <c r="TYR1" s="9"/>
      <c r="TYS1" s="8"/>
      <c r="TYT1" s="9"/>
      <c r="TYU1" s="8"/>
      <c r="TYV1" s="9"/>
      <c r="TYW1" s="8"/>
      <c r="TYX1" s="9"/>
      <c r="TYY1" s="8"/>
      <c r="TYZ1" s="9"/>
      <c r="TZA1" s="8"/>
      <c r="TZB1" s="9"/>
      <c r="TZC1" s="8"/>
      <c r="TZD1" s="9"/>
      <c r="TZE1" s="8"/>
      <c r="TZF1" s="9"/>
      <c r="TZG1" s="8"/>
      <c r="TZH1" s="9"/>
      <c r="TZI1" s="8"/>
      <c r="TZJ1" s="9"/>
      <c r="TZK1" s="8"/>
      <c r="TZL1" s="9"/>
      <c r="TZM1" s="8"/>
      <c r="TZN1" s="9"/>
      <c r="TZO1" s="8"/>
      <c r="TZP1" s="9"/>
      <c r="TZQ1" s="8"/>
      <c r="TZR1" s="9"/>
      <c r="TZS1" s="8"/>
      <c r="TZT1" s="9"/>
      <c r="TZU1" s="8"/>
      <c r="TZV1" s="9"/>
      <c r="TZW1" s="8"/>
      <c r="TZX1" s="9"/>
      <c r="TZY1" s="8"/>
      <c r="TZZ1" s="9"/>
      <c r="UAA1" s="8"/>
      <c r="UAB1" s="9"/>
      <c r="UAC1" s="8"/>
      <c r="UAD1" s="9"/>
      <c r="UAE1" s="8"/>
      <c r="UAF1" s="9"/>
      <c r="UAG1" s="8"/>
      <c r="UAH1" s="9"/>
      <c r="UAI1" s="8"/>
      <c r="UAJ1" s="9"/>
      <c r="UAK1" s="8"/>
      <c r="UAL1" s="9"/>
      <c r="UAM1" s="8"/>
      <c r="UAN1" s="9"/>
      <c r="UAO1" s="8"/>
      <c r="UAP1" s="9"/>
      <c r="UAQ1" s="8"/>
      <c r="UAR1" s="9"/>
      <c r="UAS1" s="8"/>
      <c r="UAT1" s="9"/>
      <c r="UAU1" s="8"/>
      <c r="UAV1" s="9"/>
      <c r="UAW1" s="8"/>
      <c r="UAX1" s="9"/>
      <c r="UAY1" s="8"/>
      <c r="UAZ1" s="9"/>
      <c r="UBA1" s="8"/>
      <c r="UBB1" s="9"/>
      <c r="UBC1" s="8"/>
      <c r="UBD1" s="9"/>
      <c r="UBE1" s="8"/>
      <c r="UBF1" s="9"/>
      <c r="UBG1" s="8"/>
      <c r="UBH1" s="9"/>
      <c r="UBI1" s="8"/>
      <c r="UBJ1" s="9"/>
      <c r="UBK1" s="8"/>
      <c r="UBL1" s="9"/>
      <c r="UBM1" s="8"/>
      <c r="UBN1" s="9"/>
      <c r="UBO1" s="8"/>
      <c r="UBP1" s="9"/>
      <c r="UBQ1" s="8"/>
      <c r="UBR1" s="9"/>
      <c r="UBS1" s="8"/>
      <c r="UBT1" s="9"/>
      <c r="UBU1" s="8"/>
      <c r="UBV1" s="9"/>
      <c r="UBW1" s="8"/>
      <c r="UBX1" s="9"/>
      <c r="UBY1" s="8"/>
      <c r="UBZ1" s="9"/>
      <c r="UCA1" s="8"/>
      <c r="UCB1" s="9"/>
      <c r="UCC1" s="8"/>
      <c r="UCD1" s="9"/>
      <c r="UCE1" s="8"/>
      <c r="UCF1" s="9"/>
      <c r="UCG1" s="8"/>
      <c r="UCH1" s="9"/>
      <c r="UCI1" s="8"/>
      <c r="UCJ1" s="9"/>
      <c r="UCK1" s="8"/>
      <c r="UCL1" s="9"/>
      <c r="UCM1" s="8"/>
      <c r="UCN1" s="9"/>
      <c r="UCO1" s="8"/>
      <c r="UCP1" s="9"/>
      <c r="UCQ1" s="8"/>
      <c r="UCR1" s="9"/>
      <c r="UCS1" s="8"/>
      <c r="UCT1" s="9"/>
      <c r="UCU1" s="8"/>
      <c r="UCV1" s="9"/>
      <c r="UCW1" s="8"/>
      <c r="UCX1" s="9"/>
      <c r="UCY1" s="8"/>
      <c r="UCZ1" s="9"/>
      <c r="UDA1" s="8"/>
      <c r="UDB1" s="9"/>
      <c r="UDC1" s="8"/>
      <c r="UDD1" s="9"/>
      <c r="UDE1" s="8"/>
      <c r="UDF1" s="9"/>
      <c r="UDG1" s="8"/>
      <c r="UDH1" s="9"/>
      <c r="UDI1" s="8"/>
      <c r="UDJ1" s="9"/>
      <c r="UDK1" s="8"/>
      <c r="UDL1" s="9"/>
      <c r="UDM1" s="8"/>
      <c r="UDN1" s="9"/>
      <c r="UDO1" s="8"/>
      <c r="UDP1" s="9"/>
      <c r="UDQ1" s="8"/>
      <c r="UDR1" s="9"/>
      <c r="UDS1" s="8"/>
      <c r="UDT1" s="9"/>
      <c r="UDU1" s="8"/>
      <c r="UDV1" s="9"/>
      <c r="UDW1" s="8"/>
      <c r="UDX1" s="9"/>
      <c r="UDY1" s="8"/>
      <c r="UDZ1" s="9"/>
      <c r="UEA1" s="8"/>
      <c r="UEB1" s="9"/>
      <c r="UEC1" s="8"/>
      <c r="UED1" s="9"/>
      <c r="UEE1" s="8"/>
      <c r="UEF1" s="9"/>
      <c r="UEG1" s="8"/>
      <c r="UEH1" s="9"/>
      <c r="UEI1" s="8"/>
      <c r="UEJ1" s="9"/>
      <c r="UEK1" s="8"/>
      <c r="UEL1" s="9"/>
      <c r="UEM1" s="8"/>
      <c r="UEN1" s="9"/>
      <c r="UEO1" s="8"/>
      <c r="UEP1" s="9"/>
      <c r="UEQ1" s="8"/>
      <c r="UER1" s="9"/>
      <c r="UES1" s="8"/>
      <c r="UET1" s="9"/>
      <c r="UEU1" s="8"/>
      <c r="UEV1" s="9"/>
      <c r="UEW1" s="8"/>
      <c r="UEX1" s="9"/>
      <c r="UEY1" s="8"/>
      <c r="UEZ1" s="9"/>
      <c r="UFA1" s="8"/>
      <c r="UFB1" s="9"/>
      <c r="UFC1" s="8"/>
      <c r="UFD1" s="9"/>
      <c r="UFE1" s="8"/>
      <c r="UFF1" s="9"/>
      <c r="UFG1" s="8"/>
      <c r="UFH1" s="9"/>
      <c r="UFI1" s="8"/>
      <c r="UFJ1" s="9"/>
      <c r="UFK1" s="8"/>
      <c r="UFL1" s="9"/>
      <c r="UFM1" s="8"/>
      <c r="UFN1" s="9"/>
      <c r="UFO1" s="8"/>
      <c r="UFP1" s="9"/>
      <c r="UFQ1" s="8"/>
      <c r="UFR1" s="9"/>
      <c r="UFS1" s="8"/>
      <c r="UFT1" s="9"/>
      <c r="UFU1" s="8"/>
      <c r="UFV1" s="9"/>
      <c r="UFW1" s="8"/>
      <c r="UFX1" s="9"/>
      <c r="UFY1" s="8"/>
      <c r="UFZ1" s="9"/>
      <c r="UGA1" s="8"/>
      <c r="UGB1" s="9"/>
      <c r="UGC1" s="8"/>
      <c r="UGD1" s="9"/>
      <c r="UGE1" s="8"/>
      <c r="UGF1" s="9"/>
      <c r="UGG1" s="8"/>
      <c r="UGH1" s="9"/>
      <c r="UGI1" s="8"/>
      <c r="UGJ1" s="9"/>
      <c r="UGK1" s="8"/>
      <c r="UGL1" s="9"/>
      <c r="UGM1" s="8"/>
      <c r="UGN1" s="9"/>
      <c r="UGO1" s="8"/>
      <c r="UGP1" s="9"/>
      <c r="UGQ1" s="8"/>
      <c r="UGR1" s="9"/>
      <c r="UGS1" s="8"/>
      <c r="UGT1" s="9"/>
      <c r="UGU1" s="8"/>
      <c r="UGV1" s="9"/>
      <c r="UGW1" s="8"/>
      <c r="UGX1" s="9"/>
      <c r="UGY1" s="8"/>
      <c r="UGZ1" s="9"/>
      <c r="UHA1" s="8"/>
      <c r="UHB1" s="9"/>
      <c r="UHC1" s="8"/>
      <c r="UHD1" s="9"/>
      <c r="UHE1" s="8"/>
      <c r="UHF1" s="9"/>
      <c r="UHG1" s="8"/>
      <c r="UHH1" s="9"/>
      <c r="UHI1" s="8"/>
      <c r="UHJ1" s="9"/>
      <c r="UHK1" s="8"/>
      <c r="UHL1" s="9"/>
      <c r="UHM1" s="8"/>
      <c r="UHN1" s="9"/>
      <c r="UHO1" s="8"/>
      <c r="UHP1" s="9"/>
      <c r="UHQ1" s="8"/>
      <c r="UHR1" s="9"/>
      <c r="UHS1" s="8"/>
      <c r="UHT1" s="9"/>
      <c r="UHU1" s="8"/>
      <c r="UHV1" s="9"/>
      <c r="UHW1" s="8"/>
      <c r="UHX1" s="9"/>
      <c r="UHY1" s="8"/>
      <c r="UHZ1" s="9"/>
      <c r="UIA1" s="8"/>
      <c r="UIB1" s="9"/>
      <c r="UIC1" s="8"/>
      <c r="UID1" s="9"/>
      <c r="UIE1" s="8"/>
      <c r="UIF1" s="9"/>
      <c r="UIG1" s="8"/>
      <c r="UIH1" s="9"/>
      <c r="UII1" s="8"/>
      <c r="UIJ1" s="9"/>
      <c r="UIK1" s="8"/>
      <c r="UIL1" s="9"/>
      <c r="UIM1" s="8"/>
      <c r="UIN1" s="9"/>
      <c r="UIO1" s="8"/>
      <c r="UIP1" s="9"/>
      <c r="UIQ1" s="8"/>
      <c r="UIR1" s="9"/>
      <c r="UIS1" s="8"/>
      <c r="UIT1" s="9"/>
      <c r="UIU1" s="8"/>
      <c r="UIV1" s="9"/>
      <c r="UIW1" s="8"/>
      <c r="UIX1" s="9"/>
      <c r="UIY1" s="8"/>
      <c r="UIZ1" s="9"/>
      <c r="UJA1" s="8"/>
      <c r="UJB1" s="9"/>
      <c r="UJC1" s="8"/>
      <c r="UJD1" s="9"/>
      <c r="UJE1" s="8"/>
      <c r="UJF1" s="9"/>
      <c r="UJG1" s="8"/>
      <c r="UJH1" s="9"/>
      <c r="UJI1" s="8"/>
      <c r="UJJ1" s="9"/>
      <c r="UJK1" s="8"/>
      <c r="UJL1" s="9"/>
      <c r="UJM1" s="8"/>
      <c r="UJN1" s="9"/>
      <c r="UJO1" s="8"/>
      <c r="UJP1" s="9"/>
      <c r="UJQ1" s="8"/>
      <c r="UJR1" s="9"/>
      <c r="UJS1" s="8"/>
      <c r="UJT1" s="9"/>
      <c r="UJU1" s="8"/>
      <c r="UJV1" s="9"/>
      <c r="UJW1" s="8"/>
      <c r="UJX1" s="9"/>
      <c r="UJY1" s="8"/>
      <c r="UJZ1" s="9"/>
      <c r="UKA1" s="8"/>
      <c r="UKB1" s="9"/>
      <c r="UKC1" s="8"/>
      <c r="UKD1" s="9"/>
      <c r="UKE1" s="8"/>
      <c r="UKF1" s="9"/>
      <c r="UKG1" s="8"/>
      <c r="UKH1" s="9"/>
      <c r="UKI1" s="8"/>
      <c r="UKJ1" s="9"/>
      <c r="UKK1" s="8"/>
      <c r="UKL1" s="9"/>
      <c r="UKM1" s="8"/>
      <c r="UKN1" s="9"/>
      <c r="UKO1" s="8"/>
      <c r="UKP1" s="9"/>
      <c r="UKQ1" s="8"/>
      <c r="UKR1" s="9"/>
      <c r="UKS1" s="8"/>
      <c r="UKT1" s="9"/>
      <c r="UKU1" s="8"/>
      <c r="UKV1" s="9"/>
      <c r="UKW1" s="8"/>
      <c r="UKX1" s="9"/>
      <c r="UKY1" s="8"/>
      <c r="UKZ1" s="9"/>
      <c r="ULA1" s="8"/>
      <c r="ULB1" s="9"/>
      <c r="ULC1" s="8"/>
      <c r="ULD1" s="9"/>
      <c r="ULE1" s="8"/>
      <c r="ULF1" s="9"/>
      <c r="ULG1" s="8"/>
      <c r="ULH1" s="9"/>
      <c r="ULI1" s="8"/>
      <c r="ULJ1" s="9"/>
      <c r="ULK1" s="8"/>
      <c r="ULL1" s="9"/>
      <c r="ULM1" s="8"/>
      <c r="ULN1" s="9"/>
      <c r="ULO1" s="8"/>
      <c r="ULP1" s="9"/>
      <c r="ULQ1" s="8"/>
      <c r="ULR1" s="9"/>
      <c r="ULS1" s="8"/>
      <c r="ULT1" s="9"/>
      <c r="ULU1" s="8"/>
      <c r="ULV1" s="9"/>
      <c r="ULW1" s="8"/>
      <c r="ULX1" s="9"/>
      <c r="ULY1" s="8"/>
      <c r="ULZ1" s="9"/>
      <c r="UMA1" s="8"/>
      <c r="UMB1" s="9"/>
      <c r="UMC1" s="8"/>
      <c r="UMD1" s="9"/>
      <c r="UME1" s="8"/>
      <c r="UMF1" s="9"/>
      <c r="UMG1" s="8"/>
      <c r="UMH1" s="9"/>
      <c r="UMI1" s="8"/>
      <c r="UMJ1" s="9"/>
      <c r="UMK1" s="8"/>
      <c r="UML1" s="9"/>
      <c r="UMM1" s="8"/>
      <c r="UMN1" s="9"/>
      <c r="UMO1" s="8"/>
      <c r="UMP1" s="9"/>
      <c r="UMQ1" s="8"/>
      <c r="UMR1" s="9"/>
      <c r="UMS1" s="8"/>
      <c r="UMT1" s="9"/>
      <c r="UMU1" s="8"/>
      <c r="UMV1" s="9"/>
      <c r="UMW1" s="8"/>
      <c r="UMX1" s="9"/>
      <c r="UMY1" s="8"/>
      <c r="UMZ1" s="9"/>
      <c r="UNA1" s="8"/>
      <c r="UNB1" s="9"/>
      <c r="UNC1" s="8"/>
      <c r="UND1" s="9"/>
      <c r="UNE1" s="8"/>
      <c r="UNF1" s="9"/>
      <c r="UNG1" s="8"/>
      <c r="UNH1" s="9"/>
      <c r="UNI1" s="8"/>
      <c r="UNJ1" s="9"/>
      <c r="UNK1" s="8"/>
      <c r="UNL1" s="9"/>
      <c r="UNM1" s="8"/>
      <c r="UNN1" s="9"/>
      <c r="UNO1" s="8"/>
      <c r="UNP1" s="9"/>
      <c r="UNQ1" s="8"/>
      <c r="UNR1" s="9"/>
      <c r="UNS1" s="8"/>
      <c r="UNT1" s="9"/>
      <c r="UNU1" s="8"/>
      <c r="UNV1" s="9"/>
      <c r="UNW1" s="8"/>
      <c r="UNX1" s="9"/>
      <c r="UNY1" s="8"/>
      <c r="UNZ1" s="9"/>
      <c r="UOA1" s="8"/>
      <c r="UOB1" s="9"/>
      <c r="UOC1" s="8"/>
      <c r="UOD1" s="9"/>
      <c r="UOE1" s="8"/>
      <c r="UOF1" s="9"/>
      <c r="UOG1" s="8"/>
      <c r="UOH1" s="9"/>
      <c r="UOI1" s="8"/>
      <c r="UOJ1" s="9"/>
      <c r="UOK1" s="8"/>
      <c r="UOL1" s="9"/>
      <c r="UOM1" s="8"/>
      <c r="UON1" s="9"/>
      <c r="UOO1" s="8"/>
      <c r="UOP1" s="9"/>
      <c r="UOQ1" s="8"/>
      <c r="UOR1" s="9"/>
      <c r="UOS1" s="8"/>
      <c r="UOT1" s="9"/>
      <c r="UOU1" s="8"/>
      <c r="UOV1" s="9"/>
      <c r="UOW1" s="8"/>
      <c r="UOX1" s="9"/>
      <c r="UOY1" s="8"/>
      <c r="UOZ1" s="9"/>
      <c r="UPA1" s="8"/>
      <c r="UPB1" s="9"/>
      <c r="UPC1" s="8"/>
      <c r="UPD1" s="9"/>
      <c r="UPE1" s="8"/>
      <c r="UPF1" s="9"/>
      <c r="UPG1" s="8"/>
      <c r="UPH1" s="9"/>
      <c r="UPI1" s="8"/>
      <c r="UPJ1" s="9"/>
      <c r="UPK1" s="8"/>
      <c r="UPL1" s="9"/>
      <c r="UPM1" s="8"/>
      <c r="UPN1" s="9"/>
      <c r="UPO1" s="8"/>
      <c r="UPP1" s="9"/>
      <c r="UPQ1" s="8"/>
      <c r="UPR1" s="9"/>
      <c r="UPS1" s="8"/>
      <c r="UPT1" s="9"/>
      <c r="UPU1" s="8"/>
      <c r="UPV1" s="9"/>
      <c r="UPW1" s="8"/>
      <c r="UPX1" s="9"/>
      <c r="UPY1" s="8"/>
      <c r="UPZ1" s="9"/>
      <c r="UQA1" s="8"/>
      <c r="UQB1" s="9"/>
      <c r="UQC1" s="8"/>
      <c r="UQD1" s="9"/>
      <c r="UQE1" s="8"/>
      <c r="UQF1" s="9"/>
      <c r="UQG1" s="8"/>
      <c r="UQH1" s="9"/>
      <c r="UQI1" s="8"/>
      <c r="UQJ1" s="9"/>
      <c r="UQK1" s="8"/>
      <c r="UQL1" s="9"/>
      <c r="UQM1" s="8"/>
      <c r="UQN1" s="9"/>
      <c r="UQO1" s="8"/>
      <c r="UQP1" s="9"/>
      <c r="UQQ1" s="8"/>
      <c r="UQR1" s="9"/>
      <c r="UQS1" s="8"/>
      <c r="UQT1" s="9"/>
      <c r="UQU1" s="8"/>
      <c r="UQV1" s="9"/>
      <c r="UQW1" s="8"/>
      <c r="UQX1" s="9"/>
      <c r="UQY1" s="8"/>
      <c r="UQZ1" s="9"/>
      <c r="URA1" s="8"/>
      <c r="URB1" s="9"/>
      <c r="URC1" s="8"/>
      <c r="URD1" s="9"/>
      <c r="URE1" s="8"/>
      <c r="URF1" s="9"/>
      <c r="URG1" s="8"/>
      <c r="URH1" s="9"/>
      <c r="URI1" s="8"/>
      <c r="URJ1" s="9"/>
      <c r="URK1" s="8"/>
      <c r="URL1" s="9"/>
      <c r="URM1" s="8"/>
      <c r="URN1" s="9"/>
      <c r="URO1" s="8"/>
      <c r="URP1" s="9"/>
      <c r="URQ1" s="8"/>
      <c r="URR1" s="9"/>
      <c r="URS1" s="8"/>
      <c r="URT1" s="9"/>
      <c r="URU1" s="8"/>
      <c r="URV1" s="9"/>
      <c r="URW1" s="8"/>
      <c r="URX1" s="9"/>
      <c r="URY1" s="8"/>
      <c r="URZ1" s="9"/>
      <c r="USA1" s="8"/>
      <c r="USB1" s="9"/>
      <c r="USC1" s="8"/>
      <c r="USD1" s="9"/>
      <c r="USE1" s="8"/>
      <c r="USF1" s="9"/>
      <c r="USG1" s="8"/>
      <c r="USH1" s="9"/>
      <c r="USI1" s="8"/>
      <c r="USJ1" s="9"/>
      <c r="USK1" s="8"/>
      <c r="USL1" s="9"/>
      <c r="USM1" s="8"/>
      <c r="USN1" s="9"/>
      <c r="USO1" s="8"/>
      <c r="USP1" s="9"/>
      <c r="USQ1" s="8"/>
      <c r="USR1" s="9"/>
      <c r="USS1" s="8"/>
      <c r="UST1" s="9"/>
      <c r="USU1" s="8"/>
      <c r="USV1" s="9"/>
      <c r="USW1" s="8"/>
      <c r="USX1" s="9"/>
      <c r="USY1" s="8"/>
      <c r="USZ1" s="9"/>
      <c r="UTA1" s="8"/>
      <c r="UTB1" s="9"/>
      <c r="UTC1" s="8"/>
      <c r="UTD1" s="9"/>
      <c r="UTE1" s="8"/>
      <c r="UTF1" s="9"/>
      <c r="UTG1" s="8"/>
      <c r="UTH1" s="9"/>
      <c r="UTI1" s="8"/>
      <c r="UTJ1" s="9"/>
      <c r="UTK1" s="8"/>
      <c r="UTL1" s="9"/>
      <c r="UTM1" s="8"/>
      <c r="UTN1" s="9"/>
      <c r="UTO1" s="8"/>
      <c r="UTP1" s="9"/>
      <c r="UTQ1" s="8"/>
      <c r="UTR1" s="9"/>
      <c r="UTS1" s="8"/>
      <c r="UTT1" s="9"/>
      <c r="UTU1" s="8"/>
      <c r="UTV1" s="9"/>
      <c r="UTW1" s="8"/>
      <c r="UTX1" s="9"/>
      <c r="UTY1" s="8"/>
      <c r="UTZ1" s="9"/>
      <c r="UUA1" s="8"/>
      <c r="UUB1" s="9"/>
      <c r="UUC1" s="8"/>
      <c r="UUD1" s="9"/>
      <c r="UUE1" s="8"/>
      <c r="UUF1" s="9"/>
      <c r="UUG1" s="8"/>
      <c r="UUH1" s="9"/>
      <c r="UUI1" s="8"/>
      <c r="UUJ1" s="9"/>
      <c r="UUK1" s="8"/>
      <c r="UUL1" s="9"/>
      <c r="UUM1" s="8"/>
      <c r="UUN1" s="9"/>
      <c r="UUO1" s="8"/>
      <c r="UUP1" s="9"/>
      <c r="UUQ1" s="8"/>
      <c r="UUR1" s="9"/>
      <c r="UUS1" s="8"/>
      <c r="UUT1" s="9"/>
      <c r="UUU1" s="8"/>
      <c r="UUV1" s="9"/>
      <c r="UUW1" s="8"/>
      <c r="UUX1" s="9"/>
      <c r="UUY1" s="8"/>
      <c r="UUZ1" s="9"/>
      <c r="UVA1" s="8"/>
      <c r="UVB1" s="9"/>
      <c r="UVC1" s="8"/>
      <c r="UVD1" s="9"/>
      <c r="UVE1" s="8"/>
      <c r="UVF1" s="9"/>
      <c r="UVG1" s="8"/>
      <c r="UVH1" s="9"/>
      <c r="UVI1" s="8"/>
      <c r="UVJ1" s="9"/>
      <c r="UVK1" s="8"/>
      <c r="UVL1" s="9"/>
      <c r="UVM1" s="8"/>
      <c r="UVN1" s="9"/>
      <c r="UVO1" s="8"/>
      <c r="UVP1" s="9"/>
      <c r="UVQ1" s="8"/>
      <c r="UVR1" s="9"/>
      <c r="UVS1" s="8"/>
      <c r="UVT1" s="9"/>
      <c r="UVU1" s="8"/>
      <c r="UVV1" s="9"/>
      <c r="UVW1" s="8"/>
      <c r="UVX1" s="9"/>
      <c r="UVY1" s="8"/>
      <c r="UVZ1" s="9"/>
      <c r="UWA1" s="8"/>
      <c r="UWB1" s="9"/>
      <c r="UWC1" s="8"/>
      <c r="UWD1" s="9"/>
      <c r="UWE1" s="8"/>
      <c r="UWF1" s="9"/>
      <c r="UWG1" s="8"/>
      <c r="UWH1" s="9"/>
      <c r="UWI1" s="8"/>
      <c r="UWJ1" s="9"/>
      <c r="UWK1" s="8"/>
      <c r="UWL1" s="9"/>
      <c r="UWM1" s="8"/>
      <c r="UWN1" s="9"/>
      <c r="UWO1" s="8"/>
      <c r="UWP1" s="9"/>
      <c r="UWQ1" s="8"/>
      <c r="UWR1" s="9"/>
      <c r="UWS1" s="8"/>
      <c r="UWT1" s="9"/>
      <c r="UWU1" s="8"/>
      <c r="UWV1" s="9"/>
      <c r="UWW1" s="8"/>
      <c r="UWX1" s="9"/>
      <c r="UWY1" s="8"/>
      <c r="UWZ1" s="9"/>
      <c r="UXA1" s="8"/>
      <c r="UXB1" s="9"/>
      <c r="UXC1" s="8"/>
      <c r="UXD1" s="9"/>
      <c r="UXE1" s="8"/>
      <c r="UXF1" s="9"/>
      <c r="UXG1" s="8"/>
      <c r="UXH1" s="9"/>
      <c r="UXI1" s="8"/>
      <c r="UXJ1" s="9"/>
      <c r="UXK1" s="8"/>
      <c r="UXL1" s="9"/>
      <c r="UXM1" s="8"/>
      <c r="UXN1" s="9"/>
      <c r="UXO1" s="8"/>
      <c r="UXP1" s="9"/>
      <c r="UXQ1" s="8"/>
      <c r="UXR1" s="9"/>
      <c r="UXS1" s="8"/>
      <c r="UXT1" s="9"/>
      <c r="UXU1" s="8"/>
      <c r="UXV1" s="9"/>
      <c r="UXW1" s="8"/>
      <c r="UXX1" s="9"/>
      <c r="UXY1" s="8"/>
      <c r="UXZ1" s="9"/>
      <c r="UYA1" s="8"/>
      <c r="UYB1" s="9"/>
      <c r="UYC1" s="8"/>
      <c r="UYD1" s="9"/>
      <c r="UYE1" s="8"/>
      <c r="UYF1" s="9"/>
      <c r="UYG1" s="8"/>
      <c r="UYH1" s="9"/>
      <c r="UYI1" s="8"/>
      <c r="UYJ1" s="9"/>
      <c r="UYK1" s="8"/>
      <c r="UYL1" s="9"/>
      <c r="UYM1" s="8"/>
      <c r="UYN1" s="9"/>
      <c r="UYO1" s="8"/>
      <c r="UYP1" s="9"/>
      <c r="UYQ1" s="8"/>
      <c r="UYR1" s="9"/>
      <c r="UYS1" s="8"/>
      <c r="UYT1" s="9"/>
      <c r="UYU1" s="8"/>
      <c r="UYV1" s="9"/>
      <c r="UYW1" s="8"/>
      <c r="UYX1" s="9"/>
      <c r="UYY1" s="8"/>
      <c r="UYZ1" s="9"/>
      <c r="UZA1" s="8"/>
      <c r="UZB1" s="9"/>
      <c r="UZC1" s="8"/>
      <c r="UZD1" s="9"/>
      <c r="UZE1" s="8"/>
      <c r="UZF1" s="9"/>
      <c r="UZG1" s="8"/>
      <c r="UZH1" s="9"/>
      <c r="UZI1" s="8"/>
      <c r="UZJ1" s="9"/>
      <c r="UZK1" s="8"/>
      <c r="UZL1" s="9"/>
      <c r="UZM1" s="8"/>
      <c r="UZN1" s="9"/>
      <c r="UZO1" s="8"/>
      <c r="UZP1" s="9"/>
      <c r="UZQ1" s="8"/>
      <c r="UZR1" s="9"/>
      <c r="UZS1" s="8"/>
      <c r="UZT1" s="9"/>
      <c r="UZU1" s="8"/>
      <c r="UZV1" s="9"/>
      <c r="UZW1" s="8"/>
      <c r="UZX1" s="9"/>
      <c r="UZY1" s="8"/>
      <c r="UZZ1" s="9"/>
      <c r="VAA1" s="8"/>
      <c r="VAB1" s="9"/>
      <c r="VAC1" s="8"/>
      <c r="VAD1" s="9"/>
      <c r="VAE1" s="8"/>
      <c r="VAF1" s="9"/>
      <c r="VAG1" s="8"/>
      <c r="VAH1" s="9"/>
      <c r="VAI1" s="8"/>
      <c r="VAJ1" s="9"/>
      <c r="VAK1" s="8"/>
      <c r="VAL1" s="9"/>
      <c r="VAM1" s="8"/>
      <c r="VAN1" s="9"/>
      <c r="VAO1" s="8"/>
      <c r="VAP1" s="9"/>
      <c r="VAQ1" s="8"/>
      <c r="VAR1" s="9"/>
      <c r="VAS1" s="8"/>
      <c r="VAT1" s="9"/>
      <c r="VAU1" s="8"/>
      <c r="VAV1" s="9"/>
      <c r="VAW1" s="8"/>
      <c r="VAX1" s="9"/>
      <c r="VAY1" s="8"/>
      <c r="VAZ1" s="9"/>
      <c r="VBA1" s="8"/>
      <c r="VBB1" s="9"/>
      <c r="VBC1" s="8"/>
      <c r="VBD1" s="9"/>
      <c r="VBE1" s="8"/>
      <c r="VBF1" s="9"/>
      <c r="VBG1" s="8"/>
      <c r="VBH1" s="9"/>
      <c r="VBI1" s="8"/>
      <c r="VBJ1" s="9"/>
      <c r="VBK1" s="8"/>
      <c r="VBL1" s="9"/>
      <c r="VBM1" s="8"/>
      <c r="VBN1" s="9"/>
      <c r="VBO1" s="8"/>
      <c r="VBP1" s="9"/>
      <c r="VBQ1" s="8"/>
      <c r="VBR1" s="9"/>
      <c r="VBS1" s="8"/>
      <c r="VBT1" s="9"/>
      <c r="VBU1" s="8"/>
      <c r="VBV1" s="9"/>
      <c r="VBW1" s="8"/>
      <c r="VBX1" s="9"/>
      <c r="VBY1" s="8"/>
      <c r="VBZ1" s="9"/>
      <c r="VCA1" s="8"/>
      <c r="VCB1" s="9"/>
      <c r="VCC1" s="8"/>
      <c r="VCD1" s="9"/>
      <c r="VCE1" s="8"/>
      <c r="VCF1" s="9"/>
      <c r="VCG1" s="8"/>
      <c r="VCH1" s="9"/>
      <c r="VCI1" s="8"/>
      <c r="VCJ1" s="9"/>
      <c r="VCK1" s="8"/>
      <c r="VCL1" s="9"/>
      <c r="VCM1" s="8"/>
      <c r="VCN1" s="9"/>
      <c r="VCO1" s="8"/>
      <c r="VCP1" s="9"/>
      <c r="VCQ1" s="8"/>
      <c r="VCR1" s="9"/>
      <c r="VCS1" s="8"/>
      <c r="VCT1" s="9"/>
      <c r="VCU1" s="8"/>
      <c r="VCV1" s="9"/>
      <c r="VCW1" s="8"/>
      <c r="VCX1" s="9"/>
      <c r="VCY1" s="8"/>
      <c r="VCZ1" s="9"/>
      <c r="VDA1" s="8"/>
      <c r="VDB1" s="9"/>
      <c r="VDC1" s="8"/>
      <c r="VDD1" s="9"/>
      <c r="VDE1" s="8"/>
      <c r="VDF1" s="9"/>
      <c r="VDG1" s="8"/>
      <c r="VDH1" s="9"/>
      <c r="VDI1" s="8"/>
      <c r="VDJ1" s="9"/>
      <c r="VDK1" s="8"/>
      <c r="VDL1" s="9"/>
      <c r="VDM1" s="8"/>
      <c r="VDN1" s="9"/>
      <c r="VDO1" s="8"/>
      <c r="VDP1" s="9"/>
      <c r="VDQ1" s="8"/>
      <c r="VDR1" s="9"/>
      <c r="VDS1" s="8"/>
      <c r="VDT1" s="9"/>
      <c r="VDU1" s="8"/>
      <c r="VDV1" s="9"/>
      <c r="VDW1" s="8"/>
      <c r="VDX1" s="9"/>
      <c r="VDY1" s="8"/>
      <c r="VDZ1" s="9"/>
      <c r="VEA1" s="8"/>
      <c r="VEB1" s="9"/>
      <c r="VEC1" s="8"/>
      <c r="VED1" s="9"/>
      <c r="VEE1" s="8"/>
      <c r="VEF1" s="9"/>
      <c r="VEG1" s="8"/>
      <c r="VEH1" s="9"/>
      <c r="VEI1" s="8"/>
      <c r="VEJ1" s="9"/>
      <c r="VEK1" s="8"/>
      <c r="VEL1" s="9"/>
      <c r="VEM1" s="8"/>
      <c r="VEN1" s="9"/>
      <c r="VEO1" s="8"/>
      <c r="VEP1" s="9"/>
      <c r="VEQ1" s="8"/>
      <c r="VER1" s="9"/>
      <c r="VES1" s="8"/>
      <c r="VET1" s="9"/>
      <c r="VEU1" s="8"/>
      <c r="VEV1" s="9"/>
      <c r="VEW1" s="8"/>
      <c r="VEX1" s="9"/>
      <c r="VEY1" s="8"/>
      <c r="VEZ1" s="9"/>
      <c r="VFA1" s="8"/>
      <c r="VFB1" s="9"/>
      <c r="VFC1" s="8"/>
      <c r="VFD1" s="9"/>
      <c r="VFE1" s="8"/>
      <c r="VFF1" s="9"/>
      <c r="VFG1" s="8"/>
      <c r="VFH1" s="9"/>
      <c r="VFI1" s="8"/>
      <c r="VFJ1" s="9"/>
      <c r="VFK1" s="8"/>
      <c r="VFL1" s="9"/>
      <c r="VFM1" s="8"/>
      <c r="VFN1" s="9"/>
      <c r="VFO1" s="8"/>
      <c r="VFP1" s="9"/>
      <c r="VFQ1" s="8"/>
      <c r="VFR1" s="9"/>
      <c r="VFS1" s="8"/>
      <c r="VFT1" s="9"/>
      <c r="VFU1" s="8"/>
      <c r="VFV1" s="9"/>
      <c r="VFW1" s="8"/>
      <c r="VFX1" s="9"/>
      <c r="VFY1" s="8"/>
      <c r="VFZ1" s="9"/>
      <c r="VGA1" s="8"/>
      <c r="VGB1" s="9"/>
      <c r="VGC1" s="8"/>
      <c r="VGD1" s="9"/>
      <c r="VGE1" s="8"/>
      <c r="VGF1" s="9"/>
      <c r="VGG1" s="8"/>
      <c r="VGH1" s="9"/>
      <c r="VGI1" s="8"/>
      <c r="VGJ1" s="9"/>
      <c r="VGK1" s="8"/>
      <c r="VGL1" s="9"/>
      <c r="VGM1" s="8"/>
      <c r="VGN1" s="9"/>
      <c r="VGO1" s="8"/>
      <c r="VGP1" s="9"/>
      <c r="VGQ1" s="8"/>
      <c r="VGR1" s="9"/>
      <c r="VGS1" s="8"/>
      <c r="VGT1" s="9"/>
      <c r="VGU1" s="8"/>
      <c r="VGV1" s="9"/>
      <c r="VGW1" s="8"/>
      <c r="VGX1" s="9"/>
      <c r="VGY1" s="8"/>
      <c r="VGZ1" s="9"/>
      <c r="VHA1" s="8"/>
      <c r="VHB1" s="9"/>
      <c r="VHC1" s="8"/>
      <c r="VHD1" s="9"/>
      <c r="VHE1" s="8"/>
      <c r="VHF1" s="9"/>
      <c r="VHG1" s="8"/>
      <c r="VHH1" s="9"/>
      <c r="VHI1" s="8"/>
      <c r="VHJ1" s="9"/>
      <c r="VHK1" s="8"/>
      <c r="VHL1" s="9"/>
      <c r="VHM1" s="8"/>
      <c r="VHN1" s="9"/>
      <c r="VHO1" s="8"/>
      <c r="VHP1" s="9"/>
      <c r="VHQ1" s="8"/>
      <c r="VHR1" s="9"/>
      <c r="VHS1" s="8"/>
      <c r="VHT1" s="9"/>
      <c r="VHU1" s="8"/>
      <c r="VHV1" s="9"/>
      <c r="VHW1" s="8"/>
      <c r="VHX1" s="9"/>
      <c r="VHY1" s="8"/>
      <c r="VHZ1" s="9"/>
      <c r="VIA1" s="8"/>
      <c r="VIB1" s="9"/>
      <c r="VIC1" s="8"/>
      <c r="VID1" s="9"/>
      <c r="VIE1" s="8"/>
      <c r="VIF1" s="9"/>
      <c r="VIG1" s="8"/>
      <c r="VIH1" s="9"/>
      <c r="VII1" s="8"/>
      <c r="VIJ1" s="9"/>
      <c r="VIK1" s="8"/>
      <c r="VIL1" s="9"/>
      <c r="VIM1" s="8"/>
      <c r="VIN1" s="9"/>
      <c r="VIO1" s="8"/>
      <c r="VIP1" s="9"/>
      <c r="VIQ1" s="8"/>
      <c r="VIR1" s="9"/>
      <c r="VIS1" s="8"/>
      <c r="VIT1" s="9"/>
      <c r="VIU1" s="8"/>
      <c r="VIV1" s="9"/>
      <c r="VIW1" s="8"/>
      <c r="VIX1" s="9"/>
      <c r="VIY1" s="8"/>
      <c r="VIZ1" s="9"/>
      <c r="VJA1" s="8"/>
      <c r="VJB1" s="9"/>
      <c r="VJC1" s="8"/>
      <c r="VJD1" s="9"/>
      <c r="VJE1" s="8"/>
      <c r="VJF1" s="9"/>
      <c r="VJG1" s="8"/>
      <c r="VJH1" s="9"/>
      <c r="VJI1" s="8"/>
      <c r="VJJ1" s="9"/>
      <c r="VJK1" s="8"/>
      <c r="VJL1" s="9"/>
      <c r="VJM1" s="8"/>
      <c r="VJN1" s="9"/>
      <c r="VJO1" s="8"/>
      <c r="VJP1" s="9"/>
      <c r="VJQ1" s="8"/>
      <c r="VJR1" s="9"/>
      <c r="VJS1" s="8"/>
      <c r="VJT1" s="9"/>
      <c r="VJU1" s="8"/>
      <c r="VJV1" s="9"/>
      <c r="VJW1" s="8"/>
      <c r="VJX1" s="9"/>
      <c r="VJY1" s="8"/>
      <c r="VJZ1" s="9"/>
      <c r="VKA1" s="8"/>
      <c r="VKB1" s="9"/>
      <c r="VKC1" s="8"/>
      <c r="VKD1" s="9"/>
      <c r="VKE1" s="8"/>
      <c r="VKF1" s="9"/>
      <c r="VKG1" s="8"/>
      <c r="VKH1" s="9"/>
      <c r="VKI1" s="8"/>
      <c r="VKJ1" s="9"/>
      <c r="VKK1" s="8"/>
      <c r="VKL1" s="9"/>
      <c r="VKM1" s="8"/>
      <c r="VKN1" s="9"/>
      <c r="VKO1" s="8"/>
      <c r="VKP1" s="9"/>
      <c r="VKQ1" s="8"/>
      <c r="VKR1" s="9"/>
      <c r="VKS1" s="8"/>
      <c r="VKT1" s="9"/>
      <c r="VKU1" s="8"/>
      <c r="VKV1" s="9"/>
      <c r="VKW1" s="8"/>
      <c r="VKX1" s="9"/>
      <c r="VKY1" s="8"/>
      <c r="VKZ1" s="9"/>
      <c r="VLA1" s="8"/>
      <c r="VLB1" s="9"/>
      <c r="VLC1" s="8"/>
      <c r="VLD1" s="9"/>
      <c r="VLE1" s="8"/>
      <c r="VLF1" s="9"/>
      <c r="VLG1" s="8"/>
      <c r="VLH1" s="9"/>
      <c r="VLI1" s="8"/>
      <c r="VLJ1" s="9"/>
      <c r="VLK1" s="8"/>
      <c r="VLL1" s="9"/>
      <c r="VLM1" s="8"/>
      <c r="VLN1" s="9"/>
      <c r="VLO1" s="8"/>
      <c r="VLP1" s="9"/>
      <c r="VLQ1" s="8"/>
      <c r="VLR1" s="9"/>
      <c r="VLS1" s="8"/>
      <c r="VLT1" s="9"/>
      <c r="VLU1" s="8"/>
      <c r="VLV1" s="9"/>
      <c r="VLW1" s="8"/>
      <c r="VLX1" s="9"/>
      <c r="VLY1" s="8"/>
      <c r="VLZ1" s="9"/>
      <c r="VMA1" s="8"/>
      <c r="VMB1" s="9"/>
      <c r="VMC1" s="8"/>
      <c r="VMD1" s="9"/>
      <c r="VME1" s="8"/>
      <c r="VMF1" s="9"/>
      <c r="VMG1" s="8"/>
      <c r="VMH1" s="9"/>
      <c r="VMI1" s="8"/>
      <c r="VMJ1" s="9"/>
      <c r="VMK1" s="8"/>
      <c r="VML1" s="9"/>
      <c r="VMM1" s="8"/>
      <c r="VMN1" s="9"/>
      <c r="VMO1" s="8"/>
      <c r="VMP1" s="9"/>
      <c r="VMQ1" s="8"/>
      <c r="VMR1" s="9"/>
      <c r="VMS1" s="8"/>
      <c r="VMT1" s="9"/>
      <c r="VMU1" s="8"/>
      <c r="VMV1" s="9"/>
      <c r="VMW1" s="8"/>
      <c r="VMX1" s="9"/>
      <c r="VMY1" s="8"/>
      <c r="VMZ1" s="9"/>
      <c r="VNA1" s="8"/>
      <c r="VNB1" s="9"/>
      <c r="VNC1" s="8"/>
      <c r="VND1" s="9"/>
      <c r="VNE1" s="8"/>
      <c r="VNF1" s="9"/>
      <c r="VNG1" s="8"/>
      <c r="VNH1" s="9"/>
      <c r="VNI1" s="8"/>
      <c r="VNJ1" s="9"/>
      <c r="VNK1" s="8"/>
      <c r="VNL1" s="9"/>
      <c r="VNM1" s="8"/>
      <c r="VNN1" s="9"/>
      <c r="VNO1" s="8"/>
      <c r="VNP1" s="9"/>
      <c r="VNQ1" s="8"/>
      <c r="VNR1" s="9"/>
      <c r="VNS1" s="8"/>
      <c r="VNT1" s="9"/>
      <c r="VNU1" s="8"/>
      <c r="VNV1" s="9"/>
      <c r="VNW1" s="8"/>
      <c r="VNX1" s="9"/>
      <c r="VNY1" s="8"/>
      <c r="VNZ1" s="9"/>
      <c r="VOA1" s="8"/>
      <c r="VOB1" s="9"/>
      <c r="VOC1" s="8"/>
      <c r="VOD1" s="9"/>
      <c r="VOE1" s="8"/>
      <c r="VOF1" s="9"/>
      <c r="VOG1" s="8"/>
      <c r="VOH1" s="9"/>
      <c r="VOI1" s="8"/>
      <c r="VOJ1" s="9"/>
      <c r="VOK1" s="8"/>
      <c r="VOL1" s="9"/>
      <c r="VOM1" s="8"/>
      <c r="VON1" s="9"/>
      <c r="VOO1" s="8"/>
      <c r="VOP1" s="9"/>
      <c r="VOQ1" s="8"/>
      <c r="VOR1" s="9"/>
      <c r="VOS1" s="8"/>
      <c r="VOT1" s="9"/>
      <c r="VOU1" s="8"/>
      <c r="VOV1" s="9"/>
      <c r="VOW1" s="8"/>
      <c r="VOX1" s="9"/>
      <c r="VOY1" s="8"/>
      <c r="VOZ1" s="9"/>
      <c r="VPA1" s="8"/>
      <c r="VPB1" s="9"/>
      <c r="VPC1" s="8"/>
      <c r="VPD1" s="9"/>
      <c r="VPE1" s="8"/>
      <c r="VPF1" s="9"/>
      <c r="VPG1" s="8"/>
      <c r="VPH1" s="9"/>
      <c r="VPI1" s="8"/>
      <c r="VPJ1" s="9"/>
      <c r="VPK1" s="8"/>
      <c r="VPL1" s="9"/>
      <c r="VPM1" s="8"/>
      <c r="VPN1" s="9"/>
      <c r="VPO1" s="8"/>
      <c r="VPP1" s="9"/>
      <c r="VPQ1" s="8"/>
      <c r="VPR1" s="9"/>
      <c r="VPS1" s="8"/>
      <c r="VPT1" s="9"/>
      <c r="VPU1" s="8"/>
      <c r="VPV1" s="9"/>
      <c r="VPW1" s="8"/>
      <c r="VPX1" s="9"/>
      <c r="VPY1" s="8"/>
      <c r="VPZ1" s="9"/>
      <c r="VQA1" s="8"/>
      <c r="VQB1" s="9"/>
      <c r="VQC1" s="8"/>
      <c r="VQD1" s="9"/>
      <c r="VQE1" s="8"/>
      <c r="VQF1" s="9"/>
      <c r="VQG1" s="8"/>
      <c r="VQH1" s="9"/>
      <c r="VQI1" s="8"/>
      <c r="VQJ1" s="9"/>
      <c r="VQK1" s="8"/>
      <c r="VQL1" s="9"/>
      <c r="VQM1" s="8"/>
      <c r="VQN1" s="9"/>
      <c r="VQO1" s="8"/>
      <c r="VQP1" s="9"/>
      <c r="VQQ1" s="8"/>
      <c r="VQR1" s="9"/>
      <c r="VQS1" s="8"/>
      <c r="VQT1" s="9"/>
      <c r="VQU1" s="8"/>
      <c r="VQV1" s="9"/>
      <c r="VQW1" s="8"/>
      <c r="VQX1" s="9"/>
      <c r="VQY1" s="8"/>
      <c r="VQZ1" s="9"/>
      <c r="VRA1" s="8"/>
      <c r="VRB1" s="9"/>
      <c r="VRC1" s="8"/>
      <c r="VRD1" s="9"/>
      <c r="VRE1" s="8"/>
      <c r="VRF1" s="9"/>
      <c r="VRG1" s="8"/>
      <c r="VRH1" s="9"/>
      <c r="VRI1" s="8"/>
      <c r="VRJ1" s="9"/>
      <c r="VRK1" s="8"/>
      <c r="VRL1" s="9"/>
      <c r="VRM1" s="8"/>
      <c r="VRN1" s="9"/>
      <c r="VRO1" s="8"/>
      <c r="VRP1" s="9"/>
      <c r="VRQ1" s="8"/>
      <c r="VRR1" s="9"/>
      <c r="VRS1" s="8"/>
      <c r="VRT1" s="9"/>
      <c r="VRU1" s="8"/>
      <c r="VRV1" s="9"/>
      <c r="VRW1" s="8"/>
      <c r="VRX1" s="9"/>
      <c r="VRY1" s="8"/>
      <c r="VRZ1" s="9"/>
      <c r="VSA1" s="8"/>
      <c r="VSB1" s="9"/>
      <c r="VSC1" s="8"/>
      <c r="VSD1" s="9"/>
      <c r="VSE1" s="8"/>
      <c r="VSF1" s="9"/>
      <c r="VSG1" s="8"/>
      <c r="VSH1" s="9"/>
      <c r="VSI1" s="8"/>
      <c r="VSJ1" s="9"/>
      <c r="VSK1" s="8"/>
      <c r="VSL1" s="9"/>
      <c r="VSM1" s="8"/>
      <c r="VSN1" s="9"/>
      <c r="VSO1" s="8"/>
      <c r="VSP1" s="9"/>
      <c r="VSQ1" s="8"/>
      <c r="VSR1" s="9"/>
      <c r="VSS1" s="8"/>
      <c r="VST1" s="9"/>
      <c r="VSU1" s="8"/>
      <c r="VSV1" s="9"/>
      <c r="VSW1" s="8"/>
      <c r="VSX1" s="9"/>
      <c r="VSY1" s="8"/>
      <c r="VSZ1" s="9"/>
      <c r="VTA1" s="8"/>
      <c r="VTB1" s="9"/>
      <c r="VTC1" s="8"/>
      <c r="VTD1" s="9"/>
      <c r="VTE1" s="8"/>
      <c r="VTF1" s="9"/>
      <c r="VTG1" s="8"/>
      <c r="VTH1" s="9"/>
      <c r="VTI1" s="8"/>
      <c r="VTJ1" s="9"/>
      <c r="VTK1" s="8"/>
      <c r="VTL1" s="9"/>
      <c r="VTM1" s="8"/>
      <c r="VTN1" s="9"/>
      <c r="VTO1" s="8"/>
      <c r="VTP1" s="9"/>
      <c r="VTQ1" s="8"/>
      <c r="VTR1" s="9"/>
      <c r="VTS1" s="8"/>
      <c r="VTT1" s="9"/>
      <c r="VTU1" s="8"/>
      <c r="VTV1" s="9"/>
      <c r="VTW1" s="8"/>
      <c r="VTX1" s="9"/>
      <c r="VTY1" s="8"/>
      <c r="VTZ1" s="9"/>
      <c r="VUA1" s="8"/>
      <c r="VUB1" s="9"/>
      <c r="VUC1" s="8"/>
      <c r="VUD1" s="9"/>
      <c r="VUE1" s="8"/>
      <c r="VUF1" s="9"/>
      <c r="VUG1" s="8"/>
      <c r="VUH1" s="9"/>
      <c r="VUI1" s="8"/>
      <c r="VUJ1" s="9"/>
      <c r="VUK1" s="8"/>
      <c r="VUL1" s="9"/>
      <c r="VUM1" s="8"/>
      <c r="VUN1" s="9"/>
      <c r="VUO1" s="8"/>
      <c r="VUP1" s="9"/>
      <c r="VUQ1" s="8"/>
      <c r="VUR1" s="9"/>
      <c r="VUS1" s="8"/>
      <c r="VUT1" s="9"/>
      <c r="VUU1" s="8"/>
      <c r="VUV1" s="9"/>
      <c r="VUW1" s="8"/>
      <c r="VUX1" s="9"/>
      <c r="VUY1" s="8"/>
      <c r="VUZ1" s="9"/>
      <c r="VVA1" s="8"/>
      <c r="VVB1" s="9"/>
      <c r="VVC1" s="8"/>
      <c r="VVD1" s="9"/>
      <c r="VVE1" s="8"/>
      <c r="VVF1" s="9"/>
      <c r="VVG1" s="8"/>
      <c r="VVH1" s="9"/>
      <c r="VVI1" s="8"/>
      <c r="VVJ1" s="9"/>
      <c r="VVK1" s="8"/>
      <c r="VVL1" s="9"/>
      <c r="VVM1" s="8"/>
      <c r="VVN1" s="9"/>
      <c r="VVO1" s="8"/>
      <c r="VVP1" s="9"/>
      <c r="VVQ1" s="8"/>
      <c r="VVR1" s="9"/>
      <c r="VVS1" s="8"/>
      <c r="VVT1" s="9"/>
      <c r="VVU1" s="8"/>
      <c r="VVV1" s="9"/>
      <c r="VVW1" s="8"/>
      <c r="VVX1" s="9"/>
      <c r="VVY1" s="8"/>
      <c r="VVZ1" s="9"/>
      <c r="VWA1" s="8"/>
      <c r="VWB1" s="9"/>
      <c r="VWC1" s="8"/>
      <c r="VWD1" s="9"/>
      <c r="VWE1" s="8"/>
      <c r="VWF1" s="9"/>
      <c r="VWG1" s="8"/>
      <c r="VWH1" s="9"/>
      <c r="VWI1" s="8"/>
      <c r="VWJ1" s="9"/>
      <c r="VWK1" s="8"/>
      <c r="VWL1" s="9"/>
      <c r="VWM1" s="8"/>
      <c r="VWN1" s="9"/>
      <c r="VWO1" s="8"/>
      <c r="VWP1" s="9"/>
      <c r="VWQ1" s="8"/>
      <c r="VWR1" s="9"/>
      <c r="VWS1" s="8"/>
      <c r="VWT1" s="9"/>
      <c r="VWU1" s="8"/>
      <c r="VWV1" s="9"/>
      <c r="VWW1" s="8"/>
      <c r="VWX1" s="9"/>
      <c r="VWY1" s="8"/>
      <c r="VWZ1" s="9"/>
      <c r="VXA1" s="8"/>
      <c r="VXB1" s="9"/>
      <c r="VXC1" s="8"/>
      <c r="VXD1" s="9"/>
      <c r="VXE1" s="8"/>
      <c r="VXF1" s="9"/>
      <c r="VXG1" s="8"/>
      <c r="VXH1" s="9"/>
      <c r="VXI1" s="8"/>
      <c r="VXJ1" s="9"/>
      <c r="VXK1" s="8"/>
      <c r="VXL1" s="9"/>
      <c r="VXM1" s="8"/>
      <c r="VXN1" s="9"/>
      <c r="VXO1" s="8"/>
      <c r="VXP1" s="9"/>
      <c r="VXQ1" s="8"/>
      <c r="VXR1" s="9"/>
      <c r="VXS1" s="8"/>
      <c r="VXT1" s="9"/>
      <c r="VXU1" s="8"/>
      <c r="VXV1" s="9"/>
      <c r="VXW1" s="8"/>
      <c r="VXX1" s="9"/>
      <c r="VXY1" s="8"/>
      <c r="VXZ1" s="9"/>
      <c r="VYA1" s="8"/>
      <c r="VYB1" s="9"/>
      <c r="VYC1" s="8"/>
      <c r="VYD1" s="9"/>
      <c r="VYE1" s="8"/>
      <c r="VYF1" s="9"/>
      <c r="VYG1" s="8"/>
      <c r="VYH1" s="9"/>
      <c r="VYI1" s="8"/>
      <c r="VYJ1" s="9"/>
      <c r="VYK1" s="8"/>
      <c r="VYL1" s="9"/>
      <c r="VYM1" s="8"/>
      <c r="VYN1" s="9"/>
      <c r="VYO1" s="8"/>
      <c r="VYP1" s="9"/>
      <c r="VYQ1" s="8"/>
      <c r="VYR1" s="9"/>
      <c r="VYS1" s="8"/>
      <c r="VYT1" s="9"/>
      <c r="VYU1" s="8"/>
      <c r="VYV1" s="9"/>
      <c r="VYW1" s="8"/>
      <c r="VYX1" s="9"/>
      <c r="VYY1" s="8"/>
      <c r="VYZ1" s="9"/>
      <c r="VZA1" s="8"/>
      <c r="VZB1" s="9"/>
      <c r="VZC1" s="8"/>
      <c r="VZD1" s="9"/>
      <c r="VZE1" s="8"/>
      <c r="VZF1" s="9"/>
      <c r="VZG1" s="8"/>
      <c r="VZH1" s="9"/>
      <c r="VZI1" s="8"/>
      <c r="VZJ1" s="9"/>
      <c r="VZK1" s="8"/>
      <c r="VZL1" s="9"/>
      <c r="VZM1" s="8"/>
      <c r="VZN1" s="9"/>
      <c r="VZO1" s="8"/>
      <c r="VZP1" s="9"/>
      <c r="VZQ1" s="8"/>
      <c r="VZR1" s="9"/>
      <c r="VZS1" s="8"/>
      <c r="VZT1" s="9"/>
      <c r="VZU1" s="8"/>
      <c r="VZV1" s="9"/>
      <c r="VZW1" s="8"/>
      <c r="VZX1" s="9"/>
      <c r="VZY1" s="8"/>
      <c r="VZZ1" s="9"/>
      <c r="WAA1" s="8"/>
      <c r="WAB1" s="9"/>
      <c r="WAC1" s="8"/>
      <c r="WAD1" s="9"/>
      <c r="WAE1" s="8"/>
      <c r="WAF1" s="9"/>
      <c r="WAG1" s="8"/>
      <c r="WAH1" s="9"/>
      <c r="WAI1" s="8"/>
      <c r="WAJ1" s="9"/>
      <c r="WAK1" s="8"/>
      <c r="WAL1" s="9"/>
      <c r="WAM1" s="8"/>
      <c r="WAN1" s="9"/>
      <c r="WAO1" s="8"/>
      <c r="WAP1" s="9"/>
      <c r="WAQ1" s="8"/>
      <c r="WAR1" s="9"/>
      <c r="WAS1" s="8"/>
      <c r="WAT1" s="9"/>
      <c r="WAU1" s="8"/>
      <c r="WAV1" s="9"/>
      <c r="WAW1" s="8"/>
      <c r="WAX1" s="9"/>
      <c r="WAY1" s="8"/>
      <c r="WAZ1" s="9"/>
      <c r="WBA1" s="8"/>
      <c r="WBB1" s="9"/>
      <c r="WBC1" s="8"/>
      <c r="WBD1" s="9"/>
      <c r="WBE1" s="8"/>
      <c r="WBF1" s="9"/>
      <c r="WBG1" s="8"/>
      <c r="WBH1" s="9"/>
      <c r="WBI1" s="8"/>
      <c r="WBJ1" s="9"/>
      <c r="WBK1" s="8"/>
      <c r="WBL1" s="9"/>
      <c r="WBM1" s="8"/>
      <c r="WBN1" s="9"/>
      <c r="WBO1" s="8"/>
      <c r="WBP1" s="9"/>
      <c r="WBQ1" s="8"/>
      <c r="WBR1" s="9"/>
      <c r="WBS1" s="8"/>
      <c r="WBT1" s="9"/>
      <c r="WBU1" s="8"/>
      <c r="WBV1" s="9"/>
      <c r="WBW1" s="8"/>
      <c r="WBX1" s="9"/>
      <c r="WBY1" s="8"/>
      <c r="WBZ1" s="9"/>
      <c r="WCA1" s="8"/>
      <c r="WCB1" s="9"/>
      <c r="WCC1" s="8"/>
      <c r="WCD1" s="9"/>
      <c r="WCE1" s="8"/>
      <c r="WCF1" s="9"/>
      <c r="WCG1" s="8"/>
      <c r="WCH1" s="9"/>
      <c r="WCI1" s="8"/>
      <c r="WCJ1" s="9"/>
      <c r="WCK1" s="8"/>
      <c r="WCL1" s="9"/>
      <c r="WCM1" s="8"/>
      <c r="WCN1" s="9"/>
      <c r="WCO1" s="8"/>
      <c r="WCP1" s="9"/>
      <c r="WCQ1" s="8"/>
      <c r="WCR1" s="9"/>
      <c r="WCS1" s="8"/>
      <c r="WCT1" s="9"/>
      <c r="WCU1" s="8"/>
      <c r="WCV1" s="9"/>
      <c r="WCW1" s="8"/>
      <c r="WCX1" s="9"/>
      <c r="WCY1" s="8"/>
      <c r="WCZ1" s="9"/>
      <c r="WDA1" s="8"/>
      <c r="WDB1" s="9"/>
      <c r="WDC1" s="8"/>
      <c r="WDD1" s="9"/>
      <c r="WDE1" s="8"/>
      <c r="WDF1" s="9"/>
      <c r="WDG1" s="8"/>
      <c r="WDH1" s="9"/>
      <c r="WDI1" s="8"/>
      <c r="WDJ1" s="9"/>
      <c r="WDK1" s="8"/>
      <c r="WDL1" s="9"/>
      <c r="WDM1" s="8"/>
      <c r="WDN1" s="9"/>
      <c r="WDO1" s="8"/>
      <c r="WDP1" s="9"/>
      <c r="WDQ1" s="8"/>
      <c r="WDR1" s="9"/>
      <c r="WDS1" s="8"/>
      <c r="WDT1" s="9"/>
      <c r="WDU1" s="8"/>
      <c r="WDV1" s="9"/>
      <c r="WDW1" s="8"/>
      <c r="WDX1" s="9"/>
      <c r="WDY1" s="8"/>
      <c r="WDZ1" s="9"/>
      <c r="WEA1" s="8"/>
      <c r="WEB1" s="9"/>
      <c r="WEC1" s="8"/>
      <c r="WED1" s="9"/>
      <c r="WEE1" s="8"/>
      <c r="WEF1" s="9"/>
      <c r="WEG1" s="8"/>
      <c r="WEH1" s="9"/>
      <c r="WEI1" s="8"/>
      <c r="WEJ1" s="9"/>
      <c r="WEK1" s="8"/>
      <c r="WEL1" s="9"/>
      <c r="WEM1" s="8"/>
      <c r="WEN1" s="9"/>
      <c r="WEO1" s="8"/>
      <c r="WEP1" s="9"/>
      <c r="WEQ1" s="8"/>
      <c r="WER1" s="9"/>
      <c r="WES1" s="8"/>
      <c r="WET1" s="9"/>
      <c r="WEU1" s="8"/>
      <c r="WEV1" s="9"/>
      <c r="WEW1" s="8"/>
      <c r="WEX1" s="9"/>
      <c r="WEY1" s="8"/>
      <c r="WEZ1" s="9"/>
      <c r="WFA1" s="8"/>
      <c r="WFB1" s="9"/>
      <c r="WFC1" s="8"/>
      <c r="WFD1" s="9"/>
      <c r="WFE1" s="8"/>
      <c r="WFF1" s="9"/>
      <c r="WFG1" s="8"/>
      <c r="WFH1" s="9"/>
      <c r="WFI1" s="8"/>
      <c r="WFJ1" s="9"/>
      <c r="WFK1" s="8"/>
      <c r="WFL1" s="9"/>
      <c r="WFM1" s="8"/>
      <c r="WFN1" s="9"/>
      <c r="WFO1" s="8"/>
      <c r="WFP1" s="9"/>
      <c r="WFQ1" s="8"/>
      <c r="WFR1" s="9"/>
      <c r="WFS1" s="8"/>
      <c r="WFT1" s="9"/>
      <c r="WFU1" s="8"/>
      <c r="WFV1" s="9"/>
      <c r="WFW1" s="8"/>
      <c r="WFX1" s="9"/>
      <c r="WFY1" s="8"/>
      <c r="WFZ1" s="9"/>
      <c r="WGA1" s="8"/>
      <c r="WGB1" s="9"/>
      <c r="WGC1" s="8"/>
      <c r="WGD1" s="9"/>
      <c r="WGE1" s="8"/>
      <c r="WGF1" s="9"/>
      <c r="WGG1" s="8"/>
      <c r="WGH1" s="9"/>
      <c r="WGI1" s="8"/>
      <c r="WGJ1" s="9"/>
      <c r="WGK1" s="8"/>
      <c r="WGL1" s="9"/>
      <c r="WGM1" s="8"/>
      <c r="WGN1" s="9"/>
      <c r="WGO1" s="8"/>
      <c r="WGP1" s="9"/>
      <c r="WGQ1" s="8"/>
      <c r="WGR1" s="9"/>
      <c r="WGS1" s="8"/>
      <c r="WGT1" s="9"/>
      <c r="WGU1" s="8"/>
      <c r="WGV1" s="9"/>
      <c r="WGW1" s="8"/>
      <c r="WGX1" s="9"/>
      <c r="WGY1" s="8"/>
      <c r="WGZ1" s="9"/>
      <c r="WHA1" s="8"/>
      <c r="WHB1" s="9"/>
      <c r="WHC1" s="8"/>
      <c r="WHD1" s="9"/>
      <c r="WHE1" s="8"/>
      <c r="WHF1" s="9"/>
      <c r="WHG1" s="8"/>
      <c r="WHH1" s="9"/>
      <c r="WHI1" s="8"/>
      <c r="WHJ1" s="9"/>
      <c r="WHK1" s="8"/>
      <c r="WHL1" s="9"/>
      <c r="WHM1" s="8"/>
      <c r="WHN1" s="9"/>
      <c r="WHO1" s="8"/>
      <c r="WHP1" s="9"/>
      <c r="WHQ1" s="8"/>
      <c r="WHR1" s="9"/>
      <c r="WHS1" s="8"/>
      <c r="WHT1" s="9"/>
      <c r="WHU1" s="8"/>
      <c r="WHV1" s="9"/>
      <c r="WHW1" s="8"/>
      <c r="WHX1" s="9"/>
      <c r="WHY1" s="8"/>
      <c r="WHZ1" s="9"/>
      <c r="WIA1" s="8"/>
      <c r="WIB1" s="9"/>
      <c r="WIC1" s="8"/>
      <c r="WID1" s="9"/>
      <c r="WIE1" s="8"/>
      <c r="WIF1" s="9"/>
      <c r="WIG1" s="8"/>
      <c r="WIH1" s="9"/>
      <c r="WII1" s="8"/>
      <c r="WIJ1" s="9"/>
      <c r="WIK1" s="8"/>
      <c r="WIL1" s="9"/>
      <c r="WIM1" s="8"/>
      <c r="WIN1" s="9"/>
      <c r="WIO1" s="8"/>
      <c r="WIP1" s="9"/>
      <c r="WIQ1" s="8"/>
      <c r="WIR1" s="9"/>
      <c r="WIS1" s="8"/>
      <c r="WIT1" s="9"/>
      <c r="WIU1" s="8"/>
      <c r="WIV1" s="9"/>
      <c r="WIW1" s="8"/>
      <c r="WIX1" s="9"/>
      <c r="WIY1" s="8"/>
      <c r="WIZ1" s="9"/>
      <c r="WJA1" s="8"/>
      <c r="WJB1" s="9"/>
      <c r="WJC1" s="8"/>
      <c r="WJD1" s="9"/>
      <c r="WJE1" s="8"/>
      <c r="WJF1" s="9"/>
      <c r="WJG1" s="8"/>
      <c r="WJH1" s="9"/>
      <c r="WJI1" s="8"/>
      <c r="WJJ1" s="9"/>
      <c r="WJK1" s="8"/>
      <c r="WJL1" s="9"/>
      <c r="WJM1" s="8"/>
      <c r="WJN1" s="9"/>
      <c r="WJO1" s="8"/>
      <c r="WJP1" s="9"/>
      <c r="WJQ1" s="8"/>
      <c r="WJR1" s="9"/>
      <c r="WJS1" s="8"/>
      <c r="WJT1" s="9"/>
      <c r="WJU1" s="8"/>
      <c r="WJV1" s="9"/>
      <c r="WJW1" s="8"/>
      <c r="WJX1" s="9"/>
      <c r="WJY1" s="8"/>
      <c r="WJZ1" s="9"/>
      <c r="WKA1" s="8"/>
      <c r="WKB1" s="9"/>
      <c r="WKC1" s="8"/>
      <c r="WKD1" s="9"/>
      <c r="WKE1" s="8"/>
      <c r="WKF1" s="9"/>
      <c r="WKG1" s="8"/>
      <c r="WKH1" s="9"/>
      <c r="WKI1" s="8"/>
      <c r="WKJ1" s="9"/>
      <c r="WKK1" s="8"/>
      <c r="WKL1" s="9"/>
      <c r="WKM1" s="8"/>
      <c r="WKN1" s="9"/>
      <c r="WKO1" s="8"/>
      <c r="WKP1" s="9"/>
      <c r="WKQ1" s="8"/>
      <c r="WKR1" s="9"/>
      <c r="WKS1" s="8"/>
      <c r="WKT1" s="9"/>
      <c r="WKU1" s="8"/>
      <c r="WKV1" s="9"/>
      <c r="WKW1" s="8"/>
      <c r="WKX1" s="9"/>
      <c r="WKY1" s="8"/>
      <c r="WKZ1" s="9"/>
      <c r="WLA1" s="8"/>
      <c r="WLB1" s="9"/>
      <c r="WLC1" s="8"/>
      <c r="WLD1" s="9"/>
      <c r="WLE1" s="8"/>
      <c r="WLF1" s="9"/>
      <c r="WLG1" s="8"/>
      <c r="WLH1" s="9"/>
      <c r="WLI1" s="8"/>
      <c r="WLJ1" s="9"/>
      <c r="WLK1" s="8"/>
      <c r="WLL1" s="9"/>
      <c r="WLM1" s="8"/>
      <c r="WLN1" s="9"/>
      <c r="WLO1" s="8"/>
      <c r="WLP1" s="9"/>
      <c r="WLQ1" s="8"/>
      <c r="WLR1" s="9"/>
      <c r="WLS1" s="8"/>
      <c r="WLT1" s="9"/>
      <c r="WLU1" s="8"/>
      <c r="WLV1" s="9"/>
      <c r="WLW1" s="8"/>
      <c r="WLX1" s="9"/>
      <c r="WLY1" s="8"/>
      <c r="WLZ1" s="9"/>
      <c r="WMA1" s="8"/>
      <c r="WMB1" s="9"/>
      <c r="WMC1" s="8"/>
      <c r="WMD1" s="9"/>
      <c r="WME1" s="8"/>
      <c r="WMF1" s="9"/>
      <c r="WMG1" s="8"/>
      <c r="WMH1" s="9"/>
      <c r="WMI1" s="8"/>
      <c r="WMJ1" s="9"/>
      <c r="WMK1" s="8"/>
      <c r="WML1" s="9"/>
      <c r="WMM1" s="8"/>
      <c r="WMN1" s="9"/>
      <c r="WMO1" s="8"/>
      <c r="WMP1" s="9"/>
      <c r="WMQ1" s="8"/>
      <c r="WMR1" s="9"/>
      <c r="WMS1" s="8"/>
      <c r="WMT1" s="9"/>
      <c r="WMU1" s="8"/>
      <c r="WMV1" s="9"/>
      <c r="WMW1" s="8"/>
      <c r="WMX1" s="9"/>
      <c r="WMY1" s="8"/>
      <c r="WMZ1" s="9"/>
      <c r="WNA1" s="8"/>
      <c r="WNB1" s="9"/>
      <c r="WNC1" s="8"/>
      <c r="WND1" s="9"/>
      <c r="WNE1" s="8"/>
      <c r="WNF1" s="9"/>
      <c r="WNG1" s="8"/>
      <c r="WNH1" s="9"/>
      <c r="WNI1" s="8"/>
      <c r="WNJ1" s="9"/>
      <c r="WNK1" s="8"/>
      <c r="WNL1" s="9"/>
      <c r="WNM1" s="8"/>
      <c r="WNN1" s="9"/>
      <c r="WNO1" s="8"/>
      <c r="WNP1" s="9"/>
      <c r="WNQ1" s="8"/>
      <c r="WNR1" s="9"/>
      <c r="WNS1" s="8"/>
      <c r="WNT1" s="9"/>
      <c r="WNU1" s="8"/>
      <c r="WNV1" s="9"/>
      <c r="WNW1" s="8"/>
      <c r="WNX1" s="9"/>
      <c r="WNY1" s="8"/>
      <c r="WNZ1" s="9"/>
      <c r="WOA1" s="8"/>
      <c r="WOB1" s="9"/>
      <c r="WOC1" s="8"/>
      <c r="WOD1" s="9"/>
      <c r="WOE1" s="8"/>
      <c r="WOF1" s="9"/>
      <c r="WOG1" s="8"/>
      <c r="WOH1" s="9"/>
      <c r="WOI1" s="8"/>
      <c r="WOJ1" s="9"/>
      <c r="WOK1" s="8"/>
      <c r="WOL1" s="9"/>
      <c r="WOM1" s="8"/>
      <c r="WON1" s="9"/>
      <c r="WOO1" s="8"/>
      <c r="WOP1" s="9"/>
      <c r="WOQ1" s="8"/>
      <c r="WOR1" s="9"/>
      <c r="WOS1" s="8"/>
      <c r="WOT1" s="9"/>
      <c r="WOU1" s="8"/>
      <c r="WOV1" s="9"/>
      <c r="WOW1" s="8"/>
      <c r="WOX1" s="9"/>
      <c r="WOY1" s="8"/>
      <c r="WOZ1" s="9"/>
      <c r="WPA1" s="8"/>
      <c r="WPB1" s="9"/>
      <c r="WPC1" s="8"/>
      <c r="WPD1" s="9"/>
      <c r="WPE1" s="8"/>
      <c r="WPF1" s="9"/>
      <c r="WPG1" s="8"/>
      <c r="WPH1" s="9"/>
      <c r="WPI1" s="8"/>
      <c r="WPJ1" s="9"/>
      <c r="WPK1" s="8"/>
      <c r="WPL1" s="9"/>
      <c r="WPM1" s="8"/>
      <c r="WPN1" s="9"/>
      <c r="WPO1" s="8"/>
      <c r="WPP1" s="9"/>
      <c r="WPQ1" s="8"/>
      <c r="WPR1" s="9"/>
      <c r="WPS1" s="8"/>
      <c r="WPT1" s="9"/>
      <c r="WPU1" s="8"/>
      <c r="WPV1" s="9"/>
      <c r="WPW1" s="8"/>
      <c r="WPX1" s="9"/>
      <c r="WPY1" s="8"/>
      <c r="WPZ1" s="9"/>
      <c r="WQA1" s="8"/>
      <c r="WQB1" s="9"/>
      <c r="WQC1" s="8"/>
      <c r="WQD1" s="9"/>
      <c r="WQE1" s="8"/>
      <c r="WQF1" s="9"/>
      <c r="WQG1" s="8"/>
      <c r="WQH1" s="9"/>
      <c r="WQI1" s="8"/>
      <c r="WQJ1" s="9"/>
      <c r="WQK1" s="8"/>
      <c r="WQL1" s="9"/>
      <c r="WQM1" s="8"/>
      <c r="WQN1" s="9"/>
      <c r="WQO1" s="8"/>
      <c r="WQP1" s="9"/>
      <c r="WQQ1" s="8"/>
      <c r="WQR1" s="9"/>
      <c r="WQS1" s="8"/>
      <c r="WQT1" s="9"/>
      <c r="WQU1" s="8"/>
      <c r="WQV1" s="9"/>
      <c r="WQW1" s="8"/>
      <c r="WQX1" s="9"/>
      <c r="WQY1" s="8"/>
      <c r="WQZ1" s="9"/>
      <c r="WRA1" s="8"/>
      <c r="WRB1" s="9"/>
      <c r="WRC1" s="8"/>
      <c r="WRD1" s="9"/>
      <c r="WRE1" s="8"/>
      <c r="WRF1" s="9"/>
      <c r="WRG1" s="8"/>
      <c r="WRH1" s="9"/>
      <c r="WRI1" s="8"/>
      <c r="WRJ1" s="9"/>
      <c r="WRK1" s="8"/>
      <c r="WRL1" s="9"/>
      <c r="WRM1" s="8"/>
      <c r="WRN1" s="9"/>
      <c r="WRO1" s="8"/>
      <c r="WRP1" s="9"/>
      <c r="WRQ1" s="8"/>
      <c r="WRR1" s="9"/>
      <c r="WRS1" s="8"/>
      <c r="WRT1" s="9"/>
      <c r="WRU1" s="8"/>
      <c r="WRV1" s="9"/>
      <c r="WRW1" s="8"/>
      <c r="WRX1" s="9"/>
      <c r="WRY1" s="8"/>
      <c r="WRZ1" s="9"/>
      <c r="WSA1" s="8"/>
      <c r="WSB1" s="9"/>
      <c r="WSC1" s="8"/>
      <c r="WSD1" s="9"/>
      <c r="WSE1" s="8"/>
      <c r="WSF1" s="9"/>
      <c r="WSG1" s="8"/>
      <c r="WSH1" s="9"/>
      <c r="WSI1" s="8"/>
      <c r="WSJ1" s="9"/>
      <c r="WSK1" s="8"/>
      <c r="WSL1" s="9"/>
      <c r="WSM1" s="8"/>
      <c r="WSN1" s="9"/>
      <c r="WSO1" s="8"/>
      <c r="WSP1" s="9"/>
      <c r="WSQ1" s="8"/>
      <c r="WSR1" s="9"/>
      <c r="WSS1" s="8"/>
      <c r="WST1" s="9"/>
      <c r="WSU1" s="8"/>
      <c r="WSV1" s="9"/>
      <c r="WSW1" s="8"/>
      <c r="WSX1" s="9"/>
      <c r="WSY1" s="8"/>
      <c r="WSZ1" s="9"/>
      <c r="WTA1" s="8"/>
      <c r="WTB1" s="9"/>
      <c r="WTC1" s="8"/>
      <c r="WTD1" s="9"/>
      <c r="WTE1" s="8"/>
      <c r="WTF1" s="9"/>
      <c r="WTG1" s="8"/>
      <c r="WTH1" s="9"/>
      <c r="WTI1" s="8"/>
      <c r="WTJ1" s="9"/>
      <c r="WTK1" s="8"/>
      <c r="WTL1" s="9"/>
      <c r="WTM1" s="8"/>
      <c r="WTN1" s="9"/>
      <c r="WTO1" s="8"/>
      <c r="WTP1" s="9"/>
      <c r="WTQ1" s="8"/>
      <c r="WTR1" s="9"/>
      <c r="WTS1" s="8"/>
      <c r="WTT1" s="9"/>
      <c r="WTU1" s="8"/>
      <c r="WTV1" s="9"/>
      <c r="WTW1" s="8"/>
      <c r="WTX1" s="9"/>
      <c r="WTY1" s="8"/>
      <c r="WTZ1" s="9"/>
      <c r="WUA1" s="8"/>
      <c r="WUB1" s="9"/>
      <c r="WUC1" s="8"/>
      <c r="WUD1" s="9"/>
      <c r="WUE1" s="8"/>
      <c r="WUF1" s="9"/>
      <c r="WUG1" s="8"/>
      <c r="WUH1" s="9"/>
      <c r="WUI1" s="8"/>
      <c r="WUJ1" s="9"/>
      <c r="WUK1" s="8"/>
      <c r="WUL1" s="9"/>
      <c r="WUM1" s="8"/>
      <c r="WUN1" s="9"/>
      <c r="WUO1" s="8"/>
      <c r="WUP1" s="9"/>
      <c r="WUQ1" s="8"/>
      <c r="WUR1" s="9"/>
      <c r="WUS1" s="8"/>
      <c r="WUT1" s="9"/>
      <c r="WUU1" s="8"/>
      <c r="WUV1" s="9"/>
      <c r="WUW1" s="8"/>
      <c r="WUX1" s="9"/>
      <c r="WUY1" s="8"/>
      <c r="WUZ1" s="9"/>
      <c r="WVA1" s="8"/>
      <c r="WVB1" s="9"/>
      <c r="WVC1" s="8"/>
      <c r="WVD1" s="9"/>
      <c r="WVE1" s="8"/>
      <c r="WVF1" s="9"/>
      <c r="WVG1" s="8"/>
      <c r="WVH1" s="9"/>
      <c r="WVI1" s="8"/>
      <c r="WVJ1" s="9"/>
      <c r="WVK1" s="8"/>
      <c r="WVL1" s="9"/>
      <c r="WVM1" s="8"/>
      <c r="WVN1" s="9"/>
      <c r="WVO1" s="8"/>
      <c r="WVP1" s="9"/>
      <c r="WVQ1" s="8"/>
      <c r="WVR1" s="9"/>
      <c r="WVS1" s="8"/>
      <c r="WVT1" s="9"/>
      <c r="WVU1" s="8"/>
      <c r="WVV1" s="9"/>
      <c r="WVW1" s="8"/>
      <c r="WVX1" s="9"/>
      <c r="WVY1" s="8"/>
      <c r="WVZ1" s="9"/>
      <c r="WWA1" s="8"/>
      <c r="WWB1" s="9"/>
      <c r="WWC1" s="8"/>
      <c r="WWD1" s="9"/>
      <c r="WWE1" s="8"/>
      <c r="WWF1" s="9"/>
      <c r="WWG1" s="8"/>
      <c r="WWH1" s="9"/>
      <c r="WWI1" s="8"/>
      <c r="WWJ1" s="9"/>
      <c r="WWK1" s="8"/>
      <c r="WWL1" s="9"/>
      <c r="WWM1" s="8"/>
      <c r="WWN1" s="9"/>
      <c r="WWO1" s="8"/>
      <c r="WWP1" s="9"/>
      <c r="WWQ1" s="8"/>
      <c r="WWR1" s="9"/>
      <c r="WWS1" s="8"/>
      <c r="WWT1" s="9"/>
      <c r="WWU1" s="8"/>
      <c r="WWV1" s="9"/>
      <c r="WWW1" s="8"/>
      <c r="WWX1" s="9"/>
      <c r="WWY1" s="8"/>
      <c r="WWZ1" s="9"/>
      <c r="WXA1" s="8"/>
      <c r="WXB1" s="9"/>
      <c r="WXC1" s="8"/>
      <c r="WXD1" s="9"/>
      <c r="WXE1" s="8"/>
      <c r="WXF1" s="9"/>
      <c r="WXG1" s="8"/>
      <c r="WXH1" s="9"/>
      <c r="WXI1" s="8"/>
      <c r="WXJ1" s="9"/>
      <c r="WXK1" s="8"/>
      <c r="WXL1" s="9"/>
      <c r="WXM1" s="8"/>
      <c r="WXN1" s="9"/>
      <c r="WXO1" s="8"/>
      <c r="WXP1" s="9"/>
      <c r="WXQ1" s="8"/>
      <c r="WXR1" s="9"/>
      <c r="WXS1" s="8"/>
      <c r="WXT1" s="9"/>
      <c r="WXU1" s="8"/>
      <c r="WXV1" s="9"/>
      <c r="WXW1" s="8"/>
      <c r="WXX1" s="9"/>
      <c r="WXY1" s="8"/>
      <c r="WXZ1" s="9"/>
      <c r="WYA1" s="8"/>
      <c r="WYB1" s="9"/>
      <c r="WYC1" s="8"/>
      <c r="WYD1" s="9"/>
      <c r="WYE1" s="8"/>
      <c r="WYF1" s="9"/>
      <c r="WYG1" s="8"/>
      <c r="WYH1" s="9"/>
      <c r="WYI1" s="8"/>
      <c r="WYJ1" s="9"/>
      <c r="WYK1" s="8"/>
      <c r="WYL1" s="9"/>
      <c r="WYM1" s="8"/>
      <c r="WYN1" s="9"/>
      <c r="WYO1" s="8"/>
      <c r="WYP1" s="9"/>
      <c r="WYQ1" s="8"/>
      <c r="WYR1" s="9"/>
      <c r="WYS1" s="8"/>
      <c r="WYT1" s="9"/>
      <c r="WYU1" s="8"/>
      <c r="WYV1" s="9"/>
      <c r="WYW1" s="8"/>
      <c r="WYX1" s="9"/>
      <c r="WYY1" s="8"/>
      <c r="WYZ1" s="9"/>
      <c r="WZA1" s="8"/>
      <c r="WZB1" s="9"/>
      <c r="WZC1" s="8"/>
      <c r="WZD1" s="9"/>
      <c r="WZE1" s="8"/>
      <c r="WZF1" s="9"/>
      <c r="WZG1" s="8"/>
      <c r="WZH1" s="9"/>
      <c r="WZI1" s="8"/>
      <c r="WZJ1" s="9"/>
      <c r="WZK1" s="8"/>
      <c r="WZL1" s="9"/>
      <c r="WZM1" s="8"/>
      <c r="WZN1" s="9"/>
      <c r="WZO1" s="8"/>
      <c r="WZP1" s="9"/>
      <c r="WZQ1" s="8"/>
      <c r="WZR1" s="9"/>
      <c r="WZS1" s="8"/>
      <c r="WZT1" s="9"/>
      <c r="WZU1" s="8"/>
      <c r="WZV1" s="9"/>
      <c r="WZW1" s="8"/>
      <c r="WZX1" s="9"/>
      <c r="WZY1" s="8"/>
      <c r="WZZ1" s="9"/>
      <c r="XAA1" s="8"/>
      <c r="XAB1" s="9"/>
      <c r="XAC1" s="8"/>
      <c r="XAD1" s="9"/>
      <c r="XAE1" s="8"/>
      <c r="XAF1" s="9"/>
      <c r="XAG1" s="8"/>
      <c r="XAH1" s="9"/>
      <c r="XAI1" s="8"/>
      <c r="XAJ1" s="9"/>
      <c r="XAK1" s="8"/>
      <c r="XAL1" s="9"/>
      <c r="XAM1" s="8"/>
      <c r="XAN1" s="9"/>
      <c r="XAO1" s="8"/>
      <c r="XAP1" s="9"/>
      <c r="XAQ1" s="8"/>
      <c r="XAR1" s="9"/>
      <c r="XAS1" s="8"/>
      <c r="XAT1" s="9"/>
      <c r="XAU1" s="8"/>
      <c r="XAV1" s="9"/>
      <c r="XAW1" s="8"/>
      <c r="XAX1" s="9"/>
      <c r="XAY1" s="8"/>
      <c r="XAZ1" s="9"/>
      <c r="XBA1" s="8"/>
      <c r="XBB1" s="9"/>
      <c r="XBC1" s="8"/>
      <c r="XBD1" s="9"/>
      <c r="XBE1" s="8"/>
      <c r="XBF1" s="9"/>
      <c r="XBG1" s="8"/>
      <c r="XBH1" s="9"/>
      <c r="XBI1" s="8"/>
      <c r="XBJ1" s="9"/>
      <c r="XBK1" s="8"/>
      <c r="XBL1" s="9"/>
      <c r="XBM1" s="8"/>
      <c r="XBN1" s="9"/>
      <c r="XBO1" s="8"/>
      <c r="XBP1" s="9"/>
      <c r="XBQ1" s="8"/>
      <c r="XBR1" s="9"/>
      <c r="XBS1" s="8"/>
      <c r="XBT1" s="9"/>
      <c r="XBU1" s="8"/>
      <c r="XBV1" s="9"/>
      <c r="XBW1" s="8"/>
      <c r="XBX1" s="9"/>
      <c r="XBY1" s="8"/>
      <c r="XBZ1" s="9"/>
      <c r="XCA1" s="8"/>
      <c r="XCB1" s="9"/>
      <c r="XCC1" s="8"/>
      <c r="XCD1" s="9"/>
      <c r="XCE1" s="8"/>
      <c r="XCF1" s="9"/>
      <c r="XCG1" s="8"/>
      <c r="XCH1" s="9"/>
      <c r="XCI1" s="8"/>
      <c r="XCJ1" s="9"/>
      <c r="XCK1" s="8"/>
      <c r="XCL1" s="9"/>
      <c r="XCM1" s="8"/>
      <c r="XCN1" s="9"/>
      <c r="XCO1" s="8"/>
      <c r="XCP1" s="9"/>
      <c r="XCQ1" s="8"/>
      <c r="XCR1" s="9"/>
      <c r="XCS1" s="8"/>
      <c r="XCT1" s="9"/>
      <c r="XCU1" s="8"/>
      <c r="XCV1" s="9"/>
      <c r="XCW1" s="8"/>
      <c r="XCX1" s="9"/>
      <c r="XCY1" s="8"/>
      <c r="XCZ1" s="9"/>
      <c r="XDA1" s="8"/>
      <c r="XDB1" s="9"/>
      <c r="XDC1" s="8"/>
      <c r="XDD1" s="9"/>
      <c r="XDE1" s="8"/>
      <c r="XDF1" s="9"/>
      <c r="XDG1" s="8"/>
      <c r="XDH1" s="9"/>
      <c r="XDI1" s="8"/>
      <c r="XDJ1" s="9"/>
      <c r="XDK1" s="8"/>
      <c r="XDL1" s="9"/>
      <c r="XDM1" s="8"/>
      <c r="XDN1" s="9"/>
      <c r="XDO1" s="8"/>
      <c r="XDP1" s="9"/>
      <c r="XDQ1" s="8"/>
      <c r="XDR1" s="9"/>
      <c r="XDS1" s="8"/>
      <c r="XDT1" s="9"/>
      <c r="XDU1" s="8"/>
      <c r="XDV1" s="9"/>
      <c r="XDW1" s="8"/>
      <c r="XDX1" s="9"/>
      <c r="XDY1" s="8"/>
      <c r="XDZ1" s="9"/>
      <c r="XEA1" s="8"/>
      <c r="XEB1" s="9"/>
      <c r="XEC1" s="8"/>
      <c r="XED1" s="9"/>
      <c r="XEE1" s="8"/>
      <c r="XEF1" s="9"/>
      <c r="XEG1" s="8"/>
      <c r="XEH1" s="9"/>
      <c r="XEI1" s="8"/>
      <c r="XEJ1" s="9"/>
      <c r="XEK1" s="8"/>
      <c r="XEL1" s="9"/>
      <c r="XEM1" s="8"/>
      <c r="XEN1" s="9"/>
      <c r="XEO1" s="8"/>
      <c r="XEP1" s="9"/>
      <c r="XEQ1" s="8"/>
      <c r="XER1" s="9"/>
      <c r="XES1" s="8"/>
      <c r="XET1" s="9"/>
      <c r="XEU1" s="8"/>
      <c r="XEV1" s="9"/>
      <c r="XEW1" s="8"/>
      <c r="XEX1" s="9"/>
      <c r="XEY1" s="8"/>
      <c r="XEZ1" s="9"/>
      <c r="XFA1" s="8"/>
      <c r="XFB1" s="9"/>
      <c r="XFC1" s="8"/>
      <c r="XFD1" s="9"/>
    </row>
    <row r="2" spans="1:16384" s="83" customFormat="1" x14ac:dyDescent="0.25">
      <c r="B2" s="87"/>
      <c r="D2" s="87"/>
      <c r="F2" s="87"/>
      <c r="H2" s="87"/>
      <c r="J2" s="87"/>
      <c r="L2" s="87"/>
      <c r="N2" s="87"/>
      <c r="P2" s="87"/>
      <c r="R2" s="87"/>
      <c r="T2" s="87"/>
      <c r="V2" s="87"/>
      <c r="X2" s="87"/>
      <c r="Z2" s="87"/>
      <c r="AB2" s="87"/>
      <c r="AD2" s="87"/>
      <c r="AF2" s="87"/>
      <c r="AH2" s="87"/>
      <c r="AJ2" s="87"/>
      <c r="AL2" s="87"/>
      <c r="AN2" s="87"/>
      <c r="AP2" s="87"/>
      <c r="AR2" s="87"/>
      <c r="AT2" s="87"/>
      <c r="AV2" s="87"/>
      <c r="AX2" s="87"/>
      <c r="AZ2" s="87"/>
      <c r="BB2" s="87"/>
      <c r="BD2" s="87"/>
      <c r="BF2" s="87"/>
      <c r="BH2" s="87"/>
      <c r="BJ2" s="87"/>
      <c r="BL2" s="87"/>
      <c r="BN2" s="87"/>
      <c r="BP2" s="87"/>
      <c r="BR2" s="87"/>
      <c r="BT2" s="87"/>
      <c r="BV2" s="87"/>
      <c r="BX2" s="87"/>
      <c r="BZ2" s="87"/>
      <c r="CB2" s="87"/>
      <c r="CD2" s="87"/>
      <c r="CF2" s="87"/>
      <c r="CH2" s="87"/>
      <c r="CJ2" s="87"/>
      <c r="CL2" s="87"/>
      <c r="CN2" s="87"/>
      <c r="CP2" s="87"/>
      <c r="CR2" s="87"/>
      <c r="CT2" s="87"/>
      <c r="CV2" s="87"/>
      <c r="CX2" s="87"/>
      <c r="CZ2" s="87"/>
      <c r="DB2" s="87"/>
      <c r="DD2" s="87"/>
      <c r="DF2" s="87"/>
      <c r="DH2" s="87"/>
      <c r="DJ2" s="87"/>
      <c r="DL2" s="87"/>
      <c r="DN2" s="87"/>
      <c r="DP2" s="87"/>
      <c r="DR2" s="87"/>
      <c r="DT2" s="87"/>
      <c r="DV2" s="87"/>
      <c r="DX2" s="87"/>
      <c r="DZ2" s="87"/>
      <c r="EB2" s="87"/>
      <c r="ED2" s="87"/>
      <c r="EF2" s="87"/>
      <c r="EH2" s="87"/>
      <c r="EJ2" s="87"/>
      <c r="EL2" s="87"/>
      <c r="EN2" s="87"/>
      <c r="EP2" s="87"/>
      <c r="ER2" s="87"/>
      <c r="ET2" s="87"/>
      <c r="EV2" s="87"/>
      <c r="EX2" s="87"/>
      <c r="EZ2" s="87"/>
      <c r="FB2" s="87"/>
      <c r="FD2" s="87"/>
      <c r="FF2" s="87"/>
      <c r="FH2" s="87"/>
      <c r="FJ2" s="87"/>
      <c r="FL2" s="87"/>
      <c r="FN2" s="87"/>
      <c r="FP2" s="87"/>
      <c r="FR2" s="87"/>
      <c r="FT2" s="87"/>
      <c r="FV2" s="87"/>
      <c r="FX2" s="87"/>
      <c r="FZ2" s="87"/>
      <c r="GB2" s="87"/>
      <c r="GD2" s="87"/>
      <c r="GF2" s="87"/>
      <c r="GH2" s="87"/>
      <c r="GJ2" s="87"/>
      <c r="GL2" s="87"/>
      <c r="GN2" s="87"/>
      <c r="GP2" s="87"/>
      <c r="GR2" s="87"/>
      <c r="GT2" s="87"/>
      <c r="GV2" s="87"/>
      <c r="GX2" s="87"/>
      <c r="GZ2" s="87"/>
      <c r="HB2" s="87"/>
      <c r="HD2" s="87"/>
      <c r="HF2" s="87"/>
      <c r="HH2" s="87"/>
      <c r="HJ2" s="87"/>
      <c r="HL2" s="87"/>
      <c r="HN2" s="87"/>
      <c r="HP2" s="87"/>
      <c r="HR2" s="87"/>
      <c r="HT2" s="87"/>
      <c r="HV2" s="87"/>
      <c r="HX2" s="87"/>
      <c r="HZ2" s="87"/>
      <c r="IB2" s="87"/>
      <c r="ID2" s="87"/>
      <c r="IF2" s="87"/>
      <c r="IH2" s="87"/>
      <c r="IJ2" s="87"/>
      <c r="IL2" s="87"/>
      <c r="IN2" s="87"/>
      <c r="IP2" s="87"/>
      <c r="IR2" s="87"/>
      <c r="IT2" s="87"/>
      <c r="IV2" s="87"/>
      <c r="IX2" s="87"/>
      <c r="IZ2" s="87"/>
      <c r="JB2" s="87"/>
      <c r="JD2" s="87"/>
      <c r="JF2" s="87"/>
      <c r="JH2" s="87"/>
      <c r="JJ2" s="87"/>
      <c r="JL2" s="87"/>
      <c r="JN2" s="87"/>
      <c r="JP2" s="87"/>
      <c r="JR2" s="87"/>
      <c r="JT2" s="87"/>
      <c r="JV2" s="87"/>
      <c r="JX2" s="87"/>
      <c r="JZ2" s="87"/>
      <c r="KB2" s="87"/>
      <c r="KD2" s="87"/>
      <c r="KF2" s="87"/>
      <c r="KH2" s="87"/>
      <c r="KJ2" s="87"/>
      <c r="KL2" s="87"/>
      <c r="KN2" s="87"/>
      <c r="KP2" s="87"/>
      <c r="KR2" s="87"/>
      <c r="KT2" s="87"/>
      <c r="KV2" s="87"/>
      <c r="KX2" s="87"/>
      <c r="KZ2" s="87"/>
      <c r="LB2" s="87"/>
      <c r="LD2" s="87"/>
      <c r="LF2" s="87"/>
      <c r="LH2" s="87"/>
      <c r="LJ2" s="87"/>
      <c r="LL2" s="87"/>
      <c r="LN2" s="87"/>
      <c r="LP2" s="87"/>
      <c r="LR2" s="87"/>
      <c r="LT2" s="87"/>
      <c r="LV2" s="87"/>
      <c r="LX2" s="87"/>
      <c r="LZ2" s="87"/>
      <c r="MB2" s="87"/>
      <c r="MD2" s="87"/>
      <c r="MF2" s="87"/>
      <c r="MH2" s="87"/>
      <c r="MJ2" s="87"/>
      <c r="ML2" s="87"/>
      <c r="MN2" s="87"/>
      <c r="MP2" s="87"/>
      <c r="MR2" s="87"/>
      <c r="MT2" s="87"/>
      <c r="MV2" s="87"/>
      <c r="MX2" s="87"/>
      <c r="MZ2" s="87"/>
      <c r="NB2" s="87"/>
      <c r="ND2" s="87"/>
      <c r="NF2" s="87"/>
      <c r="NH2" s="87"/>
      <c r="NJ2" s="87"/>
      <c r="NL2" s="87"/>
      <c r="NN2" s="87"/>
      <c r="NP2" s="87"/>
      <c r="NR2" s="87"/>
      <c r="NT2" s="87"/>
      <c r="NV2" s="87"/>
      <c r="NX2" s="87"/>
      <c r="NZ2" s="87"/>
      <c r="OB2" s="87"/>
      <c r="OD2" s="87"/>
      <c r="OF2" s="87"/>
      <c r="OH2" s="87"/>
      <c r="OJ2" s="87"/>
      <c r="OL2" s="87"/>
      <c r="ON2" s="87"/>
      <c r="OP2" s="87"/>
      <c r="OR2" s="87"/>
      <c r="OT2" s="87"/>
      <c r="OV2" s="87"/>
      <c r="OX2" s="87"/>
      <c r="OZ2" s="87"/>
      <c r="PB2" s="87"/>
      <c r="PD2" s="87"/>
      <c r="PF2" s="87"/>
      <c r="PH2" s="87"/>
      <c r="PJ2" s="87"/>
      <c r="PL2" s="87"/>
      <c r="PN2" s="87"/>
      <c r="PP2" s="87"/>
      <c r="PR2" s="87"/>
      <c r="PT2" s="87"/>
      <c r="PV2" s="87"/>
      <c r="PX2" s="87"/>
      <c r="PZ2" s="87"/>
      <c r="QB2" s="87"/>
      <c r="QD2" s="87"/>
      <c r="QF2" s="87"/>
      <c r="QH2" s="87"/>
      <c r="QJ2" s="87"/>
      <c r="QL2" s="87"/>
      <c r="QN2" s="87"/>
      <c r="QP2" s="87"/>
      <c r="QR2" s="87"/>
      <c r="QT2" s="87"/>
      <c r="QV2" s="87"/>
      <c r="QX2" s="87"/>
      <c r="QZ2" s="87"/>
      <c r="RB2" s="87"/>
      <c r="RD2" s="87"/>
      <c r="RF2" s="87"/>
      <c r="RH2" s="87"/>
      <c r="RJ2" s="87"/>
      <c r="RL2" s="87"/>
      <c r="RN2" s="87"/>
      <c r="RP2" s="87"/>
      <c r="RR2" s="87"/>
      <c r="RT2" s="87"/>
      <c r="RV2" s="87"/>
      <c r="RX2" s="87"/>
      <c r="RZ2" s="87"/>
      <c r="SB2" s="87"/>
      <c r="SD2" s="87"/>
      <c r="SF2" s="87"/>
      <c r="SH2" s="87"/>
      <c r="SJ2" s="87"/>
      <c r="SL2" s="87"/>
      <c r="SN2" s="87"/>
      <c r="SP2" s="87"/>
      <c r="SR2" s="87"/>
      <c r="ST2" s="87"/>
      <c r="SV2" s="87"/>
      <c r="SX2" s="87"/>
      <c r="SZ2" s="87"/>
      <c r="TB2" s="87"/>
      <c r="TD2" s="87"/>
      <c r="TF2" s="87"/>
      <c r="TH2" s="87"/>
      <c r="TJ2" s="87"/>
      <c r="TL2" s="87"/>
      <c r="TN2" s="87"/>
      <c r="TP2" s="87"/>
      <c r="TR2" s="87"/>
      <c r="TT2" s="87"/>
      <c r="TV2" s="87"/>
      <c r="TX2" s="87"/>
      <c r="TZ2" s="87"/>
      <c r="UB2" s="87"/>
      <c r="UD2" s="87"/>
      <c r="UF2" s="87"/>
      <c r="UH2" s="87"/>
      <c r="UJ2" s="87"/>
      <c r="UL2" s="87"/>
      <c r="UN2" s="87"/>
      <c r="UP2" s="87"/>
      <c r="UR2" s="87"/>
      <c r="UT2" s="87"/>
      <c r="UV2" s="87"/>
      <c r="UX2" s="87"/>
      <c r="UZ2" s="87"/>
      <c r="VB2" s="87"/>
      <c r="VD2" s="87"/>
      <c r="VF2" s="87"/>
      <c r="VH2" s="87"/>
      <c r="VJ2" s="87"/>
      <c r="VL2" s="87"/>
      <c r="VN2" s="87"/>
      <c r="VP2" s="87"/>
      <c r="VR2" s="87"/>
      <c r="VT2" s="87"/>
      <c r="VV2" s="87"/>
      <c r="VX2" s="87"/>
      <c r="VZ2" s="87"/>
      <c r="WB2" s="87"/>
      <c r="WD2" s="87"/>
      <c r="WF2" s="87"/>
      <c r="WH2" s="87"/>
      <c r="WJ2" s="87"/>
      <c r="WL2" s="87"/>
      <c r="WN2" s="87"/>
      <c r="WP2" s="87"/>
      <c r="WR2" s="87"/>
      <c r="WT2" s="87"/>
      <c r="WV2" s="87"/>
      <c r="WX2" s="87"/>
      <c r="WZ2" s="87"/>
      <c r="XB2" s="87"/>
      <c r="XD2" s="87"/>
      <c r="XF2" s="87"/>
      <c r="XH2" s="87"/>
      <c r="XJ2" s="87"/>
      <c r="XL2" s="87"/>
      <c r="XN2" s="87"/>
      <c r="XP2" s="87"/>
      <c r="XR2" s="87"/>
      <c r="XT2" s="87"/>
      <c r="XV2" s="87"/>
      <c r="XX2" s="87"/>
      <c r="XZ2" s="87"/>
      <c r="YB2" s="87"/>
      <c r="YD2" s="87"/>
      <c r="YF2" s="87"/>
      <c r="YH2" s="87"/>
      <c r="YJ2" s="87"/>
      <c r="YL2" s="87"/>
      <c r="YN2" s="87"/>
      <c r="YP2" s="87"/>
      <c r="YR2" s="87"/>
      <c r="YT2" s="87"/>
      <c r="YV2" s="87"/>
      <c r="YX2" s="87"/>
      <c r="YZ2" s="87"/>
      <c r="ZB2" s="87"/>
      <c r="ZD2" s="87"/>
      <c r="ZF2" s="87"/>
      <c r="ZH2" s="87"/>
      <c r="ZJ2" s="87"/>
      <c r="ZL2" s="87"/>
      <c r="ZN2" s="87"/>
      <c r="ZP2" s="87"/>
      <c r="ZR2" s="87"/>
      <c r="ZT2" s="87"/>
      <c r="ZV2" s="87"/>
      <c r="ZX2" s="87"/>
      <c r="ZZ2" s="87"/>
      <c r="AAB2" s="87"/>
      <c r="AAD2" s="87"/>
      <c r="AAF2" s="87"/>
      <c r="AAH2" s="87"/>
      <c r="AAJ2" s="87"/>
      <c r="AAL2" s="87"/>
      <c r="AAN2" s="87"/>
      <c r="AAP2" s="87"/>
      <c r="AAR2" s="87"/>
      <c r="AAT2" s="87"/>
      <c r="AAV2" s="87"/>
      <c r="AAX2" s="87"/>
      <c r="AAZ2" s="87"/>
      <c r="ABB2" s="87"/>
      <c r="ABD2" s="87"/>
      <c r="ABF2" s="87"/>
      <c r="ABH2" s="87"/>
      <c r="ABJ2" s="87"/>
      <c r="ABL2" s="87"/>
      <c r="ABN2" s="87"/>
      <c r="ABP2" s="87"/>
      <c r="ABR2" s="87"/>
      <c r="ABT2" s="87"/>
      <c r="ABV2" s="87"/>
      <c r="ABX2" s="87"/>
      <c r="ABZ2" s="87"/>
      <c r="ACB2" s="87"/>
      <c r="ACD2" s="87"/>
      <c r="ACF2" s="87"/>
      <c r="ACH2" s="87"/>
      <c r="ACJ2" s="87"/>
      <c r="ACL2" s="87"/>
      <c r="ACN2" s="87"/>
      <c r="ACP2" s="87"/>
      <c r="ACR2" s="87"/>
      <c r="ACT2" s="87"/>
      <c r="ACV2" s="87"/>
      <c r="ACX2" s="87"/>
      <c r="ACZ2" s="87"/>
      <c r="ADB2" s="87"/>
      <c r="ADD2" s="87"/>
      <c r="ADF2" s="87"/>
      <c r="ADH2" s="87"/>
      <c r="ADJ2" s="87"/>
      <c r="ADL2" s="87"/>
      <c r="ADN2" s="87"/>
      <c r="ADP2" s="87"/>
      <c r="ADR2" s="87"/>
      <c r="ADT2" s="87"/>
      <c r="ADV2" s="87"/>
      <c r="ADX2" s="87"/>
      <c r="ADZ2" s="87"/>
      <c r="AEB2" s="87"/>
      <c r="AED2" s="87"/>
      <c r="AEF2" s="87"/>
      <c r="AEH2" s="87"/>
      <c r="AEJ2" s="87"/>
      <c r="AEL2" s="87"/>
      <c r="AEN2" s="87"/>
      <c r="AEP2" s="87"/>
      <c r="AER2" s="87"/>
      <c r="AET2" s="87"/>
      <c r="AEV2" s="87"/>
      <c r="AEX2" s="87"/>
      <c r="AEZ2" s="87"/>
      <c r="AFB2" s="87"/>
      <c r="AFD2" s="87"/>
      <c r="AFF2" s="87"/>
      <c r="AFH2" s="87"/>
      <c r="AFJ2" s="87"/>
      <c r="AFL2" s="87"/>
      <c r="AFN2" s="87"/>
      <c r="AFP2" s="87"/>
      <c r="AFR2" s="87"/>
      <c r="AFT2" s="87"/>
      <c r="AFV2" s="87"/>
      <c r="AFX2" s="87"/>
      <c r="AFZ2" s="87"/>
      <c r="AGB2" s="87"/>
      <c r="AGD2" s="87"/>
      <c r="AGF2" s="87"/>
      <c r="AGH2" s="87"/>
      <c r="AGJ2" s="87"/>
      <c r="AGL2" s="87"/>
      <c r="AGN2" s="87"/>
      <c r="AGP2" s="87"/>
      <c r="AGR2" s="87"/>
      <c r="AGT2" s="87"/>
      <c r="AGV2" s="87"/>
      <c r="AGX2" s="87"/>
      <c r="AGZ2" s="87"/>
      <c r="AHB2" s="87"/>
      <c r="AHD2" s="87"/>
      <c r="AHF2" s="87"/>
      <c r="AHH2" s="87"/>
      <c r="AHJ2" s="87"/>
      <c r="AHL2" s="87"/>
      <c r="AHN2" s="87"/>
      <c r="AHP2" s="87"/>
      <c r="AHR2" s="87"/>
      <c r="AHT2" s="87"/>
      <c r="AHV2" s="87"/>
      <c r="AHX2" s="87"/>
      <c r="AHZ2" s="87"/>
      <c r="AIB2" s="87"/>
      <c r="AID2" s="87"/>
      <c r="AIF2" s="87"/>
      <c r="AIH2" s="87"/>
      <c r="AIJ2" s="87"/>
      <c r="AIL2" s="87"/>
      <c r="AIN2" s="87"/>
      <c r="AIP2" s="87"/>
      <c r="AIR2" s="87"/>
      <c r="AIT2" s="87"/>
      <c r="AIV2" s="87"/>
      <c r="AIX2" s="87"/>
      <c r="AIZ2" s="87"/>
      <c r="AJB2" s="87"/>
      <c r="AJD2" s="87"/>
      <c r="AJF2" s="87"/>
      <c r="AJH2" s="87"/>
      <c r="AJJ2" s="87"/>
      <c r="AJL2" s="87"/>
      <c r="AJN2" s="87"/>
      <c r="AJP2" s="87"/>
      <c r="AJR2" s="87"/>
      <c r="AJT2" s="87"/>
      <c r="AJV2" s="87"/>
      <c r="AJX2" s="87"/>
      <c r="AJZ2" s="87"/>
      <c r="AKB2" s="87"/>
      <c r="AKD2" s="87"/>
      <c r="AKF2" s="87"/>
      <c r="AKH2" s="87"/>
      <c r="AKJ2" s="87"/>
      <c r="AKL2" s="87"/>
      <c r="AKN2" s="87"/>
      <c r="AKP2" s="87"/>
      <c r="AKR2" s="87"/>
      <c r="AKT2" s="87"/>
      <c r="AKV2" s="87"/>
      <c r="AKX2" s="87"/>
      <c r="AKZ2" s="87"/>
      <c r="ALB2" s="87"/>
      <c r="ALD2" s="87"/>
      <c r="ALF2" s="87"/>
      <c r="ALH2" s="87"/>
      <c r="ALJ2" s="87"/>
      <c r="ALL2" s="87"/>
      <c r="ALN2" s="87"/>
      <c r="ALP2" s="87"/>
      <c r="ALR2" s="87"/>
      <c r="ALT2" s="87"/>
      <c r="ALV2" s="87"/>
      <c r="ALX2" s="87"/>
      <c r="ALZ2" s="87"/>
      <c r="AMB2" s="87"/>
      <c r="AMD2" s="87"/>
      <c r="AMF2" s="87"/>
      <c r="AMH2" s="87"/>
      <c r="AMJ2" s="87"/>
      <c r="AML2" s="87"/>
      <c r="AMN2" s="87"/>
      <c r="AMP2" s="87"/>
      <c r="AMR2" s="87"/>
      <c r="AMT2" s="87"/>
      <c r="AMV2" s="87"/>
      <c r="AMX2" s="87"/>
      <c r="AMZ2" s="87"/>
      <c r="ANB2" s="87"/>
      <c r="AND2" s="87"/>
      <c r="ANF2" s="87"/>
      <c r="ANH2" s="87"/>
      <c r="ANJ2" s="87"/>
      <c r="ANL2" s="87"/>
      <c r="ANN2" s="87"/>
      <c r="ANP2" s="87"/>
      <c r="ANR2" s="87"/>
      <c r="ANT2" s="87"/>
      <c r="ANV2" s="87"/>
      <c r="ANX2" s="87"/>
      <c r="ANZ2" s="87"/>
      <c r="AOB2" s="87"/>
      <c r="AOD2" s="87"/>
      <c r="AOF2" s="87"/>
      <c r="AOH2" s="87"/>
      <c r="AOJ2" s="87"/>
      <c r="AOL2" s="87"/>
      <c r="AON2" s="87"/>
      <c r="AOP2" s="87"/>
      <c r="AOR2" s="87"/>
      <c r="AOT2" s="87"/>
      <c r="AOV2" s="87"/>
      <c r="AOX2" s="87"/>
      <c r="AOZ2" s="87"/>
      <c r="APB2" s="87"/>
      <c r="APD2" s="87"/>
      <c r="APF2" s="87"/>
      <c r="APH2" s="87"/>
      <c r="APJ2" s="87"/>
      <c r="APL2" s="87"/>
      <c r="APN2" s="87"/>
      <c r="APP2" s="87"/>
      <c r="APR2" s="87"/>
      <c r="APT2" s="87"/>
      <c r="APV2" s="87"/>
      <c r="APX2" s="87"/>
      <c r="APZ2" s="87"/>
      <c r="AQB2" s="87"/>
      <c r="AQD2" s="87"/>
      <c r="AQF2" s="87"/>
      <c r="AQH2" s="87"/>
      <c r="AQJ2" s="87"/>
      <c r="AQL2" s="87"/>
      <c r="AQN2" s="87"/>
      <c r="AQP2" s="87"/>
      <c r="AQR2" s="87"/>
      <c r="AQT2" s="87"/>
      <c r="AQV2" s="87"/>
      <c r="AQX2" s="87"/>
      <c r="AQZ2" s="87"/>
      <c r="ARB2" s="87"/>
      <c r="ARD2" s="87"/>
      <c r="ARF2" s="87"/>
      <c r="ARH2" s="87"/>
      <c r="ARJ2" s="87"/>
      <c r="ARL2" s="87"/>
      <c r="ARN2" s="87"/>
      <c r="ARP2" s="87"/>
      <c r="ARR2" s="87"/>
      <c r="ART2" s="87"/>
      <c r="ARV2" s="87"/>
      <c r="ARX2" s="87"/>
      <c r="ARZ2" s="87"/>
      <c r="ASB2" s="87"/>
      <c r="ASD2" s="87"/>
      <c r="ASF2" s="87"/>
      <c r="ASH2" s="87"/>
      <c r="ASJ2" s="87"/>
      <c r="ASL2" s="87"/>
      <c r="ASN2" s="87"/>
      <c r="ASP2" s="87"/>
      <c r="ASR2" s="87"/>
      <c r="AST2" s="87"/>
      <c r="ASV2" s="87"/>
      <c r="ASX2" s="87"/>
      <c r="ASZ2" s="87"/>
      <c r="ATB2" s="87"/>
      <c r="ATD2" s="87"/>
      <c r="ATF2" s="87"/>
      <c r="ATH2" s="87"/>
      <c r="ATJ2" s="87"/>
      <c r="ATL2" s="87"/>
      <c r="ATN2" s="87"/>
      <c r="ATP2" s="87"/>
      <c r="ATR2" s="87"/>
      <c r="ATT2" s="87"/>
      <c r="ATV2" s="87"/>
      <c r="ATX2" s="87"/>
      <c r="ATZ2" s="87"/>
      <c r="AUB2" s="87"/>
      <c r="AUD2" s="87"/>
      <c r="AUF2" s="87"/>
      <c r="AUH2" s="87"/>
      <c r="AUJ2" s="87"/>
      <c r="AUL2" s="87"/>
      <c r="AUN2" s="87"/>
      <c r="AUP2" s="87"/>
      <c r="AUR2" s="87"/>
      <c r="AUT2" s="87"/>
      <c r="AUV2" s="87"/>
      <c r="AUX2" s="87"/>
      <c r="AUZ2" s="87"/>
      <c r="AVB2" s="87"/>
      <c r="AVD2" s="87"/>
      <c r="AVF2" s="87"/>
      <c r="AVH2" s="87"/>
      <c r="AVJ2" s="87"/>
      <c r="AVL2" s="87"/>
      <c r="AVN2" s="87"/>
      <c r="AVP2" s="87"/>
      <c r="AVR2" s="87"/>
      <c r="AVT2" s="87"/>
      <c r="AVV2" s="87"/>
      <c r="AVX2" s="87"/>
      <c r="AVZ2" s="87"/>
      <c r="AWB2" s="87"/>
      <c r="AWD2" s="87"/>
      <c r="AWF2" s="87"/>
      <c r="AWH2" s="87"/>
      <c r="AWJ2" s="87"/>
      <c r="AWL2" s="87"/>
      <c r="AWN2" s="87"/>
      <c r="AWP2" s="87"/>
      <c r="AWR2" s="87"/>
      <c r="AWT2" s="87"/>
      <c r="AWV2" s="87"/>
      <c r="AWX2" s="87"/>
      <c r="AWZ2" s="87"/>
      <c r="AXB2" s="87"/>
      <c r="AXD2" s="87"/>
      <c r="AXF2" s="87"/>
      <c r="AXH2" s="87"/>
      <c r="AXJ2" s="87"/>
      <c r="AXL2" s="87"/>
      <c r="AXN2" s="87"/>
      <c r="AXP2" s="87"/>
      <c r="AXR2" s="87"/>
      <c r="AXT2" s="87"/>
      <c r="AXV2" s="87"/>
      <c r="AXX2" s="87"/>
      <c r="AXZ2" s="87"/>
      <c r="AYB2" s="87"/>
      <c r="AYD2" s="87"/>
      <c r="AYF2" s="87"/>
      <c r="AYH2" s="87"/>
      <c r="AYJ2" s="87"/>
      <c r="AYL2" s="87"/>
      <c r="AYN2" s="87"/>
      <c r="AYP2" s="87"/>
      <c r="AYR2" s="87"/>
      <c r="AYT2" s="87"/>
      <c r="AYV2" s="87"/>
      <c r="AYX2" s="87"/>
      <c r="AYZ2" s="87"/>
      <c r="AZB2" s="87"/>
      <c r="AZD2" s="87"/>
      <c r="AZF2" s="87"/>
      <c r="AZH2" s="87"/>
      <c r="AZJ2" s="87"/>
      <c r="AZL2" s="87"/>
      <c r="AZN2" s="87"/>
      <c r="AZP2" s="87"/>
      <c r="AZR2" s="87"/>
      <c r="AZT2" s="87"/>
      <c r="AZV2" s="87"/>
      <c r="AZX2" s="87"/>
      <c r="AZZ2" s="87"/>
      <c r="BAB2" s="87"/>
      <c r="BAD2" s="87"/>
      <c r="BAF2" s="87"/>
      <c r="BAH2" s="87"/>
      <c r="BAJ2" s="87"/>
      <c r="BAL2" s="87"/>
      <c r="BAN2" s="87"/>
      <c r="BAP2" s="87"/>
      <c r="BAR2" s="87"/>
      <c r="BAT2" s="87"/>
      <c r="BAV2" s="87"/>
      <c r="BAX2" s="87"/>
      <c r="BAZ2" s="87"/>
      <c r="BBB2" s="87"/>
      <c r="BBD2" s="87"/>
      <c r="BBF2" s="87"/>
      <c r="BBH2" s="87"/>
      <c r="BBJ2" s="87"/>
      <c r="BBL2" s="87"/>
      <c r="BBN2" s="87"/>
      <c r="BBP2" s="87"/>
      <c r="BBR2" s="87"/>
      <c r="BBT2" s="87"/>
      <c r="BBV2" s="87"/>
      <c r="BBX2" s="87"/>
      <c r="BBZ2" s="87"/>
      <c r="BCB2" s="87"/>
      <c r="BCD2" s="87"/>
      <c r="BCF2" s="87"/>
      <c r="BCH2" s="87"/>
      <c r="BCJ2" s="87"/>
      <c r="BCL2" s="87"/>
      <c r="BCN2" s="87"/>
      <c r="BCP2" s="87"/>
      <c r="BCR2" s="87"/>
      <c r="BCT2" s="87"/>
      <c r="BCV2" s="87"/>
      <c r="BCX2" s="87"/>
      <c r="BCZ2" s="87"/>
      <c r="BDB2" s="87"/>
      <c r="BDD2" s="87"/>
      <c r="BDF2" s="87"/>
      <c r="BDH2" s="87"/>
      <c r="BDJ2" s="87"/>
      <c r="BDL2" s="87"/>
      <c r="BDN2" s="87"/>
      <c r="BDP2" s="87"/>
      <c r="BDR2" s="87"/>
      <c r="BDT2" s="87"/>
      <c r="BDV2" s="87"/>
      <c r="BDX2" s="87"/>
      <c r="BDZ2" s="87"/>
      <c r="BEB2" s="87"/>
      <c r="BED2" s="87"/>
      <c r="BEF2" s="87"/>
      <c r="BEH2" s="87"/>
      <c r="BEJ2" s="87"/>
      <c r="BEL2" s="87"/>
      <c r="BEN2" s="87"/>
      <c r="BEP2" s="87"/>
      <c r="BER2" s="87"/>
      <c r="BET2" s="87"/>
      <c r="BEV2" s="87"/>
      <c r="BEX2" s="87"/>
      <c r="BEZ2" s="87"/>
      <c r="BFB2" s="87"/>
      <c r="BFD2" s="87"/>
      <c r="BFF2" s="87"/>
      <c r="BFH2" s="87"/>
      <c r="BFJ2" s="87"/>
      <c r="BFL2" s="87"/>
      <c r="BFN2" s="87"/>
      <c r="BFP2" s="87"/>
      <c r="BFR2" s="87"/>
      <c r="BFT2" s="87"/>
      <c r="BFV2" s="87"/>
      <c r="BFX2" s="87"/>
      <c r="BFZ2" s="87"/>
      <c r="BGB2" s="87"/>
      <c r="BGD2" s="87"/>
      <c r="BGF2" s="87"/>
      <c r="BGH2" s="87"/>
      <c r="BGJ2" s="87"/>
      <c r="BGL2" s="87"/>
      <c r="BGN2" s="87"/>
      <c r="BGP2" s="87"/>
      <c r="BGR2" s="87"/>
      <c r="BGT2" s="87"/>
      <c r="BGV2" s="87"/>
      <c r="BGX2" s="87"/>
      <c r="BGZ2" s="87"/>
      <c r="BHB2" s="87"/>
      <c r="BHD2" s="87"/>
      <c r="BHF2" s="87"/>
      <c r="BHH2" s="87"/>
      <c r="BHJ2" s="87"/>
      <c r="BHL2" s="87"/>
      <c r="BHN2" s="87"/>
      <c r="BHP2" s="87"/>
      <c r="BHR2" s="87"/>
      <c r="BHT2" s="87"/>
      <c r="BHV2" s="87"/>
      <c r="BHX2" s="87"/>
      <c r="BHZ2" s="87"/>
      <c r="BIB2" s="87"/>
      <c r="BID2" s="87"/>
      <c r="BIF2" s="87"/>
      <c r="BIH2" s="87"/>
      <c r="BIJ2" s="87"/>
      <c r="BIL2" s="87"/>
      <c r="BIN2" s="87"/>
      <c r="BIP2" s="87"/>
      <c r="BIR2" s="87"/>
      <c r="BIT2" s="87"/>
      <c r="BIV2" s="87"/>
      <c r="BIX2" s="87"/>
      <c r="BIZ2" s="87"/>
      <c r="BJB2" s="87"/>
      <c r="BJD2" s="87"/>
      <c r="BJF2" s="87"/>
      <c r="BJH2" s="87"/>
      <c r="BJJ2" s="87"/>
      <c r="BJL2" s="87"/>
      <c r="BJN2" s="87"/>
      <c r="BJP2" s="87"/>
      <c r="BJR2" s="87"/>
      <c r="BJT2" s="87"/>
      <c r="BJV2" s="87"/>
      <c r="BJX2" s="87"/>
      <c r="BJZ2" s="87"/>
      <c r="BKB2" s="87"/>
      <c r="BKD2" s="87"/>
      <c r="BKF2" s="87"/>
      <c r="BKH2" s="87"/>
      <c r="BKJ2" s="87"/>
      <c r="BKL2" s="87"/>
      <c r="BKN2" s="87"/>
      <c r="BKP2" s="87"/>
      <c r="BKR2" s="87"/>
      <c r="BKT2" s="87"/>
      <c r="BKV2" s="87"/>
      <c r="BKX2" s="87"/>
      <c r="BKZ2" s="87"/>
      <c r="BLB2" s="87"/>
      <c r="BLD2" s="87"/>
      <c r="BLF2" s="87"/>
      <c r="BLH2" s="87"/>
      <c r="BLJ2" s="87"/>
      <c r="BLL2" s="87"/>
      <c r="BLN2" s="87"/>
      <c r="BLP2" s="87"/>
      <c r="BLR2" s="87"/>
      <c r="BLT2" s="87"/>
      <c r="BLV2" s="87"/>
      <c r="BLX2" s="87"/>
      <c r="BLZ2" s="87"/>
      <c r="BMB2" s="87"/>
      <c r="BMD2" s="87"/>
      <c r="BMF2" s="87"/>
      <c r="BMH2" s="87"/>
      <c r="BMJ2" s="87"/>
      <c r="BML2" s="87"/>
      <c r="BMN2" s="87"/>
      <c r="BMP2" s="87"/>
      <c r="BMR2" s="87"/>
      <c r="BMT2" s="87"/>
      <c r="BMV2" s="87"/>
      <c r="BMX2" s="87"/>
      <c r="BMZ2" s="87"/>
      <c r="BNB2" s="87"/>
      <c r="BND2" s="87"/>
      <c r="BNF2" s="87"/>
      <c r="BNH2" s="87"/>
      <c r="BNJ2" s="87"/>
      <c r="BNL2" s="87"/>
      <c r="BNN2" s="87"/>
      <c r="BNP2" s="87"/>
      <c r="BNR2" s="87"/>
      <c r="BNT2" s="87"/>
      <c r="BNV2" s="87"/>
      <c r="BNX2" s="87"/>
      <c r="BNZ2" s="87"/>
      <c r="BOB2" s="87"/>
      <c r="BOD2" s="87"/>
      <c r="BOF2" s="87"/>
      <c r="BOH2" s="87"/>
      <c r="BOJ2" s="87"/>
      <c r="BOL2" s="87"/>
      <c r="BON2" s="87"/>
      <c r="BOP2" s="87"/>
      <c r="BOR2" s="87"/>
      <c r="BOT2" s="87"/>
      <c r="BOV2" s="87"/>
      <c r="BOX2" s="87"/>
      <c r="BOZ2" s="87"/>
      <c r="BPB2" s="87"/>
      <c r="BPD2" s="87"/>
      <c r="BPF2" s="87"/>
      <c r="BPH2" s="87"/>
      <c r="BPJ2" s="87"/>
      <c r="BPL2" s="87"/>
      <c r="BPN2" s="87"/>
      <c r="BPP2" s="87"/>
      <c r="BPR2" s="87"/>
      <c r="BPT2" s="87"/>
      <c r="BPV2" s="87"/>
      <c r="BPX2" s="87"/>
      <c r="BPZ2" s="87"/>
      <c r="BQB2" s="87"/>
      <c r="BQD2" s="87"/>
      <c r="BQF2" s="87"/>
      <c r="BQH2" s="87"/>
      <c r="BQJ2" s="87"/>
      <c r="BQL2" s="87"/>
      <c r="BQN2" s="87"/>
      <c r="BQP2" s="87"/>
      <c r="BQR2" s="87"/>
      <c r="BQT2" s="87"/>
      <c r="BQV2" s="87"/>
      <c r="BQX2" s="87"/>
      <c r="BQZ2" s="87"/>
      <c r="BRB2" s="87"/>
      <c r="BRD2" s="87"/>
      <c r="BRF2" s="87"/>
      <c r="BRH2" s="87"/>
      <c r="BRJ2" s="87"/>
      <c r="BRL2" s="87"/>
      <c r="BRN2" s="87"/>
      <c r="BRP2" s="87"/>
      <c r="BRR2" s="87"/>
      <c r="BRT2" s="87"/>
      <c r="BRV2" s="87"/>
      <c r="BRX2" s="87"/>
      <c r="BRZ2" s="87"/>
      <c r="BSB2" s="87"/>
      <c r="BSD2" s="87"/>
      <c r="BSF2" s="87"/>
      <c r="BSH2" s="87"/>
      <c r="BSJ2" s="87"/>
      <c r="BSL2" s="87"/>
      <c r="BSN2" s="87"/>
      <c r="BSP2" s="87"/>
      <c r="BSR2" s="87"/>
      <c r="BST2" s="87"/>
      <c r="BSV2" s="87"/>
      <c r="BSX2" s="87"/>
      <c r="BSZ2" s="87"/>
      <c r="BTB2" s="87"/>
      <c r="BTD2" s="87"/>
      <c r="BTF2" s="87"/>
      <c r="BTH2" s="87"/>
      <c r="BTJ2" s="87"/>
      <c r="BTL2" s="87"/>
      <c r="BTN2" s="87"/>
      <c r="BTP2" s="87"/>
      <c r="BTR2" s="87"/>
      <c r="BTT2" s="87"/>
      <c r="BTV2" s="87"/>
      <c r="BTX2" s="87"/>
      <c r="BTZ2" s="87"/>
      <c r="BUB2" s="87"/>
      <c r="BUD2" s="87"/>
      <c r="BUF2" s="87"/>
      <c r="BUH2" s="87"/>
      <c r="BUJ2" s="87"/>
      <c r="BUL2" s="87"/>
      <c r="BUN2" s="87"/>
      <c r="BUP2" s="87"/>
      <c r="BUR2" s="87"/>
      <c r="BUT2" s="87"/>
      <c r="BUV2" s="87"/>
      <c r="BUX2" s="87"/>
      <c r="BUZ2" s="87"/>
      <c r="BVB2" s="87"/>
      <c r="BVD2" s="87"/>
      <c r="BVF2" s="87"/>
      <c r="BVH2" s="87"/>
      <c r="BVJ2" s="87"/>
      <c r="BVL2" s="87"/>
      <c r="BVN2" s="87"/>
      <c r="BVP2" s="87"/>
      <c r="BVR2" s="87"/>
      <c r="BVT2" s="87"/>
      <c r="BVV2" s="87"/>
      <c r="BVX2" s="87"/>
      <c r="BVZ2" s="87"/>
      <c r="BWB2" s="87"/>
      <c r="BWD2" s="87"/>
      <c r="BWF2" s="87"/>
      <c r="BWH2" s="87"/>
      <c r="BWJ2" s="87"/>
      <c r="BWL2" s="87"/>
      <c r="BWN2" s="87"/>
      <c r="BWP2" s="87"/>
      <c r="BWR2" s="87"/>
      <c r="BWT2" s="87"/>
      <c r="BWV2" s="87"/>
      <c r="BWX2" s="87"/>
      <c r="BWZ2" s="87"/>
      <c r="BXB2" s="87"/>
      <c r="BXD2" s="87"/>
      <c r="BXF2" s="87"/>
      <c r="BXH2" s="87"/>
      <c r="BXJ2" s="87"/>
      <c r="BXL2" s="87"/>
      <c r="BXN2" s="87"/>
      <c r="BXP2" s="87"/>
      <c r="BXR2" s="87"/>
      <c r="BXT2" s="87"/>
      <c r="BXV2" s="87"/>
      <c r="BXX2" s="87"/>
      <c r="BXZ2" s="87"/>
      <c r="BYB2" s="87"/>
      <c r="BYD2" s="87"/>
      <c r="BYF2" s="87"/>
      <c r="BYH2" s="87"/>
      <c r="BYJ2" s="87"/>
      <c r="BYL2" s="87"/>
      <c r="BYN2" s="87"/>
      <c r="BYP2" s="87"/>
      <c r="BYR2" s="87"/>
      <c r="BYT2" s="87"/>
      <c r="BYV2" s="87"/>
      <c r="BYX2" s="87"/>
      <c r="BYZ2" s="87"/>
      <c r="BZB2" s="87"/>
      <c r="BZD2" s="87"/>
      <c r="BZF2" s="87"/>
      <c r="BZH2" s="87"/>
      <c r="BZJ2" s="87"/>
      <c r="BZL2" s="87"/>
      <c r="BZN2" s="87"/>
      <c r="BZP2" s="87"/>
      <c r="BZR2" s="87"/>
      <c r="BZT2" s="87"/>
      <c r="BZV2" s="87"/>
      <c r="BZX2" s="87"/>
      <c r="BZZ2" s="87"/>
      <c r="CAB2" s="87"/>
      <c r="CAD2" s="87"/>
      <c r="CAF2" s="87"/>
      <c r="CAH2" s="87"/>
      <c r="CAJ2" s="87"/>
      <c r="CAL2" s="87"/>
      <c r="CAN2" s="87"/>
      <c r="CAP2" s="87"/>
      <c r="CAR2" s="87"/>
      <c r="CAT2" s="87"/>
      <c r="CAV2" s="87"/>
      <c r="CAX2" s="87"/>
      <c r="CAZ2" s="87"/>
      <c r="CBB2" s="87"/>
      <c r="CBD2" s="87"/>
      <c r="CBF2" s="87"/>
      <c r="CBH2" s="87"/>
      <c r="CBJ2" s="87"/>
      <c r="CBL2" s="87"/>
      <c r="CBN2" s="87"/>
      <c r="CBP2" s="87"/>
      <c r="CBR2" s="87"/>
      <c r="CBT2" s="87"/>
      <c r="CBV2" s="87"/>
      <c r="CBX2" s="87"/>
      <c r="CBZ2" s="87"/>
      <c r="CCB2" s="87"/>
      <c r="CCD2" s="87"/>
      <c r="CCF2" s="87"/>
      <c r="CCH2" s="87"/>
      <c r="CCJ2" s="87"/>
      <c r="CCL2" s="87"/>
      <c r="CCN2" s="87"/>
      <c r="CCP2" s="87"/>
      <c r="CCR2" s="87"/>
      <c r="CCT2" s="87"/>
      <c r="CCV2" s="87"/>
      <c r="CCX2" s="87"/>
      <c r="CCZ2" s="87"/>
      <c r="CDB2" s="87"/>
      <c r="CDD2" s="87"/>
      <c r="CDF2" s="87"/>
      <c r="CDH2" s="87"/>
      <c r="CDJ2" s="87"/>
      <c r="CDL2" s="87"/>
      <c r="CDN2" s="87"/>
      <c r="CDP2" s="87"/>
      <c r="CDR2" s="87"/>
      <c r="CDT2" s="87"/>
      <c r="CDV2" s="87"/>
      <c r="CDX2" s="87"/>
      <c r="CDZ2" s="87"/>
      <c r="CEB2" s="87"/>
      <c r="CED2" s="87"/>
      <c r="CEF2" s="87"/>
      <c r="CEH2" s="87"/>
      <c r="CEJ2" s="87"/>
      <c r="CEL2" s="87"/>
      <c r="CEN2" s="87"/>
      <c r="CEP2" s="87"/>
      <c r="CER2" s="87"/>
      <c r="CET2" s="87"/>
      <c r="CEV2" s="87"/>
      <c r="CEX2" s="87"/>
      <c r="CEZ2" s="87"/>
      <c r="CFB2" s="87"/>
      <c r="CFD2" s="87"/>
      <c r="CFF2" s="87"/>
      <c r="CFH2" s="87"/>
      <c r="CFJ2" s="87"/>
      <c r="CFL2" s="87"/>
      <c r="CFN2" s="87"/>
      <c r="CFP2" s="87"/>
      <c r="CFR2" s="87"/>
      <c r="CFT2" s="87"/>
      <c r="CFV2" s="87"/>
      <c r="CFX2" s="87"/>
      <c r="CFZ2" s="87"/>
      <c r="CGB2" s="87"/>
      <c r="CGD2" s="87"/>
      <c r="CGF2" s="87"/>
      <c r="CGH2" s="87"/>
      <c r="CGJ2" s="87"/>
      <c r="CGL2" s="87"/>
      <c r="CGN2" s="87"/>
      <c r="CGP2" s="87"/>
      <c r="CGR2" s="87"/>
      <c r="CGT2" s="87"/>
      <c r="CGV2" s="87"/>
      <c r="CGX2" s="87"/>
      <c r="CGZ2" s="87"/>
      <c r="CHB2" s="87"/>
      <c r="CHD2" s="87"/>
      <c r="CHF2" s="87"/>
      <c r="CHH2" s="87"/>
      <c r="CHJ2" s="87"/>
      <c r="CHL2" s="87"/>
      <c r="CHN2" s="87"/>
      <c r="CHP2" s="87"/>
      <c r="CHR2" s="87"/>
      <c r="CHT2" s="87"/>
      <c r="CHV2" s="87"/>
      <c r="CHX2" s="87"/>
      <c r="CHZ2" s="87"/>
      <c r="CIB2" s="87"/>
      <c r="CID2" s="87"/>
      <c r="CIF2" s="87"/>
      <c r="CIH2" s="87"/>
      <c r="CIJ2" s="87"/>
      <c r="CIL2" s="87"/>
      <c r="CIN2" s="87"/>
      <c r="CIP2" s="87"/>
      <c r="CIR2" s="87"/>
      <c r="CIT2" s="87"/>
      <c r="CIV2" s="87"/>
      <c r="CIX2" s="87"/>
      <c r="CIZ2" s="87"/>
      <c r="CJB2" s="87"/>
      <c r="CJD2" s="87"/>
      <c r="CJF2" s="87"/>
      <c r="CJH2" s="87"/>
      <c r="CJJ2" s="87"/>
      <c r="CJL2" s="87"/>
      <c r="CJN2" s="87"/>
      <c r="CJP2" s="87"/>
      <c r="CJR2" s="87"/>
      <c r="CJT2" s="87"/>
      <c r="CJV2" s="87"/>
      <c r="CJX2" s="87"/>
      <c r="CJZ2" s="87"/>
      <c r="CKB2" s="87"/>
      <c r="CKD2" s="87"/>
      <c r="CKF2" s="87"/>
      <c r="CKH2" s="87"/>
      <c r="CKJ2" s="87"/>
      <c r="CKL2" s="87"/>
      <c r="CKN2" s="87"/>
      <c r="CKP2" s="87"/>
      <c r="CKR2" s="87"/>
      <c r="CKT2" s="87"/>
      <c r="CKV2" s="87"/>
      <c r="CKX2" s="87"/>
      <c r="CKZ2" s="87"/>
      <c r="CLB2" s="87"/>
      <c r="CLD2" s="87"/>
      <c r="CLF2" s="87"/>
      <c r="CLH2" s="87"/>
      <c r="CLJ2" s="87"/>
      <c r="CLL2" s="87"/>
      <c r="CLN2" s="87"/>
      <c r="CLP2" s="87"/>
      <c r="CLR2" s="87"/>
      <c r="CLT2" s="87"/>
      <c r="CLV2" s="87"/>
      <c r="CLX2" s="87"/>
      <c r="CLZ2" s="87"/>
      <c r="CMB2" s="87"/>
      <c r="CMD2" s="87"/>
      <c r="CMF2" s="87"/>
      <c r="CMH2" s="87"/>
      <c r="CMJ2" s="87"/>
      <c r="CML2" s="87"/>
      <c r="CMN2" s="87"/>
      <c r="CMP2" s="87"/>
      <c r="CMR2" s="87"/>
      <c r="CMT2" s="87"/>
      <c r="CMV2" s="87"/>
      <c r="CMX2" s="87"/>
      <c r="CMZ2" s="87"/>
      <c r="CNB2" s="87"/>
      <c r="CND2" s="87"/>
      <c r="CNF2" s="87"/>
      <c r="CNH2" s="87"/>
      <c r="CNJ2" s="87"/>
      <c r="CNL2" s="87"/>
      <c r="CNN2" s="87"/>
      <c r="CNP2" s="87"/>
      <c r="CNR2" s="87"/>
      <c r="CNT2" s="87"/>
      <c r="CNV2" s="87"/>
      <c r="CNX2" s="87"/>
      <c r="CNZ2" s="87"/>
      <c r="COB2" s="87"/>
      <c r="COD2" s="87"/>
      <c r="COF2" s="87"/>
      <c r="COH2" s="87"/>
      <c r="COJ2" s="87"/>
      <c r="COL2" s="87"/>
      <c r="CON2" s="87"/>
      <c r="COP2" s="87"/>
      <c r="COR2" s="87"/>
      <c r="COT2" s="87"/>
      <c r="COV2" s="87"/>
      <c r="COX2" s="87"/>
      <c r="COZ2" s="87"/>
      <c r="CPB2" s="87"/>
      <c r="CPD2" s="87"/>
      <c r="CPF2" s="87"/>
      <c r="CPH2" s="87"/>
      <c r="CPJ2" s="87"/>
      <c r="CPL2" s="87"/>
      <c r="CPN2" s="87"/>
      <c r="CPP2" s="87"/>
      <c r="CPR2" s="87"/>
      <c r="CPT2" s="87"/>
      <c r="CPV2" s="87"/>
      <c r="CPX2" s="87"/>
      <c r="CPZ2" s="87"/>
      <c r="CQB2" s="87"/>
      <c r="CQD2" s="87"/>
      <c r="CQF2" s="87"/>
      <c r="CQH2" s="87"/>
      <c r="CQJ2" s="87"/>
      <c r="CQL2" s="87"/>
      <c r="CQN2" s="87"/>
      <c r="CQP2" s="87"/>
      <c r="CQR2" s="87"/>
      <c r="CQT2" s="87"/>
      <c r="CQV2" s="87"/>
      <c r="CQX2" s="87"/>
      <c r="CQZ2" s="87"/>
      <c r="CRB2" s="87"/>
      <c r="CRD2" s="87"/>
      <c r="CRF2" s="87"/>
      <c r="CRH2" s="87"/>
      <c r="CRJ2" s="87"/>
      <c r="CRL2" s="87"/>
      <c r="CRN2" s="87"/>
      <c r="CRP2" s="87"/>
      <c r="CRR2" s="87"/>
      <c r="CRT2" s="87"/>
      <c r="CRV2" s="87"/>
      <c r="CRX2" s="87"/>
      <c r="CRZ2" s="87"/>
      <c r="CSB2" s="87"/>
      <c r="CSD2" s="87"/>
      <c r="CSF2" s="87"/>
      <c r="CSH2" s="87"/>
      <c r="CSJ2" s="87"/>
      <c r="CSL2" s="87"/>
      <c r="CSN2" s="87"/>
      <c r="CSP2" s="87"/>
      <c r="CSR2" s="87"/>
      <c r="CST2" s="87"/>
      <c r="CSV2" s="87"/>
      <c r="CSX2" s="87"/>
      <c r="CSZ2" s="87"/>
      <c r="CTB2" s="87"/>
      <c r="CTD2" s="87"/>
      <c r="CTF2" s="87"/>
      <c r="CTH2" s="87"/>
      <c r="CTJ2" s="87"/>
      <c r="CTL2" s="87"/>
      <c r="CTN2" s="87"/>
      <c r="CTP2" s="87"/>
      <c r="CTR2" s="87"/>
      <c r="CTT2" s="87"/>
      <c r="CTV2" s="87"/>
      <c r="CTX2" s="87"/>
      <c r="CTZ2" s="87"/>
      <c r="CUB2" s="87"/>
      <c r="CUD2" s="87"/>
      <c r="CUF2" s="87"/>
      <c r="CUH2" s="87"/>
      <c r="CUJ2" s="87"/>
      <c r="CUL2" s="87"/>
      <c r="CUN2" s="87"/>
      <c r="CUP2" s="87"/>
      <c r="CUR2" s="87"/>
      <c r="CUT2" s="87"/>
      <c r="CUV2" s="87"/>
      <c r="CUX2" s="87"/>
      <c r="CUZ2" s="87"/>
      <c r="CVB2" s="87"/>
      <c r="CVD2" s="87"/>
      <c r="CVF2" s="87"/>
      <c r="CVH2" s="87"/>
      <c r="CVJ2" s="87"/>
      <c r="CVL2" s="87"/>
      <c r="CVN2" s="87"/>
      <c r="CVP2" s="87"/>
      <c r="CVR2" s="87"/>
      <c r="CVT2" s="87"/>
      <c r="CVV2" s="87"/>
      <c r="CVX2" s="87"/>
      <c r="CVZ2" s="87"/>
      <c r="CWB2" s="87"/>
      <c r="CWD2" s="87"/>
      <c r="CWF2" s="87"/>
      <c r="CWH2" s="87"/>
      <c r="CWJ2" s="87"/>
      <c r="CWL2" s="87"/>
      <c r="CWN2" s="87"/>
      <c r="CWP2" s="87"/>
      <c r="CWR2" s="87"/>
      <c r="CWT2" s="87"/>
      <c r="CWV2" s="87"/>
      <c r="CWX2" s="87"/>
      <c r="CWZ2" s="87"/>
      <c r="CXB2" s="87"/>
      <c r="CXD2" s="87"/>
      <c r="CXF2" s="87"/>
      <c r="CXH2" s="87"/>
      <c r="CXJ2" s="87"/>
      <c r="CXL2" s="87"/>
      <c r="CXN2" s="87"/>
      <c r="CXP2" s="87"/>
      <c r="CXR2" s="87"/>
      <c r="CXT2" s="87"/>
      <c r="CXV2" s="87"/>
      <c r="CXX2" s="87"/>
      <c r="CXZ2" s="87"/>
      <c r="CYB2" s="87"/>
      <c r="CYD2" s="87"/>
      <c r="CYF2" s="87"/>
      <c r="CYH2" s="87"/>
      <c r="CYJ2" s="87"/>
      <c r="CYL2" s="87"/>
      <c r="CYN2" s="87"/>
      <c r="CYP2" s="87"/>
      <c r="CYR2" s="87"/>
      <c r="CYT2" s="87"/>
      <c r="CYV2" s="87"/>
      <c r="CYX2" s="87"/>
      <c r="CYZ2" s="87"/>
      <c r="CZB2" s="87"/>
      <c r="CZD2" s="87"/>
      <c r="CZF2" s="87"/>
      <c r="CZH2" s="87"/>
      <c r="CZJ2" s="87"/>
      <c r="CZL2" s="87"/>
      <c r="CZN2" s="87"/>
      <c r="CZP2" s="87"/>
      <c r="CZR2" s="87"/>
      <c r="CZT2" s="87"/>
      <c r="CZV2" s="87"/>
      <c r="CZX2" s="87"/>
      <c r="CZZ2" s="87"/>
      <c r="DAB2" s="87"/>
      <c r="DAD2" s="87"/>
      <c r="DAF2" s="87"/>
      <c r="DAH2" s="87"/>
      <c r="DAJ2" s="87"/>
      <c r="DAL2" s="87"/>
      <c r="DAN2" s="87"/>
      <c r="DAP2" s="87"/>
      <c r="DAR2" s="87"/>
      <c r="DAT2" s="87"/>
      <c r="DAV2" s="87"/>
      <c r="DAX2" s="87"/>
      <c r="DAZ2" s="87"/>
      <c r="DBB2" s="87"/>
      <c r="DBD2" s="87"/>
      <c r="DBF2" s="87"/>
      <c r="DBH2" s="87"/>
      <c r="DBJ2" s="87"/>
      <c r="DBL2" s="87"/>
      <c r="DBN2" s="87"/>
      <c r="DBP2" s="87"/>
      <c r="DBR2" s="87"/>
      <c r="DBT2" s="87"/>
      <c r="DBV2" s="87"/>
      <c r="DBX2" s="87"/>
      <c r="DBZ2" s="87"/>
      <c r="DCB2" s="87"/>
      <c r="DCD2" s="87"/>
      <c r="DCF2" s="87"/>
      <c r="DCH2" s="87"/>
      <c r="DCJ2" s="87"/>
      <c r="DCL2" s="87"/>
      <c r="DCN2" s="87"/>
      <c r="DCP2" s="87"/>
      <c r="DCR2" s="87"/>
      <c r="DCT2" s="87"/>
      <c r="DCV2" s="87"/>
      <c r="DCX2" s="87"/>
      <c r="DCZ2" s="87"/>
      <c r="DDB2" s="87"/>
      <c r="DDD2" s="87"/>
      <c r="DDF2" s="87"/>
      <c r="DDH2" s="87"/>
      <c r="DDJ2" s="87"/>
      <c r="DDL2" s="87"/>
      <c r="DDN2" s="87"/>
      <c r="DDP2" s="87"/>
      <c r="DDR2" s="87"/>
      <c r="DDT2" s="87"/>
      <c r="DDV2" s="87"/>
      <c r="DDX2" s="87"/>
      <c r="DDZ2" s="87"/>
      <c r="DEB2" s="87"/>
      <c r="DED2" s="87"/>
      <c r="DEF2" s="87"/>
      <c r="DEH2" s="87"/>
      <c r="DEJ2" s="87"/>
      <c r="DEL2" s="87"/>
      <c r="DEN2" s="87"/>
      <c r="DEP2" s="87"/>
      <c r="DER2" s="87"/>
      <c r="DET2" s="87"/>
      <c r="DEV2" s="87"/>
      <c r="DEX2" s="87"/>
      <c r="DEZ2" s="87"/>
      <c r="DFB2" s="87"/>
      <c r="DFD2" s="87"/>
      <c r="DFF2" s="87"/>
      <c r="DFH2" s="87"/>
      <c r="DFJ2" s="87"/>
      <c r="DFL2" s="87"/>
      <c r="DFN2" s="87"/>
      <c r="DFP2" s="87"/>
      <c r="DFR2" s="87"/>
      <c r="DFT2" s="87"/>
      <c r="DFV2" s="87"/>
      <c r="DFX2" s="87"/>
      <c r="DFZ2" s="87"/>
      <c r="DGB2" s="87"/>
      <c r="DGD2" s="87"/>
      <c r="DGF2" s="87"/>
      <c r="DGH2" s="87"/>
      <c r="DGJ2" s="87"/>
      <c r="DGL2" s="87"/>
      <c r="DGN2" s="87"/>
      <c r="DGP2" s="87"/>
      <c r="DGR2" s="87"/>
      <c r="DGT2" s="87"/>
      <c r="DGV2" s="87"/>
      <c r="DGX2" s="87"/>
      <c r="DGZ2" s="87"/>
      <c r="DHB2" s="87"/>
      <c r="DHD2" s="87"/>
      <c r="DHF2" s="87"/>
      <c r="DHH2" s="87"/>
      <c r="DHJ2" s="87"/>
      <c r="DHL2" s="87"/>
      <c r="DHN2" s="87"/>
      <c r="DHP2" s="87"/>
      <c r="DHR2" s="87"/>
      <c r="DHT2" s="87"/>
      <c r="DHV2" s="87"/>
      <c r="DHX2" s="87"/>
      <c r="DHZ2" s="87"/>
      <c r="DIB2" s="87"/>
      <c r="DID2" s="87"/>
      <c r="DIF2" s="87"/>
      <c r="DIH2" s="87"/>
      <c r="DIJ2" s="87"/>
      <c r="DIL2" s="87"/>
      <c r="DIN2" s="87"/>
      <c r="DIP2" s="87"/>
      <c r="DIR2" s="87"/>
      <c r="DIT2" s="87"/>
      <c r="DIV2" s="87"/>
      <c r="DIX2" s="87"/>
      <c r="DIZ2" s="87"/>
      <c r="DJB2" s="87"/>
      <c r="DJD2" s="87"/>
      <c r="DJF2" s="87"/>
      <c r="DJH2" s="87"/>
      <c r="DJJ2" s="87"/>
      <c r="DJL2" s="87"/>
      <c r="DJN2" s="87"/>
      <c r="DJP2" s="87"/>
      <c r="DJR2" s="87"/>
      <c r="DJT2" s="87"/>
      <c r="DJV2" s="87"/>
      <c r="DJX2" s="87"/>
      <c r="DJZ2" s="87"/>
      <c r="DKB2" s="87"/>
      <c r="DKD2" s="87"/>
      <c r="DKF2" s="87"/>
      <c r="DKH2" s="87"/>
      <c r="DKJ2" s="87"/>
      <c r="DKL2" s="87"/>
      <c r="DKN2" s="87"/>
      <c r="DKP2" s="87"/>
      <c r="DKR2" s="87"/>
      <c r="DKT2" s="87"/>
      <c r="DKV2" s="87"/>
      <c r="DKX2" s="87"/>
      <c r="DKZ2" s="87"/>
      <c r="DLB2" s="87"/>
      <c r="DLD2" s="87"/>
      <c r="DLF2" s="87"/>
      <c r="DLH2" s="87"/>
      <c r="DLJ2" s="87"/>
      <c r="DLL2" s="87"/>
      <c r="DLN2" s="87"/>
      <c r="DLP2" s="87"/>
      <c r="DLR2" s="87"/>
      <c r="DLT2" s="87"/>
      <c r="DLV2" s="87"/>
      <c r="DLX2" s="87"/>
      <c r="DLZ2" s="87"/>
      <c r="DMB2" s="87"/>
      <c r="DMD2" s="87"/>
      <c r="DMF2" s="87"/>
      <c r="DMH2" s="87"/>
      <c r="DMJ2" s="87"/>
      <c r="DML2" s="87"/>
      <c r="DMN2" s="87"/>
      <c r="DMP2" s="87"/>
      <c r="DMR2" s="87"/>
      <c r="DMT2" s="87"/>
      <c r="DMV2" s="87"/>
      <c r="DMX2" s="87"/>
      <c r="DMZ2" s="87"/>
      <c r="DNB2" s="87"/>
      <c r="DND2" s="87"/>
      <c r="DNF2" s="87"/>
      <c r="DNH2" s="87"/>
      <c r="DNJ2" s="87"/>
      <c r="DNL2" s="87"/>
      <c r="DNN2" s="87"/>
      <c r="DNP2" s="87"/>
      <c r="DNR2" s="87"/>
      <c r="DNT2" s="87"/>
      <c r="DNV2" s="87"/>
      <c r="DNX2" s="87"/>
      <c r="DNZ2" s="87"/>
      <c r="DOB2" s="87"/>
      <c r="DOD2" s="87"/>
      <c r="DOF2" s="87"/>
      <c r="DOH2" s="87"/>
      <c r="DOJ2" s="87"/>
      <c r="DOL2" s="87"/>
      <c r="DON2" s="87"/>
      <c r="DOP2" s="87"/>
      <c r="DOR2" s="87"/>
      <c r="DOT2" s="87"/>
      <c r="DOV2" s="87"/>
      <c r="DOX2" s="87"/>
      <c r="DOZ2" s="87"/>
      <c r="DPB2" s="87"/>
      <c r="DPD2" s="87"/>
      <c r="DPF2" s="87"/>
      <c r="DPH2" s="87"/>
      <c r="DPJ2" s="87"/>
      <c r="DPL2" s="87"/>
      <c r="DPN2" s="87"/>
      <c r="DPP2" s="87"/>
      <c r="DPR2" s="87"/>
      <c r="DPT2" s="87"/>
      <c r="DPV2" s="87"/>
      <c r="DPX2" s="87"/>
      <c r="DPZ2" s="87"/>
      <c r="DQB2" s="87"/>
      <c r="DQD2" s="87"/>
      <c r="DQF2" s="87"/>
      <c r="DQH2" s="87"/>
      <c r="DQJ2" s="87"/>
      <c r="DQL2" s="87"/>
      <c r="DQN2" s="87"/>
      <c r="DQP2" s="87"/>
      <c r="DQR2" s="87"/>
      <c r="DQT2" s="87"/>
      <c r="DQV2" s="87"/>
      <c r="DQX2" s="87"/>
      <c r="DQZ2" s="87"/>
      <c r="DRB2" s="87"/>
      <c r="DRD2" s="87"/>
      <c r="DRF2" s="87"/>
      <c r="DRH2" s="87"/>
      <c r="DRJ2" s="87"/>
      <c r="DRL2" s="87"/>
      <c r="DRN2" s="87"/>
      <c r="DRP2" s="87"/>
      <c r="DRR2" s="87"/>
      <c r="DRT2" s="87"/>
      <c r="DRV2" s="87"/>
      <c r="DRX2" s="87"/>
      <c r="DRZ2" s="87"/>
      <c r="DSB2" s="87"/>
      <c r="DSD2" s="87"/>
      <c r="DSF2" s="87"/>
      <c r="DSH2" s="87"/>
      <c r="DSJ2" s="87"/>
      <c r="DSL2" s="87"/>
      <c r="DSN2" s="87"/>
      <c r="DSP2" s="87"/>
      <c r="DSR2" s="87"/>
      <c r="DST2" s="87"/>
      <c r="DSV2" s="87"/>
      <c r="DSX2" s="87"/>
      <c r="DSZ2" s="87"/>
      <c r="DTB2" s="87"/>
      <c r="DTD2" s="87"/>
      <c r="DTF2" s="87"/>
      <c r="DTH2" s="87"/>
      <c r="DTJ2" s="87"/>
      <c r="DTL2" s="87"/>
      <c r="DTN2" s="87"/>
      <c r="DTP2" s="87"/>
      <c r="DTR2" s="87"/>
      <c r="DTT2" s="87"/>
      <c r="DTV2" s="87"/>
      <c r="DTX2" s="87"/>
      <c r="DTZ2" s="87"/>
      <c r="DUB2" s="87"/>
      <c r="DUD2" s="87"/>
      <c r="DUF2" s="87"/>
      <c r="DUH2" s="87"/>
      <c r="DUJ2" s="87"/>
      <c r="DUL2" s="87"/>
      <c r="DUN2" s="87"/>
      <c r="DUP2" s="87"/>
      <c r="DUR2" s="87"/>
      <c r="DUT2" s="87"/>
      <c r="DUV2" s="87"/>
      <c r="DUX2" s="87"/>
      <c r="DUZ2" s="87"/>
      <c r="DVB2" s="87"/>
      <c r="DVD2" s="87"/>
      <c r="DVF2" s="87"/>
      <c r="DVH2" s="87"/>
      <c r="DVJ2" s="87"/>
      <c r="DVL2" s="87"/>
      <c r="DVN2" s="87"/>
      <c r="DVP2" s="87"/>
      <c r="DVR2" s="87"/>
      <c r="DVT2" s="87"/>
      <c r="DVV2" s="87"/>
      <c r="DVX2" s="87"/>
      <c r="DVZ2" s="87"/>
      <c r="DWB2" s="87"/>
      <c r="DWD2" s="87"/>
      <c r="DWF2" s="87"/>
      <c r="DWH2" s="87"/>
      <c r="DWJ2" s="87"/>
      <c r="DWL2" s="87"/>
      <c r="DWN2" s="87"/>
      <c r="DWP2" s="87"/>
      <c r="DWR2" s="87"/>
      <c r="DWT2" s="87"/>
      <c r="DWV2" s="87"/>
      <c r="DWX2" s="87"/>
      <c r="DWZ2" s="87"/>
      <c r="DXB2" s="87"/>
      <c r="DXD2" s="87"/>
      <c r="DXF2" s="87"/>
      <c r="DXH2" s="87"/>
      <c r="DXJ2" s="87"/>
      <c r="DXL2" s="87"/>
      <c r="DXN2" s="87"/>
      <c r="DXP2" s="87"/>
      <c r="DXR2" s="87"/>
      <c r="DXT2" s="87"/>
      <c r="DXV2" s="87"/>
      <c r="DXX2" s="87"/>
      <c r="DXZ2" s="87"/>
      <c r="DYB2" s="87"/>
      <c r="DYD2" s="87"/>
      <c r="DYF2" s="87"/>
      <c r="DYH2" s="87"/>
      <c r="DYJ2" s="87"/>
      <c r="DYL2" s="87"/>
      <c r="DYN2" s="87"/>
      <c r="DYP2" s="87"/>
      <c r="DYR2" s="87"/>
      <c r="DYT2" s="87"/>
      <c r="DYV2" s="87"/>
      <c r="DYX2" s="87"/>
      <c r="DYZ2" s="87"/>
      <c r="DZB2" s="87"/>
      <c r="DZD2" s="87"/>
      <c r="DZF2" s="87"/>
      <c r="DZH2" s="87"/>
      <c r="DZJ2" s="87"/>
      <c r="DZL2" s="87"/>
      <c r="DZN2" s="87"/>
      <c r="DZP2" s="87"/>
      <c r="DZR2" s="87"/>
      <c r="DZT2" s="87"/>
      <c r="DZV2" s="87"/>
      <c r="DZX2" s="87"/>
      <c r="DZZ2" s="87"/>
      <c r="EAB2" s="87"/>
      <c r="EAD2" s="87"/>
      <c r="EAF2" s="87"/>
      <c r="EAH2" s="87"/>
      <c r="EAJ2" s="87"/>
      <c r="EAL2" s="87"/>
      <c r="EAN2" s="87"/>
      <c r="EAP2" s="87"/>
      <c r="EAR2" s="87"/>
      <c r="EAT2" s="87"/>
      <c r="EAV2" s="87"/>
      <c r="EAX2" s="87"/>
      <c r="EAZ2" s="87"/>
      <c r="EBB2" s="87"/>
      <c r="EBD2" s="87"/>
      <c r="EBF2" s="87"/>
      <c r="EBH2" s="87"/>
      <c r="EBJ2" s="87"/>
      <c r="EBL2" s="87"/>
      <c r="EBN2" s="87"/>
      <c r="EBP2" s="87"/>
      <c r="EBR2" s="87"/>
      <c r="EBT2" s="87"/>
      <c r="EBV2" s="87"/>
      <c r="EBX2" s="87"/>
      <c r="EBZ2" s="87"/>
      <c r="ECB2" s="87"/>
      <c r="ECD2" s="87"/>
      <c r="ECF2" s="87"/>
      <c r="ECH2" s="87"/>
      <c r="ECJ2" s="87"/>
      <c r="ECL2" s="87"/>
      <c r="ECN2" s="87"/>
      <c r="ECP2" s="87"/>
      <c r="ECR2" s="87"/>
      <c r="ECT2" s="87"/>
      <c r="ECV2" s="87"/>
      <c r="ECX2" s="87"/>
      <c r="ECZ2" s="87"/>
      <c r="EDB2" s="87"/>
      <c r="EDD2" s="87"/>
      <c r="EDF2" s="87"/>
      <c r="EDH2" s="87"/>
      <c r="EDJ2" s="87"/>
      <c r="EDL2" s="87"/>
      <c r="EDN2" s="87"/>
      <c r="EDP2" s="87"/>
      <c r="EDR2" s="87"/>
      <c r="EDT2" s="87"/>
      <c r="EDV2" s="87"/>
      <c r="EDX2" s="87"/>
      <c r="EDZ2" s="87"/>
      <c r="EEB2" s="87"/>
      <c r="EED2" s="87"/>
      <c r="EEF2" s="87"/>
      <c r="EEH2" s="87"/>
      <c r="EEJ2" s="87"/>
      <c r="EEL2" s="87"/>
      <c r="EEN2" s="87"/>
      <c r="EEP2" s="87"/>
      <c r="EER2" s="87"/>
      <c r="EET2" s="87"/>
      <c r="EEV2" s="87"/>
      <c r="EEX2" s="87"/>
      <c r="EEZ2" s="87"/>
      <c r="EFB2" s="87"/>
      <c r="EFD2" s="87"/>
      <c r="EFF2" s="87"/>
      <c r="EFH2" s="87"/>
      <c r="EFJ2" s="87"/>
      <c r="EFL2" s="87"/>
      <c r="EFN2" s="87"/>
      <c r="EFP2" s="87"/>
      <c r="EFR2" s="87"/>
      <c r="EFT2" s="87"/>
      <c r="EFV2" s="87"/>
      <c r="EFX2" s="87"/>
      <c r="EFZ2" s="87"/>
      <c r="EGB2" s="87"/>
      <c r="EGD2" s="87"/>
      <c r="EGF2" s="87"/>
      <c r="EGH2" s="87"/>
      <c r="EGJ2" s="87"/>
      <c r="EGL2" s="87"/>
      <c r="EGN2" s="87"/>
      <c r="EGP2" s="87"/>
      <c r="EGR2" s="87"/>
      <c r="EGT2" s="87"/>
      <c r="EGV2" s="87"/>
      <c r="EGX2" s="87"/>
      <c r="EGZ2" s="87"/>
      <c r="EHB2" s="87"/>
      <c r="EHD2" s="87"/>
      <c r="EHF2" s="87"/>
      <c r="EHH2" s="87"/>
      <c r="EHJ2" s="87"/>
      <c r="EHL2" s="87"/>
      <c r="EHN2" s="87"/>
      <c r="EHP2" s="87"/>
      <c r="EHR2" s="87"/>
      <c r="EHT2" s="87"/>
      <c r="EHV2" s="87"/>
      <c r="EHX2" s="87"/>
      <c r="EHZ2" s="87"/>
      <c r="EIB2" s="87"/>
      <c r="EID2" s="87"/>
      <c r="EIF2" s="87"/>
      <c r="EIH2" s="87"/>
      <c r="EIJ2" s="87"/>
      <c r="EIL2" s="87"/>
      <c r="EIN2" s="87"/>
      <c r="EIP2" s="87"/>
      <c r="EIR2" s="87"/>
      <c r="EIT2" s="87"/>
      <c r="EIV2" s="87"/>
      <c r="EIX2" s="87"/>
      <c r="EIZ2" s="87"/>
      <c r="EJB2" s="87"/>
      <c r="EJD2" s="87"/>
      <c r="EJF2" s="87"/>
      <c r="EJH2" s="87"/>
      <c r="EJJ2" s="87"/>
      <c r="EJL2" s="87"/>
      <c r="EJN2" s="87"/>
      <c r="EJP2" s="87"/>
      <c r="EJR2" s="87"/>
      <c r="EJT2" s="87"/>
      <c r="EJV2" s="87"/>
      <c r="EJX2" s="87"/>
      <c r="EJZ2" s="87"/>
      <c r="EKB2" s="87"/>
      <c r="EKD2" s="87"/>
      <c r="EKF2" s="87"/>
      <c r="EKH2" s="87"/>
      <c r="EKJ2" s="87"/>
      <c r="EKL2" s="87"/>
      <c r="EKN2" s="87"/>
      <c r="EKP2" s="87"/>
      <c r="EKR2" s="87"/>
      <c r="EKT2" s="87"/>
      <c r="EKV2" s="87"/>
      <c r="EKX2" s="87"/>
      <c r="EKZ2" s="87"/>
      <c r="ELB2" s="87"/>
      <c r="ELD2" s="87"/>
      <c r="ELF2" s="87"/>
      <c r="ELH2" s="87"/>
      <c r="ELJ2" s="87"/>
      <c r="ELL2" s="87"/>
      <c r="ELN2" s="87"/>
      <c r="ELP2" s="87"/>
      <c r="ELR2" s="87"/>
      <c r="ELT2" s="87"/>
      <c r="ELV2" s="87"/>
      <c r="ELX2" s="87"/>
      <c r="ELZ2" s="87"/>
      <c r="EMB2" s="87"/>
      <c r="EMD2" s="87"/>
      <c r="EMF2" s="87"/>
      <c r="EMH2" s="87"/>
      <c r="EMJ2" s="87"/>
      <c r="EML2" s="87"/>
      <c r="EMN2" s="87"/>
      <c r="EMP2" s="87"/>
      <c r="EMR2" s="87"/>
      <c r="EMT2" s="87"/>
      <c r="EMV2" s="87"/>
      <c r="EMX2" s="87"/>
      <c r="EMZ2" s="87"/>
      <c r="ENB2" s="87"/>
      <c r="END2" s="87"/>
      <c r="ENF2" s="87"/>
      <c r="ENH2" s="87"/>
      <c r="ENJ2" s="87"/>
      <c r="ENL2" s="87"/>
      <c r="ENN2" s="87"/>
      <c r="ENP2" s="87"/>
      <c r="ENR2" s="87"/>
      <c r="ENT2" s="87"/>
      <c r="ENV2" s="87"/>
      <c r="ENX2" s="87"/>
      <c r="ENZ2" s="87"/>
      <c r="EOB2" s="87"/>
      <c r="EOD2" s="87"/>
      <c r="EOF2" s="87"/>
      <c r="EOH2" s="87"/>
      <c r="EOJ2" s="87"/>
      <c r="EOL2" s="87"/>
      <c r="EON2" s="87"/>
      <c r="EOP2" s="87"/>
      <c r="EOR2" s="87"/>
      <c r="EOT2" s="87"/>
      <c r="EOV2" s="87"/>
      <c r="EOX2" s="87"/>
      <c r="EOZ2" s="87"/>
      <c r="EPB2" s="87"/>
      <c r="EPD2" s="87"/>
      <c r="EPF2" s="87"/>
      <c r="EPH2" s="87"/>
      <c r="EPJ2" s="87"/>
      <c r="EPL2" s="87"/>
      <c r="EPN2" s="87"/>
      <c r="EPP2" s="87"/>
      <c r="EPR2" s="87"/>
      <c r="EPT2" s="87"/>
      <c r="EPV2" s="87"/>
      <c r="EPX2" s="87"/>
      <c r="EPZ2" s="87"/>
      <c r="EQB2" s="87"/>
      <c r="EQD2" s="87"/>
      <c r="EQF2" s="87"/>
      <c r="EQH2" s="87"/>
      <c r="EQJ2" s="87"/>
      <c r="EQL2" s="87"/>
      <c r="EQN2" s="87"/>
      <c r="EQP2" s="87"/>
      <c r="EQR2" s="87"/>
      <c r="EQT2" s="87"/>
      <c r="EQV2" s="87"/>
      <c r="EQX2" s="87"/>
      <c r="EQZ2" s="87"/>
      <c r="ERB2" s="87"/>
      <c r="ERD2" s="87"/>
      <c r="ERF2" s="87"/>
      <c r="ERH2" s="87"/>
      <c r="ERJ2" s="87"/>
      <c r="ERL2" s="87"/>
      <c r="ERN2" s="87"/>
      <c r="ERP2" s="87"/>
      <c r="ERR2" s="87"/>
      <c r="ERT2" s="87"/>
      <c r="ERV2" s="87"/>
      <c r="ERX2" s="87"/>
      <c r="ERZ2" s="87"/>
      <c r="ESB2" s="87"/>
      <c r="ESD2" s="87"/>
      <c r="ESF2" s="87"/>
      <c r="ESH2" s="87"/>
      <c r="ESJ2" s="87"/>
      <c r="ESL2" s="87"/>
      <c r="ESN2" s="87"/>
      <c r="ESP2" s="87"/>
      <c r="ESR2" s="87"/>
      <c r="EST2" s="87"/>
      <c r="ESV2" s="87"/>
      <c r="ESX2" s="87"/>
      <c r="ESZ2" s="87"/>
      <c r="ETB2" s="87"/>
      <c r="ETD2" s="87"/>
      <c r="ETF2" s="87"/>
      <c r="ETH2" s="87"/>
      <c r="ETJ2" s="87"/>
      <c r="ETL2" s="87"/>
      <c r="ETN2" s="87"/>
      <c r="ETP2" s="87"/>
      <c r="ETR2" s="87"/>
      <c r="ETT2" s="87"/>
      <c r="ETV2" s="87"/>
      <c r="ETX2" s="87"/>
      <c r="ETZ2" s="87"/>
      <c r="EUB2" s="87"/>
      <c r="EUD2" s="87"/>
      <c r="EUF2" s="87"/>
      <c r="EUH2" s="87"/>
      <c r="EUJ2" s="87"/>
      <c r="EUL2" s="87"/>
      <c r="EUN2" s="87"/>
      <c r="EUP2" s="87"/>
      <c r="EUR2" s="87"/>
      <c r="EUT2" s="87"/>
      <c r="EUV2" s="87"/>
      <c r="EUX2" s="87"/>
      <c r="EUZ2" s="87"/>
      <c r="EVB2" s="87"/>
      <c r="EVD2" s="87"/>
      <c r="EVF2" s="87"/>
      <c r="EVH2" s="87"/>
      <c r="EVJ2" s="87"/>
      <c r="EVL2" s="87"/>
      <c r="EVN2" s="87"/>
      <c r="EVP2" s="87"/>
      <c r="EVR2" s="87"/>
      <c r="EVT2" s="87"/>
      <c r="EVV2" s="87"/>
      <c r="EVX2" s="87"/>
      <c r="EVZ2" s="87"/>
      <c r="EWB2" s="87"/>
      <c r="EWD2" s="87"/>
      <c r="EWF2" s="87"/>
      <c r="EWH2" s="87"/>
      <c r="EWJ2" s="87"/>
      <c r="EWL2" s="87"/>
      <c r="EWN2" s="87"/>
      <c r="EWP2" s="87"/>
      <c r="EWR2" s="87"/>
      <c r="EWT2" s="87"/>
      <c r="EWV2" s="87"/>
      <c r="EWX2" s="87"/>
      <c r="EWZ2" s="87"/>
      <c r="EXB2" s="87"/>
      <c r="EXD2" s="87"/>
      <c r="EXF2" s="87"/>
      <c r="EXH2" s="87"/>
      <c r="EXJ2" s="87"/>
      <c r="EXL2" s="87"/>
      <c r="EXN2" s="87"/>
      <c r="EXP2" s="87"/>
      <c r="EXR2" s="87"/>
      <c r="EXT2" s="87"/>
      <c r="EXV2" s="87"/>
      <c r="EXX2" s="87"/>
      <c r="EXZ2" s="87"/>
      <c r="EYB2" s="87"/>
      <c r="EYD2" s="87"/>
      <c r="EYF2" s="87"/>
      <c r="EYH2" s="87"/>
      <c r="EYJ2" s="87"/>
      <c r="EYL2" s="87"/>
      <c r="EYN2" s="87"/>
      <c r="EYP2" s="87"/>
      <c r="EYR2" s="87"/>
      <c r="EYT2" s="87"/>
      <c r="EYV2" s="87"/>
      <c r="EYX2" s="87"/>
      <c r="EYZ2" s="87"/>
      <c r="EZB2" s="87"/>
      <c r="EZD2" s="87"/>
      <c r="EZF2" s="87"/>
      <c r="EZH2" s="87"/>
      <c r="EZJ2" s="87"/>
      <c r="EZL2" s="87"/>
      <c r="EZN2" s="87"/>
      <c r="EZP2" s="87"/>
      <c r="EZR2" s="87"/>
      <c r="EZT2" s="87"/>
      <c r="EZV2" s="87"/>
      <c r="EZX2" s="87"/>
      <c r="EZZ2" s="87"/>
      <c r="FAB2" s="87"/>
      <c r="FAD2" s="87"/>
      <c r="FAF2" s="87"/>
      <c r="FAH2" s="87"/>
      <c r="FAJ2" s="87"/>
      <c r="FAL2" s="87"/>
      <c r="FAN2" s="87"/>
      <c r="FAP2" s="87"/>
      <c r="FAR2" s="87"/>
      <c r="FAT2" s="87"/>
      <c r="FAV2" s="87"/>
      <c r="FAX2" s="87"/>
      <c r="FAZ2" s="87"/>
      <c r="FBB2" s="87"/>
      <c r="FBD2" s="87"/>
      <c r="FBF2" s="87"/>
      <c r="FBH2" s="87"/>
      <c r="FBJ2" s="87"/>
      <c r="FBL2" s="87"/>
      <c r="FBN2" s="87"/>
      <c r="FBP2" s="87"/>
      <c r="FBR2" s="87"/>
      <c r="FBT2" s="87"/>
      <c r="FBV2" s="87"/>
      <c r="FBX2" s="87"/>
      <c r="FBZ2" s="87"/>
      <c r="FCB2" s="87"/>
      <c r="FCD2" s="87"/>
      <c r="FCF2" s="87"/>
      <c r="FCH2" s="87"/>
      <c r="FCJ2" s="87"/>
      <c r="FCL2" s="87"/>
      <c r="FCN2" s="87"/>
      <c r="FCP2" s="87"/>
      <c r="FCR2" s="87"/>
      <c r="FCT2" s="87"/>
      <c r="FCV2" s="87"/>
      <c r="FCX2" s="87"/>
      <c r="FCZ2" s="87"/>
      <c r="FDB2" s="87"/>
      <c r="FDD2" s="87"/>
      <c r="FDF2" s="87"/>
      <c r="FDH2" s="87"/>
      <c r="FDJ2" s="87"/>
      <c r="FDL2" s="87"/>
      <c r="FDN2" s="87"/>
      <c r="FDP2" s="87"/>
      <c r="FDR2" s="87"/>
      <c r="FDT2" s="87"/>
      <c r="FDV2" s="87"/>
      <c r="FDX2" s="87"/>
      <c r="FDZ2" s="87"/>
      <c r="FEB2" s="87"/>
      <c r="FED2" s="87"/>
      <c r="FEF2" s="87"/>
      <c r="FEH2" s="87"/>
      <c r="FEJ2" s="87"/>
      <c r="FEL2" s="87"/>
      <c r="FEN2" s="87"/>
      <c r="FEP2" s="87"/>
      <c r="FER2" s="87"/>
      <c r="FET2" s="87"/>
      <c r="FEV2" s="87"/>
      <c r="FEX2" s="87"/>
      <c r="FEZ2" s="87"/>
      <c r="FFB2" s="87"/>
      <c r="FFD2" s="87"/>
      <c r="FFF2" s="87"/>
      <c r="FFH2" s="87"/>
      <c r="FFJ2" s="87"/>
      <c r="FFL2" s="87"/>
      <c r="FFN2" s="87"/>
      <c r="FFP2" s="87"/>
      <c r="FFR2" s="87"/>
      <c r="FFT2" s="87"/>
      <c r="FFV2" s="87"/>
      <c r="FFX2" s="87"/>
      <c r="FFZ2" s="87"/>
      <c r="FGB2" s="87"/>
      <c r="FGD2" s="87"/>
      <c r="FGF2" s="87"/>
      <c r="FGH2" s="87"/>
      <c r="FGJ2" s="87"/>
      <c r="FGL2" s="87"/>
      <c r="FGN2" s="87"/>
      <c r="FGP2" s="87"/>
      <c r="FGR2" s="87"/>
      <c r="FGT2" s="87"/>
      <c r="FGV2" s="87"/>
      <c r="FGX2" s="87"/>
      <c r="FGZ2" s="87"/>
      <c r="FHB2" s="87"/>
      <c r="FHD2" s="87"/>
      <c r="FHF2" s="87"/>
      <c r="FHH2" s="87"/>
      <c r="FHJ2" s="87"/>
      <c r="FHL2" s="87"/>
      <c r="FHN2" s="87"/>
      <c r="FHP2" s="87"/>
      <c r="FHR2" s="87"/>
      <c r="FHT2" s="87"/>
      <c r="FHV2" s="87"/>
      <c r="FHX2" s="87"/>
      <c r="FHZ2" s="87"/>
      <c r="FIB2" s="87"/>
      <c r="FID2" s="87"/>
      <c r="FIF2" s="87"/>
      <c r="FIH2" s="87"/>
      <c r="FIJ2" s="87"/>
      <c r="FIL2" s="87"/>
      <c r="FIN2" s="87"/>
      <c r="FIP2" s="87"/>
      <c r="FIR2" s="87"/>
      <c r="FIT2" s="87"/>
      <c r="FIV2" s="87"/>
      <c r="FIX2" s="87"/>
      <c r="FIZ2" s="87"/>
      <c r="FJB2" s="87"/>
      <c r="FJD2" s="87"/>
      <c r="FJF2" s="87"/>
      <c r="FJH2" s="87"/>
      <c r="FJJ2" s="87"/>
      <c r="FJL2" s="87"/>
      <c r="FJN2" s="87"/>
      <c r="FJP2" s="87"/>
      <c r="FJR2" s="87"/>
      <c r="FJT2" s="87"/>
      <c r="FJV2" s="87"/>
      <c r="FJX2" s="87"/>
      <c r="FJZ2" s="87"/>
      <c r="FKB2" s="87"/>
      <c r="FKD2" s="87"/>
      <c r="FKF2" s="87"/>
      <c r="FKH2" s="87"/>
      <c r="FKJ2" s="87"/>
      <c r="FKL2" s="87"/>
      <c r="FKN2" s="87"/>
      <c r="FKP2" s="87"/>
      <c r="FKR2" s="87"/>
      <c r="FKT2" s="87"/>
      <c r="FKV2" s="87"/>
      <c r="FKX2" s="87"/>
      <c r="FKZ2" s="87"/>
      <c r="FLB2" s="87"/>
      <c r="FLD2" s="87"/>
      <c r="FLF2" s="87"/>
      <c r="FLH2" s="87"/>
      <c r="FLJ2" s="87"/>
      <c r="FLL2" s="87"/>
      <c r="FLN2" s="87"/>
      <c r="FLP2" s="87"/>
      <c r="FLR2" s="87"/>
      <c r="FLT2" s="87"/>
      <c r="FLV2" s="87"/>
      <c r="FLX2" s="87"/>
      <c r="FLZ2" s="87"/>
      <c r="FMB2" s="87"/>
      <c r="FMD2" s="87"/>
      <c r="FMF2" s="87"/>
      <c r="FMH2" s="87"/>
      <c r="FMJ2" s="87"/>
      <c r="FML2" s="87"/>
      <c r="FMN2" s="87"/>
      <c r="FMP2" s="87"/>
      <c r="FMR2" s="87"/>
      <c r="FMT2" s="87"/>
      <c r="FMV2" s="87"/>
      <c r="FMX2" s="87"/>
      <c r="FMZ2" s="87"/>
      <c r="FNB2" s="87"/>
      <c r="FND2" s="87"/>
      <c r="FNF2" s="87"/>
      <c r="FNH2" s="87"/>
      <c r="FNJ2" s="87"/>
      <c r="FNL2" s="87"/>
      <c r="FNN2" s="87"/>
      <c r="FNP2" s="87"/>
      <c r="FNR2" s="87"/>
      <c r="FNT2" s="87"/>
      <c r="FNV2" s="87"/>
      <c r="FNX2" s="87"/>
      <c r="FNZ2" s="87"/>
      <c r="FOB2" s="87"/>
      <c r="FOD2" s="87"/>
      <c r="FOF2" s="87"/>
      <c r="FOH2" s="87"/>
      <c r="FOJ2" s="87"/>
      <c r="FOL2" s="87"/>
      <c r="FON2" s="87"/>
      <c r="FOP2" s="87"/>
      <c r="FOR2" s="87"/>
      <c r="FOT2" s="87"/>
      <c r="FOV2" s="87"/>
      <c r="FOX2" s="87"/>
      <c r="FOZ2" s="87"/>
      <c r="FPB2" s="87"/>
      <c r="FPD2" s="87"/>
      <c r="FPF2" s="87"/>
      <c r="FPH2" s="87"/>
      <c r="FPJ2" s="87"/>
      <c r="FPL2" s="87"/>
      <c r="FPN2" s="87"/>
      <c r="FPP2" s="87"/>
      <c r="FPR2" s="87"/>
      <c r="FPT2" s="87"/>
      <c r="FPV2" s="87"/>
      <c r="FPX2" s="87"/>
      <c r="FPZ2" s="87"/>
      <c r="FQB2" s="87"/>
      <c r="FQD2" s="87"/>
      <c r="FQF2" s="87"/>
      <c r="FQH2" s="87"/>
      <c r="FQJ2" s="87"/>
      <c r="FQL2" s="87"/>
      <c r="FQN2" s="87"/>
      <c r="FQP2" s="87"/>
      <c r="FQR2" s="87"/>
      <c r="FQT2" s="87"/>
      <c r="FQV2" s="87"/>
      <c r="FQX2" s="87"/>
      <c r="FQZ2" s="87"/>
      <c r="FRB2" s="87"/>
      <c r="FRD2" s="87"/>
      <c r="FRF2" s="87"/>
      <c r="FRH2" s="87"/>
      <c r="FRJ2" s="87"/>
      <c r="FRL2" s="87"/>
      <c r="FRN2" s="87"/>
      <c r="FRP2" s="87"/>
      <c r="FRR2" s="87"/>
      <c r="FRT2" s="87"/>
      <c r="FRV2" s="87"/>
      <c r="FRX2" s="87"/>
      <c r="FRZ2" s="87"/>
      <c r="FSB2" s="87"/>
      <c r="FSD2" s="87"/>
      <c r="FSF2" s="87"/>
      <c r="FSH2" s="87"/>
      <c r="FSJ2" s="87"/>
      <c r="FSL2" s="87"/>
      <c r="FSN2" s="87"/>
      <c r="FSP2" s="87"/>
      <c r="FSR2" s="87"/>
      <c r="FST2" s="87"/>
      <c r="FSV2" s="87"/>
      <c r="FSX2" s="87"/>
      <c r="FSZ2" s="87"/>
      <c r="FTB2" s="87"/>
      <c r="FTD2" s="87"/>
      <c r="FTF2" s="87"/>
      <c r="FTH2" s="87"/>
      <c r="FTJ2" s="87"/>
      <c r="FTL2" s="87"/>
      <c r="FTN2" s="87"/>
      <c r="FTP2" s="87"/>
      <c r="FTR2" s="87"/>
      <c r="FTT2" s="87"/>
      <c r="FTV2" s="87"/>
      <c r="FTX2" s="87"/>
      <c r="FTZ2" s="87"/>
      <c r="FUB2" s="87"/>
      <c r="FUD2" s="87"/>
      <c r="FUF2" s="87"/>
      <c r="FUH2" s="87"/>
      <c r="FUJ2" s="87"/>
      <c r="FUL2" s="87"/>
      <c r="FUN2" s="87"/>
      <c r="FUP2" s="87"/>
      <c r="FUR2" s="87"/>
      <c r="FUT2" s="87"/>
      <c r="FUV2" s="87"/>
      <c r="FUX2" s="87"/>
      <c r="FUZ2" s="87"/>
      <c r="FVB2" s="87"/>
      <c r="FVD2" s="87"/>
      <c r="FVF2" s="87"/>
      <c r="FVH2" s="87"/>
      <c r="FVJ2" s="87"/>
      <c r="FVL2" s="87"/>
      <c r="FVN2" s="87"/>
      <c r="FVP2" s="87"/>
      <c r="FVR2" s="87"/>
      <c r="FVT2" s="87"/>
      <c r="FVV2" s="87"/>
      <c r="FVX2" s="87"/>
      <c r="FVZ2" s="87"/>
      <c r="FWB2" s="87"/>
      <c r="FWD2" s="87"/>
      <c r="FWF2" s="87"/>
      <c r="FWH2" s="87"/>
      <c r="FWJ2" s="87"/>
      <c r="FWL2" s="87"/>
      <c r="FWN2" s="87"/>
      <c r="FWP2" s="87"/>
      <c r="FWR2" s="87"/>
      <c r="FWT2" s="87"/>
      <c r="FWV2" s="87"/>
      <c r="FWX2" s="87"/>
      <c r="FWZ2" s="87"/>
      <c r="FXB2" s="87"/>
      <c r="FXD2" s="87"/>
      <c r="FXF2" s="87"/>
      <c r="FXH2" s="87"/>
      <c r="FXJ2" s="87"/>
      <c r="FXL2" s="87"/>
      <c r="FXN2" s="87"/>
      <c r="FXP2" s="87"/>
      <c r="FXR2" s="87"/>
      <c r="FXT2" s="87"/>
      <c r="FXV2" s="87"/>
      <c r="FXX2" s="87"/>
      <c r="FXZ2" s="87"/>
      <c r="FYB2" s="87"/>
      <c r="FYD2" s="87"/>
      <c r="FYF2" s="87"/>
      <c r="FYH2" s="87"/>
      <c r="FYJ2" s="87"/>
      <c r="FYL2" s="87"/>
      <c r="FYN2" s="87"/>
      <c r="FYP2" s="87"/>
      <c r="FYR2" s="87"/>
      <c r="FYT2" s="87"/>
      <c r="FYV2" s="87"/>
      <c r="FYX2" s="87"/>
      <c r="FYZ2" s="87"/>
      <c r="FZB2" s="87"/>
      <c r="FZD2" s="87"/>
      <c r="FZF2" s="87"/>
      <c r="FZH2" s="87"/>
      <c r="FZJ2" s="87"/>
      <c r="FZL2" s="87"/>
      <c r="FZN2" s="87"/>
      <c r="FZP2" s="87"/>
      <c r="FZR2" s="87"/>
      <c r="FZT2" s="87"/>
      <c r="FZV2" s="87"/>
      <c r="FZX2" s="87"/>
      <c r="FZZ2" s="87"/>
      <c r="GAB2" s="87"/>
      <c r="GAD2" s="87"/>
      <c r="GAF2" s="87"/>
      <c r="GAH2" s="87"/>
      <c r="GAJ2" s="87"/>
      <c r="GAL2" s="87"/>
      <c r="GAN2" s="87"/>
      <c r="GAP2" s="87"/>
      <c r="GAR2" s="87"/>
      <c r="GAT2" s="87"/>
      <c r="GAV2" s="87"/>
      <c r="GAX2" s="87"/>
      <c r="GAZ2" s="87"/>
      <c r="GBB2" s="87"/>
      <c r="GBD2" s="87"/>
      <c r="GBF2" s="87"/>
      <c r="GBH2" s="87"/>
      <c r="GBJ2" s="87"/>
      <c r="GBL2" s="87"/>
      <c r="GBN2" s="87"/>
      <c r="GBP2" s="87"/>
      <c r="GBR2" s="87"/>
      <c r="GBT2" s="87"/>
      <c r="GBV2" s="87"/>
      <c r="GBX2" s="87"/>
      <c r="GBZ2" s="87"/>
      <c r="GCB2" s="87"/>
      <c r="GCD2" s="87"/>
      <c r="GCF2" s="87"/>
      <c r="GCH2" s="87"/>
      <c r="GCJ2" s="87"/>
      <c r="GCL2" s="87"/>
      <c r="GCN2" s="87"/>
      <c r="GCP2" s="87"/>
      <c r="GCR2" s="87"/>
      <c r="GCT2" s="87"/>
      <c r="GCV2" s="87"/>
      <c r="GCX2" s="87"/>
      <c r="GCZ2" s="87"/>
      <c r="GDB2" s="87"/>
      <c r="GDD2" s="87"/>
      <c r="GDF2" s="87"/>
      <c r="GDH2" s="87"/>
      <c r="GDJ2" s="87"/>
      <c r="GDL2" s="87"/>
      <c r="GDN2" s="87"/>
      <c r="GDP2" s="87"/>
      <c r="GDR2" s="87"/>
      <c r="GDT2" s="87"/>
      <c r="GDV2" s="87"/>
      <c r="GDX2" s="87"/>
      <c r="GDZ2" s="87"/>
      <c r="GEB2" s="87"/>
      <c r="GED2" s="87"/>
      <c r="GEF2" s="87"/>
      <c r="GEH2" s="87"/>
      <c r="GEJ2" s="87"/>
      <c r="GEL2" s="87"/>
      <c r="GEN2" s="87"/>
      <c r="GEP2" s="87"/>
      <c r="GER2" s="87"/>
      <c r="GET2" s="87"/>
      <c r="GEV2" s="87"/>
      <c r="GEX2" s="87"/>
      <c r="GEZ2" s="87"/>
      <c r="GFB2" s="87"/>
      <c r="GFD2" s="87"/>
      <c r="GFF2" s="87"/>
      <c r="GFH2" s="87"/>
      <c r="GFJ2" s="87"/>
      <c r="GFL2" s="87"/>
      <c r="GFN2" s="87"/>
      <c r="GFP2" s="87"/>
      <c r="GFR2" s="87"/>
      <c r="GFT2" s="87"/>
      <c r="GFV2" s="87"/>
      <c r="GFX2" s="87"/>
      <c r="GFZ2" s="87"/>
      <c r="GGB2" s="87"/>
      <c r="GGD2" s="87"/>
      <c r="GGF2" s="87"/>
      <c r="GGH2" s="87"/>
      <c r="GGJ2" s="87"/>
      <c r="GGL2" s="87"/>
      <c r="GGN2" s="87"/>
      <c r="GGP2" s="87"/>
      <c r="GGR2" s="87"/>
      <c r="GGT2" s="87"/>
      <c r="GGV2" s="87"/>
      <c r="GGX2" s="87"/>
      <c r="GGZ2" s="87"/>
      <c r="GHB2" s="87"/>
      <c r="GHD2" s="87"/>
      <c r="GHF2" s="87"/>
      <c r="GHH2" s="87"/>
      <c r="GHJ2" s="87"/>
      <c r="GHL2" s="87"/>
      <c r="GHN2" s="87"/>
      <c r="GHP2" s="87"/>
      <c r="GHR2" s="87"/>
      <c r="GHT2" s="87"/>
      <c r="GHV2" s="87"/>
      <c r="GHX2" s="87"/>
      <c r="GHZ2" s="87"/>
      <c r="GIB2" s="87"/>
      <c r="GID2" s="87"/>
      <c r="GIF2" s="87"/>
      <c r="GIH2" s="87"/>
      <c r="GIJ2" s="87"/>
      <c r="GIL2" s="87"/>
      <c r="GIN2" s="87"/>
      <c r="GIP2" s="87"/>
      <c r="GIR2" s="87"/>
      <c r="GIT2" s="87"/>
      <c r="GIV2" s="87"/>
      <c r="GIX2" s="87"/>
      <c r="GIZ2" s="87"/>
      <c r="GJB2" s="87"/>
      <c r="GJD2" s="87"/>
      <c r="GJF2" s="87"/>
      <c r="GJH2" s="87"/>
      <c r="GJJ2" s="87"/>
      <c r="GJL2" s="87"/>
      <c r="GJN2" s="87"/>
      <c r="GJP2" s="87"/>
      <c r="GJR2" s="87"/>
      <c r="GJT2" s="87"/>
      <c r="GJV2" s="87"/>
      <c r="GJX2" s="87"/>
      <c r="GJZ2" s="87"/>
      <c r="GKB2" s="87"/>
      <c r="GKD2" s="87"/>
      <c r="GKF2" s="87"/>
      <c r="GKH2" s="87"/>
      <c r="GKJ2" s="87"/>
      <c r="GKL2" s="87"/>
      <c r="GKN2" s="87"/>
      <c r="GKP2" s="87"/>
      <c r="GKR2" s="87"/>
      <c r="GKT2" s="87"/>
      <c r="GKV2" s="87"/>
      <c r="GKX2" s="87"/>
      <c r="GKZ2" s="87"/>
      <c r="GLB2" s="87"/>
      <c r="GLD2" s="87"/>
      <c r="GLF2" s="87"/>
      <c r="GLH2" s="87"/>
      <c r="GLJ2" s="87"/>
      <c r="GLL2" s="87"/>
      <c r="GLN2" s="87"/>
      <c r="GLP2" s="87"/>
      <c r="GLR2" s="87"/>
      <c r="GLT2" s="87"/>
      <c r="GLV2" s="87"/>
      <c r="GLX2" s="87"/>
      <c r="GLZ2" s="87"/>
      <c r="GMB2" s="87"/>
      <c r="GMD2" s="87"/>
      <c r="GMF2" s="87"/>
      <c r="GMH2" s="87"/>
      <c r="GMJ2" s="87"/>
      <c r="GML2" s="87"/>
      <c r="GMN2" s="87"/>
      <c r="GMP2" s="87"/>
      <c r="GMR2" s="87"/>
      <c r="GMT2" s="87"/>
      <c r="GMV2" s="87"/>
      <c r="GMX2" s="87"/>
      <c r="GMZ2" s="87"/>
      <c r="GNB2" s="87"/>
      <c r="GND2" s="87"/>
      <c r="GNF2" s="87"/>
      <c r="GNH2" s="87"/>
      <c r="GNJ2" s="87"/>
      <c r="GNL2" s="87"/>
      <c r="GNN2" s="87"/>
      <c r="GNP2" s="87"/>
      <c r="GNR2" s="87"/>
      <c r="GNT2" s="87"/>
      <c r="GNV2" s="87"/>
      <c r="GNX2" s="87"/>
      <c r="GNZ2" s="87"/>
      <c r="GOB2" s="87"/>
      <c r="GOD2" s="87"/>
      <c r="GOF2" s="87"/>
      <c r="GOH2" s="87"/>
      <c r="GOJ2" s="87"/>
      <c r="GOL2" s="87"/>
      <c r="GON2" s="87"/>
      <c r="GOP2" s="87"/>
      <c r="GOR2" s="87"/>
      <c r="GOT2" s="87"/>
      <c r="GOV2" s="87"/>
      <c r="GOX2" s="87"/>
      <c r="GOZ2" s="87"/>
      <c r="GPB2" s="87"/>
      <c r="GPD2" s="87"/>
      <c r="GPF2" s="87"/>
      <c r="GPH2" s="87"/>
      <c r="GPJ2" s="87"/>
      <c r="GPL2" s="87"/>
      <c r="GPN2" s="87"/>
      <c r="GPP2" s="87"/>
      <c r="GPR2" s="87"/>
      <c r="GPT2" s="87"/>
      <c r="GPV2" s="87"/>
      <c r="GPX2" s="87"/>
      <c r="GPZ2" s="87"/>
      <c r="GQB2" s="87"/>
      <c r="GQD2" s="87"/>
      <c r="GQF2" s="87"/>
      <c r="GQH2" s="87"/>
      <c r="GQJ2" s="87"/>
      <c r="GQL2" s="87"/>
      <c r="GQN2" s="87"/>
      <c r="GQP2" s="87"/>
      <c r="GQR2" s="87"/>
      <c r="GQT2" s="87"/>
      <c r="GQV2" s="87"/>
      <c r="GQX2" s="87"/>
      <c r="GQZ2" s="87"/>
      <c r="GRB2" s="87"/>
      <c r="GRD2" s="87"/>
      <c r="GRF2" s="87"/>
      <c r="GRH2" s="87"/>
      <c r="GRJ2" s="87"/>
      <c r="GRL2" s="87"/>
      <c r="GRN2" s="87"/>
      <c r="GRP2" s="87"/>
      <c r="GRR2" s="87"/>
      <c r="GRT2" s="87"/>
      <c r="GRV2" s="87"/>
      <c r="GRX2" s="87"/>
      <c r="GRZ2" s="87"/>
      <c r="GSB2" s="87"/>
      <c r="GSD2" s="87"/>
      <c r="GSF2" s="87"/>
      <c r="GSH2" s="87"/>
      <c r="GSJ2" s="87"/>
      <c r="GSL2" s="87"/>
      <c r="GSN2" s="87"/>
      <c r="GSP2" s="87"/>
      <c r="GSR2" s="87"/>
      <c r="GST2" s="87"/>
      <c r="GSV2" s="87"/>
      <c r="GSX2" s="87"/>
      <c r="GSZ2" s="87"/>
      <c r="GTB2" s="87"/>
      <c r="GTD2" s="87"/>
      <c r="GTF2" s="87"/>
      <c r="GTH2" s="87"/>
      <c r="GTJ2" s="87"/>
      <c r="GTL2" s="87"/>
      <c r="GTN2" s="87"/>
      <c r="GTP2" s="87"/>
      <c r="GTR2" s="87"/>
      <c r="GTT2" s="87"/>
      <c r="GTV2" s="87"/>
      <c r="GTX2" s="87"/>
      <c r="GTZ2" s="87"/>
      <c r="GUB2" s="87"/>
      <c r="GUD2" s="87"/>
      <c r="GUF2" s="87"/>
      <c r="GUH2" s="87"/>
      <c r="GUJ2" s="87"/>
      <c r="GUL2" s="87"/>
      <c r="GUN2" s="87"/>
      <c r="GUP2" s="87"/>
      <c r="GUR2" s="87"/>
      <c r="GUT2" s="87"/>
      <c r="GUV2" s="87"/>
      <c r="GUX2" s="87"/>
      <c r="GUZ2" s="87"/>
      <c r="GVB2" s="87"/>
      <c r="GVD2" s="87"/>
      <c r="GVF2" s="87"/>
      <c r="GVH2" s="87"/>
      <c r="GVJ2" s="87"/>
      <c r="GVL2" s="87"/>
      <c r="GVN2" s="87"/>
      <c r="GVP2" s="87"/>
      <c r="GVR2" s="87"/>
      <c r="GVT2" s="87"/>
      <c r="GVV2" s="87"/>
      <c r="GVX2" s="87"/>
      <c r="GVZ2" s="87"/>
      <c r="GWB2" s="87"/>
      <c r="GWD2" s="87"/>
      <c r="GWF2" s="87"/>
      <c r="GWH2" s="87"/>
      <c r="GWJ2" s="87"/>
      <c r="GWL2" s="87"/>
      <c r="GWN2" s="87"/>
      <c r="GWP2" s="87"/>
      <c r="GWR2" s="87"/>
      <c r="GWT2" s="87"/>
      <c r="GWV2" s="87"/>
      <c r="GWX2" s="87"/>
      <c r="GWZ2" s="87"/>
      <c r="GXB2" s="87"/>
      <c r="GXD2" s="87"/>
      <c r="GXF2" s="87"/>
      <c r="GXH2" s="87"/>
      <c r="GXJ2" s="87"/>
      <c r="GXL2" s="87"/>
      <c r="GXN2" s="87"/>
      <c r="GXP2" s="87"/>
      <c r="GXR2" s="87"/>
      <c r="GXT2" s="87"/>
      <c r="GXV2" s="87"/>
      <c r="GXX2" s="87"/>
      <c r="GXZ2" s="87"/>
      <c r="GYB2" s="87"/>
      <c r="GYD2" s="87"/>
      <c r="GYF2" s="87"/>
      <c r="GYH2" s="87"/>
      <c r="GYJ2" s="87"/>
      <c r="GYL2" s="87"/>
      <c r="GYN2" s="87"/>
      <c r="GYP2" s="87"/>
      <c r="GYR2" s="87"/>
      <c r="GYT2" s="87"/>
      <c r="GYV2" s="87"/>
      <c r="GYX2" s="87"/>
      <c r="GYZ2" s="87"/>
      <c r="GZB2" s="87"/>
      <c r="GZD2" s="87"/>
      <c r="GZF2" s="87"/>
      <c r="GZH2" s="87"/>
      <c r="GZJ2" s="87"/>
      <c r="GZL2" s="87"/>
      <c r="GZN2" s="87"/>
      <c r="GZP2" s="87"/>
      <c r="GZR2" s="87"/>
      <c r="GZT2" s="87"/>
      <c r="GZV2" s="87"/>
      <c r="GZX2" s="87"/>
      <c r="GZZ2" s="87"/>
      <c r="HAB2" s="87"/>
      <c r="HAD2" s="87"/>
      <c r="HAF2" s="87"/>
      <c r="HAH2" s="87"/>
      <c r="HAJ2" s="87"/>
      <c r="HAL2" s="87"/>
      <c r="HAN2" s="87"/>
      <c r="HAP2" s="87"/>
      <c r="HAR2" s="87"/>
      <c r="HAT2" s="87"/>
      <c r="HAV2" s="87"/>
      <c r="HAX2" s="87"/>
      <c r="HAZ2" s="87"/>
      <c r="HBB2" s="87"/>
      <c r="HBD2" s="87"/>
      <c r="HBF2" s="87"/>
      <c r="HBH2" s="87"/>
      <c r="HBJ2" s="87"/>
      <c r="HBL2" s="87"/>
      <c r="HBN2" s="87"/>
      <c r="HBP2" s="87"/>
      <c r="HBR2" s="87"/>
      <c r="HBT2" s="87"/>
      <c r="HBV2" s="87"/>
      <c r="HBX2" s="87"/>
      <c r="HBZ2" s="87"/>
      <c r="HCB2" s="87"/>
      <c r="HCD2" s="87"/>
      <c r="HCF2" s="87"/>
      <c r="HCH2" s="87"/>
      <c r="HCJ2" s="87"/>
      <c r="HCL2" s="87"/>
      <c r="HCN2" s="87"/>
      <c r="HCP2" s="87"/>
      <c r="HCR2" s="87"/>
      <c r="HCT2" s="87"/>
      <c r="HCV2" s="87"/>
      <c r="HCX2" s="87"/>
      <c r="HCZ2" s="87"/>
      <c r="HDB2" s="87"/>
      <c r="HDD2" s="87"/>
      <c r="HDF2" s="87"/>
      <c r="HDH2" s="87"/>
      <c r="HDJ2" s="87"/>
      <c r="HDL2" s="87"/>
      <c r="HDN2" s="87"/>
      <c r="HDP2" s="87"/>
      <c r="HDR2" s="87"/>
      <c r="HDT2" s="87"/>
      <c r="HDV2" s="87"/>
      <c r="HDX2" s="87"/>
      <c r="HDZ2" s="87"/>
      <c r="HEB2" s="87"/>
      <c r="HED2" s="87"/>
      <c r="HEF2" s="87"/>
      <c r="HEH2" s="87"/>
      <c r="HEJ2" s="87"/>
      <c r="HEL2" s="87"/>
      <c r="HEN2" s="87"/>
      <c r="HEP2" s="87"/>
      <c r="HER2" s="87"/>
      <c r="HET2" s="87"/>
      <c r="HEV2" s="87"/>
      <c r="HEX2" s="87"/>
      <c r="HEZ2" s="87"/>
      <c r="HFB2" s="87"/>
      <c r="HFD2" s="87"/>
      <c r="HFF2" s="87"/>
      <c r="HFH2" s="87"/>
      <c r="HFJ2" s="87"/>
      <c r="HFL2" s="87"/>
      <c r="HFN2" s="87"/>
      <c r="HFP2" s="87"/>
      <c r="HFR2" s="87"/>
      <c r="HFT2" s="87"/>
      <c r="HFV2" s="87"/>
      <c r="HFX2" s="87"/>
      <c r="HFZ2" s="87"/>
      <c r="HGB2" s="87"/>
      <c r="HGD2" s="87"/>
      <c r="HGF2" s="87"/>
      <c r="HGH2" s="87"/>
      <c r="HGJ2" s="87"/>
      <c r="HGL2" s="87"/>
      <c r="HGN2" s="87"/>
      <c r="HGP2" s="87"/>
      <c r="HGR2" s="87"/>
      <c r="HGT2" s="87"/>
      <c r="HGV2" s="87"/>
      <c r="HGX2" s="87"/>
      <c r="HGZ2" s="87"/>
      <c r="HHB2" s="87"/>
      <c r="HHD2" s="87"/>
      <c r="HHF2" s="87"/>
      <c r="HHH2" s="87"/>
      <c r="HHJ2" s="87"/>
      <c r="HHL2" s="87"/>
      <c r="HHN2" s="87"/>
      <c r="HHP2" s="87"/>
      <c r="HHR2" s="87"/>
      <c r="HHT2" s="87"/>
      <c r="HHV2" s="87"/>
      <c r="HHX2" s="87"/>
      <c r="HHZ2" s="87"/>
      <c r="HIB2" s="87"/>
      <c r="HID2" s="87"/>
      <c r="HIF2" s="87"/>
      <c r="HIH2" s="87"/>
      <c r="HIJ2" s="87"/>
      <c r="HIL2" s="87"/>
      <c r="HIN2" s="87"/>
      <c r="HIP2" s="87"/>
      <c r="HIR2" s="87"/>
      <c r="HIT2" s="87"/>
      <c r="HIV2" s="87"/>
      <c r="HIX2" s="87"/>
      <c r="HIZ2" s="87"/>
      <c r="HJB2" s="87"/>
      <c r="HJD2" s="87"/>
      <c r="HJF2" s="87"/>
      <c r="HJH2" s="87"/>
      <c r="HJJ2" s="87"/>
      <c r="HJL2" s="87"/>
      <c r="HJN2" s="87"/>
      <c r="HJP2" s="87"/>
      <c r="HJR2" s="87"/>
      <c r="HJT2" s="87"/>
      <c r="HJV2" s="87"/>
      <c r="HJX2" s="87"/>
      <c r="HJZ2" s="87"/>
      <c r="HKB2" s="87"/>
      <c r="HKD2" s="87"/>
      <c r="HKF2" s="87"/>
      <c r="HKH2" s="87"/>
      <c r="HKJ2" s="87"/>
      <c r="HKL2" s="87"/>
      <c r="HKN2" s="87"/>
      <c r="HKP2" s="87"/>
      <c r="HKR2" s="87"/>
      <c r="HKT2" s="87"/>
      <c r="HKV2" s="87"/>
      <c r="HKX2" s="87"/>
      <c r="HKZ2" s="87"/>
      <c r="HLB2" s="87"/>
      <c r="HLD2" s="87"/>
      <c r="HLF2" s="87"/>
      <c r="HLH2" s="87"/>
      <c r="HLJ2" s="87"/>
      <c r="HLL2" s="87"/>
      <c r="HLN2" s="87"/>
      <c r="HLP2" s="87"/>
      <c r="HLR2" s="87"/>
      <c r="HLT2" s="87"/>
      <c r="HLV2" s="87"/>
      <c r="HLX2" s="87"/>
      <c r="HLZ2" s="87"/>
      <c r="HMB2" s="87"/>
      <c r="HMD2" s="87"/>
      <c r="HMF2" s="87"/>
      <c r="HMH2" s="87"/>
      <c r="HMJ2" s="87"/>
      <c r="HML2" s="87"/>
      <c r="HMN2" s="87"/>
      <c r="HMP2" s="87"/>
      <c r="HMR2" s="87"/>
      <c r="HMT2" s="87"/>
      <c r="HMV2" s="87"/>
      <c r="HMX2" s="87"/>
      <c r="HMZ2" s="87"/>
      <c r="HNB2" s="87"/>
      <c r="HND2" s="87"/>
      <c r="HNF2" s="87"/>
      <c r="HNH2" s="87"/>
      <c r="HNJ2" s="87"/>
      <c r="HNL2" s="87"/>
      <c r="HNN2" s="87"/>
      <c r="HNP2" s="87"/>
      <c r="HNR2" s="87"/>
      <c r="HNT2" s="87"/>
      <c r="HNV2" s="87"/>
      <c r="HNX2" s="87"/>
      <c r="HNZ2" s="87"/>
      <c r="HOB2" s="87"/>
      <c r="HOD2" s="87"/>
      <c r="HOF2" s="87"/>
      <c r="HOH2" s="87"/>
      <c r="HOJ2" s="87"/>
      <c r="HOL2" s="87"/>
      <c r="HON2" s="87"/>
      <c r="HOP2" s="87"/>
      <c r="HOR2" s="87"/>
      <c r="HOT2" s="87"/>
      <c r="HOV2" s="87"/>
      <c r="HOX2" s="87"/>
      <c r="HOZ2" s="87"/>
      <c r="HPB2" s="87"/>
      <c r="HPD2" s="87"/>
      <c r="HPF2" s="87"/>
      <c r="HPH2" s="87"/>
      <c r="HPJ2" s="87"/>
      <c r="HPL2" s="87"/>
      <c r="HPN2" s="87"/>
      <c r="HPP2" s="87"/>
      <c r="HPR2" s="87"/>
      <c r="HPT2" s="87"/>
      <c r="HPV2" s="87"/>
      <c r="HPX2" s="87"/>
      <c r="HPZ2" s="87"/>
      <c r="HQB2" s="87"/>
      <c r="HQD2" s="87"/>
      <c r="HQF2" s="87"/>
      <c r="HQH2" s="87"/>
      <c r="HQJ2" s="87"/>
      <c r="HQL2" s="87"/>
      <c r="HQN2" s="87"/>
      <c r="HQP2" s="87"/>
      <c r="HQR2" s="87"/>
      <c r="HQT2" s="87"/>
      <c r="HQV2" s="87"/>
      <c r="HQX2" s="87"/>
      <c r="HQZ2" s="87"/>
      <c r="HRB2" s="87"/>
      <c r="HRD2" s="87"/>
      <c r="HRF2" s="87"/>
      <c r="HRH2" s="87"/>
      <c r="HRJ2" s="87"/>
      <c r="HRL2" s="87"/>
      <c r="HRN2" s="87"/>
      <c r="HRP2" s="87"/>
      <c r="HRR2" s="87"/>
      <c r="HRT2" s="87"/>
      <c r="HRV2" s="87"/>
      <c r="HRX2" s="87"/>
      <c r="HRZ2" s="87"/>
      <c r="HSB2" s="87"/>
      <c r="HSD2" s="87"/>
      <c r="HSF2" s="87"/>
      <c r="HSH2" s="87"/>
      <c r="HSJ2" s="87"/>
      <c r="HSL2" s="87"/>
      <c r="HSN2" s="87"/>
      <c r="HSP2" s="87"/>
      <c r="HSR2" s="87"/>
      <c r="HST2" s="87"/>
      <c r="HSV2" s="87"/>
      <c r="HSX2" s="87"/>
      <c r="HSZ2" s="87"/>
      <c r="HTB2" s="87"/>
      <c r="HTD2" s="87"/>
      <c r="HTF2" s="87"/>
      <c r="HTH2" s="87"/>
      <c r="HTJ2" s="87"/>
      <c r="HTL2" s="87"/>
      <c r="HTN2" s="87"/>
      <c r="HTP2" s="87"/>
      <c r="HTR2" s="87"/>
      <c r="HTT2" s="87"/>
      <c r="HTV2" s="87"/>
      <c r="HTX2" s="87"/>
      <c r="HTZ2" s="87"/>
      <c r="HUB2" s="87"/>
      <c r="HUD2" s="87"/>
      <c r="HUF2" s="87"/>
      <c r="HUH2" s="87"/>
      <c r="HUJ2" s="87"/>
      <c r="HUL2" s="87"/>
      <c r="HUN2" s="87"/>
      <c r="HUP2" s="87"/>
      <c r="HUR2" s="87"/>
      <c r="HUT2" s="87"/>
      <c r="HUV2" s="87"/>
      <c r="HUX2" s="87"/>
      <c r="HUZ2" s="87"/>
      <c r="HVB2" s="87"/>
      <c r="HVD2" s="87"/>
      <c r="HVF2" s="87"/>
      <c r="HVH2" s="87"/>
      <c r="HVJ2" s="87"/>
      <c r="HVL2" s="87"/>
      <c r="HVN2" s="87"/>
      <c r="HVP2" s="87"/>
      <c r="HVR2" s="87"/>
      <c r="HVT2" s="87"/>
      <c r="HVV2" s="87"/>
      <c r="HVX2" s="87"/>
      <c r="HVZ2" s="87"/>
      <c r="HWB2" s="87"/>
      <c r="HWD2" s="87"/>
      <c r="HWF2" s="87"/>
      <c r="HWH2" s="87"/>
      <c r="HWJ2" s="87"/>
      <c r="HWL2" s="87"/>
      <c r="HWN2" s="87"/>
      <c r="HWP2" s="87"/>
      <c r="HWR2" s="87"/>
      <c r="HWT2" s="87"/>
      <c r="HWV2" s="87"/>
      <c r="HWX2" s="87"/>
      <c r="HWZ2" s="87"/>
      <c r="HXB2" s="87"/>
      <c r="HXD2" s="87"/>
      <c r="HXF2" s="87"/>
      <c r="HXH2" s="87"/>
      <c r="HXJ2" s="87"/>
      <c r="HXL2" s="87"/>
      <c r="HXN2" s="87"/>
      <c r="HXP2" s="87"/>
      <c r="HXR2" s="87"/>
      <c r="HXT2" s="87"/>
      <c r="HXV2" s="87"/>
      <c r="HXX2" s="87"/>
      <c r="HXZ2" s="87"/>
      <c r="HYB2" s="87"/>
      <c r="HYD2" s="87"/>
      <c r="HYF2" s="87"/>
      <c r="HYH2" s="87"/>
      <c r="HYJ2" s="87"/>
      <c r="HYL2" s="87"/>
      <c r="HYN2" s="87"/>
      <c r="HYP2" s="87"/>
      <c r="HYR2" s="87"/>
      <c r="HYT2" s="87"/>
      <c r="HYV2" s="87"/>
      <c r="HYX2" s="87"/>
      <c r="HYZ2" s="87"/>
      <c r="HZB2" s="87"/>
      <c r="HZD2" s="87"/>
      <c r="HZF2" s="87"/>
      <c r="HZH2" s="87"/>
      <c r="HZJ2" s="87"/>
      <c r="HZL2" s="87"/>
      <c r="HZN2" s="87"/>
      <c r="HZP2" s="87"/>
      <c r="HZR2" s="87"/>
      <c r="HZT2" s="87"/>
      <c r="HZV2" s="87"/>
      <c r="HZX2" s="87"/>
      <c r="HZZ2" s="87"/>
      <c r="IAB2" s="87"/>
      <c r="IAD2" s="87"/>
      <c r="IAF2" s="87"/>
      <c r="IAH2" s="87"/>
      <c r="IAJ2" s="87"/>
      <c r="IAL2" s="87"/>
      <c r="IAN2" s="87"/>
      <c r="IAP2" s="87"/>
      <c r="IAR2" s="87"/>
      <c r="IAT2" s="87"/>
      <c r="IAV2" s="87"/>
      <c r="IAX2" s="87"/>
      <c r="IAZ2" s="87"/>
      <c r="IBB2" s="87"/>
      <c r="IBD2" s="87"/>
      <c r="IBF2" s="87"/>
      <c r="IBH2" s="87"/>
      <c r="IBJ2" s="87"/>
      <c r="IBL2" s="87"/>
      <c r="IBN2" s="87"/>
      <c r="IBP2" s="87"/>
      <c r="IBR2" s="87"/>
      <c r="IBT2" s="87"/>
      <c r="IBV2" s="87"/>
      <c r="IBX2" s="87"/>
      <c r="IBZ2" s="87"/>
      <c r="ICB2" s="87"/>
      <c r="ICD2" s="87"/>
      <c r="ICF2" s="87"/>
      <c r="ICH2" s="87"/>
      <c r="ICJ2" s="87"/>
      <c r="ICL2" s="87"/>
      <c r="ICN2" s="87"/>
      <c r="ICP2" s="87"/>
      <c r="ICR2" s="87"/>
      <c r="ICT2" s="87"/>
      <c r="ICV2" s="87"/>
      <c r="ICX2" s="87"/>
      <c r="ICZ2" s="87"/>
      <c r="IDB2" s="87"/>
      <c r="IDD2" s="87"/>
      <c r="IDF2" s="87"/>
      <c r="IDH2" s="87"/>
      <c r="IDJ2" s="87"/>
      <c r="IDL2" s="87"/>
      <c r="IDN2" s="87"/>
      <c r="IDP2" s="87"/>
      <c r="IDR2" s="87"/>
      <c r="IDT2" s="87"/>
      <c r="IDV2" s="87"/>
      <c r="IDX2" s="87"/>
      <c r="IDZ2" s="87"/>
      <c r="IEB2" s="87"/>
      <c r="IED2" s="87"/>
      <c r="IEF2" s="87"/>
      <c r="IEH2" s="87"/>
      <c r="IEJ2" s="87"/>
      <c r="IEL2" s="87"/>
      <c r="IEN2" s="87"/>
      <c r="IEP2" s="87"/>
      <c r="IER2" s="87"/>
      <c r="IET2" s="87"/>
      <c r="IEV2" s="87"/>
      <c r="IEX2" s="87"/>
      <c r="IEZ2" s="87"/>
      <c r="IFB2" s="87"/>
      <c r="IFD2" s="87"/>
      <c r="IFF2" s="87"/>
      <c r="IFH2" s="87"/>
      <c r="IFJ2" s="87"/>
      <c r="IFL2" s="87"/>
      <c r="IFN2" s="87"/>
      <c r="IFP2" s="87"/>
      <c r="IFR2" s="87"/>
      <c r="IFT2" s="87"/>
      <c r="IFV2" s="87"/>
      <c r="IFX2" s="87"/>
      <c r="IFZ2" s="87"/>
      <c r="IGB2" s="87"/>
      <c r="IGD2" s="87"/>
      <c r="IGF2" s="87"/>
      <c r="IGH2" s="87"/>
      <c r="IGJ2" s="87"/>
      <c r="IGL2" s="87"/>
      <c r="IGN2" s="87"/>
      <c r="IGP2" s="87"/>
      <c r="IGR2" s="87"/>
      <c r="IGT2" s="87"/>
      <c r="IGV2" s="87"/>
      <c r="IGX2" s="87"/>
      <c r="IGZ2" s="87"/>
      <c r="IHB2" s="87"/>
      <c r="IHD2" s="87"/>
      <c r="IHF2" s="87"/>
      <c r="IHH2" s="87"/>
      <c r="IHJ2" s="87"/>
      <c r="IHL2" s="87"/>
      <c r="IHN2" s="87"/>
      <c r="IHP2" s="87"/>
      <c r="IHR2" s="87"/>
      <c r="IHT2" s="87"/>
      <c r="IHV2" s="87"/>
      <c r="IHX2" s="87"/>
      <c r="IHZ2" s="87"/>
      <c r="IIB2" s="87"/>
      <c r="IID2" s="87"/>
      <c r="IIF2" s="87"/>
      <c r="IIH2" s="87"/>
      <c r="IIJ2" s="87"/>
      <c r="IIL2" s="87"/>
      <c r="IIN2" s="87"/>
      <c r="IIP2" s="87"/>
      <c r="IIR2" s="87"/>
      <c r="IIT2" s="87"/>
      <c r="IIV2" s="87"/>
      <c r="IIX2" s="87"/>
      <c r="IIZ2" s="87"/>
      <c r="IJB2" s="87"/>
      <c r="IJD2" s="87"/>
      <c r="IJF2" s="87"/>
      <c r="IJH2" s="87"/>
      <c r="IJJ2" s="87"/>
      <c r="IJL2" s="87"/>
      <c r="IJN2" s="87"/>
      <c r="IJP2" s="87"/>
      <c r="IJR2" s="87"/>
      <c r="IJT2" s="87"/>
      <c r="IJV2" s="87"/>
      <c r="IJX2" s="87"/>
      <c r="IJZ2" s="87"/>
      <c r="IKB2" s="87"/>
      <c r="IKD2" s="87"/>
      <c r="IKF2" s="87"/>
      <c r="IKH2" s="87"/>
      <c r="IKJ2" s="87"/>
      <c r="IKL2" s="87"/>
      <c r="IKN2" s="87"/>
      <c r="IKP2" s="87"/>
      <c r="IKR2" s="87"/>
      <c r="IKT2" s="87"/>
      <c r="IKV2" s="87"/>
      <c r="IKX2" s="87"/>
      <c r="IKZ2" s="87"/>
      <c r="ILB2" s="87"/>
      <c r="ILD2" s="87"/>
      <c r="ILF2" s="87"/>
      <c r="ILH2" s="87"/>
      <c r="ILJ2" s="87"/>
      <c r="ILL2" s="87"/>
      <c r="ILN2" s="87"/>
      <c r="ILP2" s="87"/>
      <c r="ILR2" s="87"/>
      <c r="ILT2" s="87"/>
      <c r="ILV2" s="87"/>
      <c r="ILX2" s="87"/>
      <c r="ILZ2" s="87"/>
      <c r="IMB2" s="87"/>
      <c r="IMD2" s="87"/>
      <c r="IMF2" s="87"/>
      <c r="IMH2" s="87"/>
      <c r="IMJ2" s="87"/>
      <c r="IML2" s="87"/>
      <c r="IMN2" s="87"/>
      <c r="IMP2" s="87"/>
      <c r="IMR2" s="87"/>
      <c r="IMT2" s="87"/>
      <c r="IMV2" s="87"/>
      <c r="IMX2" s="87"/>
      <c r="IMZ2" s="87"/>
      <c r="INB2" s="87"/>
      <c r="IND2" s="87"/>
      <c r="INF2" s="87"/>
      <c r="INH2" s="87"/>
      <c r="INJ2" s="87"/>
      <c r="INL2" s="87"/>
      <c r="INN2" s="87"/>
      <c r="INP2" s="87"/>
      <c r="INR2" s="87"/>
      <c r="INT2" s="87"/>
      <c r="INV2" s="87"/>
      <c r="INX2" s="87"/>
      <c r="INZ2" s="87"/>
      <c r="IOB2" s="87"/>
      <c r="IOD2" s="87"/>
      <c r="IOF2" s="87"/>
      <c r="IOH2" s="87"/>
      <c r="IOJ2" s="87"/>
      <c r="IOL2" s="87"/>
      <c r="ION2" s="87"/>
      <c r="IOP2" s="87"/>
      <c r="IOR2" s="87"/>
      <c r="IOT2" s="87"/>
      <c r="IOV2" s="87"/>
      <c r="IOX2" s="87"/>
      <c r="IOZ2" s="87"/>
      <c r="IPB2" s="87"/>
      <c r="IPD2" s="87"/>
      <c r="IPF2" s="87"/>
      <c r="IPH2" s="87"/>
      <c r="IPJ2" s="87"/>
      <c r="IPL2" s="87"/>
      <c r="IPN2" s="87"/>
      <c r="IPP2" s="87"/>
      <c r="IPR2" s="87"/>
      <c r="IPT2" s="87"/>
      <c r="IPV2" s="87"/>
      <c r="IPX2" s="87"/>
      <c r="IPZ2" s="87"/>
      <c r="IQB2" s="87"/>
      <c r="IQD2" s="87"/>
      <c r="IQF2" s="87"/>
      <c r="IQH2" s="87"/>
      <c r="IQJ2" s="87"/>
      <c r="IQL2" s="87"/>
      <c r="IQN2" s="87"/>
      <c r="IQP2" s="87"/>
      <c r="IQR2" s="87"/>
      <c r="IQT2" s="87"/>
      <c r="IQV2" s="87"/>
      <c r="IQX2" s="87"/>
      <c r="IQZ2" s="87"/>
      <c r="IRB2" s="87"/>
      <c r="IRD2" s="87"/>
      <c r="IRF2" s="87"/>
      <c r="IRH2" s="87"/>
      <c r="IRJ2" s="87"/>
      <c r="IRL2" s="87"/>
      <c r="IRN2" s="87"/>
      <c r="IRP2" s="87"/>
      <c r="IRR2" s="87"/>
      <c r="IRT2" s="87"/>
      <c r="IRV2" s="87"/>
      <c r="IRX2" s="87"/>
      <c r="IRZ2" s="87"/>
      <c r="ISB2" s="87"/>
      <c r="ISD2" s="87"/>
      <c r="ISF2" s="87"/>
      <c r="ISH2" s="87"/>
      <c r="ISJ2" s="87"/>
      <c r="ISL2" s="87"/>
      <c r="ISN2" s="87"/>
      <c r="ISP2" s="87"/>
      <c r="ISR2" s="87"/>
      <c r="IST2" s="87"/>
      <c r="ISV2" s="87"/>
      <c r="ISX2" s="87"/>
      <c r="ISZ2" s="87"/>
      <c r="ITB2" s="87"/>
      <c r="ITD2" s="87"/>
      <c r="ITF2" s="87"/>
      <c r="ITH2" s="87"/>
      <c r="ITJ2" s="87"/>
      <c r="ITL2" s="87"/>
      <c r="ITN2" s="87"/>
      <c r="ITP2" s="87"/>
      <c r="ITR2" s="87"/>
      <c r="ITT2" s="87"/>
      <c r="ITV2" s="87"/>
      <c r="ITX2" s="87"/>
      <c r="ITZ2" s="87"/>
      <c r="IUB2" s="87"/>
      <c r="IUD2" s="87"/>
      <c r="IUF2" s="87"/>
      <c r="IUH2" s="87"/>
      <c r="IUJ2" s="87"/>
      <c r="IUL2" s="87"/>
      <c r="IUN2" s="87"/>
      <c r="IUP2" s="87"/>
      <c r="IUR2" s="87"/>
      <c r="IUT2" s="87"/>
      <c r="IUV2" s="87"/>
      <c r="IUX2" s="87"/>
      <c r="IUZ2" s="87"/>
      <c r="IVB2" s="87"/>
      <c r="IVD2" s="87"/>
      <c r="IVF2" s="87"/>
      <c r="IVH2" s="87"/>
      <c r="IVJ2" s="87"/>
      <c r="IVL2" s="87"/>
      <c r="IVN2" s="87"/>
      <c r="IVP2" s="87"/>
      <c r="IVR2" s="87"/>
      <c r="IVT2" s="87"/>
      <c r="IVV2" s="87"/>
      <c r="IVX2" s="87"/>
      <c r="IVZ2" s="87"/>
      <c r="IWB2" s="87"/>
      <c r="IWD2" s="87"/>
      <c r="IWF2" s="87"/>
      <c r="IWH2" s="87"/>
      <c r="IWJ2" s="87"/>
      <c r="IWL2" s="87"/>
      <c r="IWN2" s="87"/>
      <c r="IWP2" s="87"/>
      <c r="IWR2" s="87"/>
      <c r="IWT2" s="87"/>
      <c r="IWV2" s="87"/>
      <c r="IWX2" s="87"/>
      <c r="IWZ2" s="87"/>
      <c r="IXB2" s="87"/>
      <c r="IXD2" s="87"/>
      <c r="IXF2" s="87"/>
      <c r="IXH2" s="87"/>
      <c r="IXJ2" s="87"/>
      <c r="IXL2" s="87"/>
      <c r="IXN2" s="87"/>
      <c r="IXP2" s="87"/>
      <c r="IXR2" s="87"/>
      <c r="IXT2" s="87"/>
      <c r="IXV2" s="87"/>
      <c r="IXX2" s="87"/>
      <c r="IXZ2" s="87"/>
      <c r="IYB2" s="87"/>
      <c r="IYD2" s="87"/>
      <c r="IYF2" s="87"/>
      <c r="IYH2" s="87"/>
      <c r="IYJ2" s="87"/>
      <c r="IYL2" s="87"/>
      <c r="IYN2" s="87"/>
      <c r="IYP2" s="87"/>
      <c r="IYR2" s="87"/>
      <c r="IYT2" s="87"/>
      <c r="IYV2" s="87"/>
      <c r="IYX2" s="87"/>
      <c r="IYZ2" s="87"/>
      <c r="IZB2" s="87"/>
      <c r="IZD2" s="87"/>
      <c r="IZF2" s="87"/>
      <c r="IZH2" s="87"/>
      <c r="IZJ2" s="87"/>
      <c r="IZL2" s="87"/>
      <c r="IZN2" s="87"/>
      <c r="IZP2" s="87"/>
      <c r="IZR2" s="87"/>
      <c r="IZT2" s="87"/>
      <c r="IZV2" s="87"/>
      <c r="IZX2" s="87"/>
      <c r="IZZ2" s="87"/>
      <c r="JAB2" s="87"/>
      <c r="JAD2" s="87"/>
      <c r="JAF2" s="87"/>
      <c r="JAH2" s="87"/>
      <c r="JAJ2" s="87"/>
      <c r="JAL2" s="87"/>
      <c r="JAN2" s="87"/>
      <c r="JAP2" s="87"/>
      <c r="JAR2" s="87"/>
      <c r="JAT2" s="87"/>
      <c r="JAV2" s="87"/>
      <c r="JAX2" s="87"/>
      <c r="JAZ2" s="87"/>
      <c r="JBB2" s="87"/>
      <c r="JBD2" s="87"/>
      <c r="JBF2" s="87"/>
      <c r="JBH2" s="87"/>
      <c r="JBJ2" s="87"/>
      <c r="JBL2" s="87"/>
      <c r="JBN2" s="87"/>
      <c r="JBP2" s="87"/>
      <c r="JBR2" s="87"/>
      <c r="JBT2" s="87"/>
      <c r="JBV2" s="87"/>
      <c r="JBX2" s="87"/>
      <c r="JBZ2" s="87"/>
      <c r="JCB2" s="87"/>
      <c r="JCD2" s="87"/>
      <c r="JCF2" s="87"/>
      <c r="JCH2" s="87"/>
      <c r="JCJ2" s="87"/>
      <c r="JCL2" s="87"/>
      <c r="JCN2" s="87"/>
      <c r="JCP2" s="87"/>
      <c r="JCR2" s="87"/>
      <c r="JCT2" s="87"/>
      <c r="JCV2" s="87"/>
      <c r="JCX2" s="87"/>
      <c r="JCZ2" s="87"/>
      <c r="JDB2" s="87"/>
      <c r="JDD2" s="87"/>
      <c r="JDF2" s="87"/>
      <c r="JDH2" s="87"/>
      <c r="JDJ2" s="87"/>
      <c r="JDL2" s="87"/>
      <c r="JDN2" s="87"/>
      <c r="JDP2" s="87"/>
      <c r="JDR2" s="87"/>
      <c r="JDT2" s="87"/>
      <c r="JDV2" s="87"/>
      <c r="JDX2" s="87"/>
      <c r="JDZ2" s="87"/>
      <c r="JEB2" s="87"/>
      <c r="JED2" s="87"/>
      <c r="JEF2" s="87"/>
      <c r="JEH2" s="87"/>
      <c r="JEJ2" s="87"/>
      <c r="JEL2" s="87"/>
      <c r="JEN2" s="87"/>
      <c r="JEP2" s="87"/>
      <c r="JER2" s="87"/>
      <c r="JET2" s="87"/>
      <c r="JEV2" s="87"/>
      <c r="JEX2" s="87"/>
      <c r="JEZ2" s="87"/>
      <c r="JFB2" s="87"/>
      <c r="JFD2" s="87"/>
      <c r="JFF2" s="87"/>
      <c r="JFH2" s="87"/>
      <c r="JFJ2" s="87"/>
      <c r="JFL2" s="87"/>
      <c r="JFN2" s="87"/>
      <c r="JFP2" s="87"/>
      <c r="JFR2" s="87"/>
      <c r="JFT2" s="87"/>
      <c r="JFV2" s="87"/>
      <c r="JFX2" s="87"/>
      <c r="JFZ2" s="87"/>
      <c r="JGB2" s="87"/>
      <c r="JGD2" s="87"/>
      <c r="JGF2" s="87"/>
      <c r="JGH2" s="87"/>
      <c r="JGJ2" s="87"/>
      <c r="JGL2" s="87"/>
      <c r="JGN2" s="87"/>
      <c r="JGP2" s="87"/>
      <c r="JGR2" s="87"/>
      <c r="JGT2" s="87"/>
      <c r="JGV2" s="87"/>
      <c r="JGX2" s="87"/>
      <c r="JGZ2" s="87"/>
      <c r="JHB2" s="87"/>
      <c r="JHD2" s="87"/>
      <c r="JHF2" s="87"/>
      <c r="JHH2" s="87"/>
      <c r="JHJ2" s="87"/>
      <c r="JHL2" s="87"/>
      <c r="JHN2" s="87"/>
      <c r="JHP2" s="87"/>
      <c r="JHR2" s="87"/>
      <c r="JHT2" s="87"/>
      <c r="JHV2" s="87"/>
      <c r="JHX2" s="87"/>
      <c r="JHZ2" s="87"/>
      <c r="JIB2" s="87"/>
      <c r="JID2" s="87"/>
      <c r="JIF2" s="87"/>
      <c r="JIH2" s="87"/>
      <c r="JIJ2" s="87"/>
      <c r="JIL2" s="87"/>
      <c r="JIN2" s="87"/>
      <c r="JIP2" s="87"/>
      <c r="JIR2" s="87"/>
      <c r="JIT2" s="87"/>
      <c r="JIV2" s="87"/>
      <c r="JIX2" s="87"/>
      <c r="JIZ2" s="87"/>
      <c r="JJB2" s="87"/>
      <c r="JJD2" s="87"/>
      <c r="JJF2" s="87"/>
      <c r="JJH2" s="87"/>
      <c r="JJJ2" s="87"/>
      <c r="JJL2" s="87"/>
      <c r="JJN2" s="87"/>
      <c r="JJP2" s="87"/>
      <c r="JJR2" s="87"/>
      <c r="JJT2" s="87"/>
      <c r="JJV2" s="87"/>
      <c r="JJX2" s="87"/>
      <c r="JJZ2" s="87"/>
      <c r="JKB2" s="87"/>
      <c r="JKD2" s="87"/>
      <c r="JKF2" s="87"/>
      <c r="JKH2" s="87"/>
      <c r="JKJ2" s="87"/>
      <c r="JKL2" s="87"/>
      <c r="JKN2" s="87"/>
      <c r="JKP2" s="87"/>
      <c r="JKR2" s="87"/>
      <c r="JKT2" s="87"/>
      <c r="JKV2" s="87"/>
      <c r="JKX2" s="87"/>
      <c r="JKZ2" s="87"/>
      <c r="JLB2" s="87"/>
      <c r="JLD2" s="87"/>
      <c r="JLF2" s="87"/>
      <c r="JLH2" s="87"/>
      <c r="JLJ2" s="87"/>
      <c r="JLL2" s="87"/>
      <c r="JLN2" s="87"/>
      <c r="JLP2" s="87"/>
      <c r="JLR2" s="87"/>
      <c r="JLT2" s="87"/>
      <c r="JLV2" s="87"/>
      <c r="JLX2" s="87"/>
      <c r="JLZ2" s="87"/>
      <c r="JMB2" s="87"/>
      <c r="JMD2" s="87"/>
      <c r="JMF2" s="87"/>
      <c r="JMH2" s="87"/>
      <c r="JMJ2" s="87"/>
      <c r="JML2" s="87"/>
      <c r="JMN2" s="87"/>
      <c r="JMP2" s="87"/>
      <c r="JMR2" s="87"/>
      <c r="JMT2" s="87"/>
      <c r="JMV2" s="87"/>
      <c r="JMX2" s="87"/>
      <c r="JMZ2" s="87"/>
      <c r="JNB2" s="87"/>
      <c r="JND2" s="87"/>
      <c r="JNF2" s="87"/>
      <c r="JNH2" s="87"/>
      <c r="JNJ2" s="87"/>
      <c r="JNL2" s="87"/>
      <c r="JNN2" s="87"/>
      <c r="JNP2" s="87"/>
      <c r="JNR2" s="87"/>
      <c r="JNT2" s="87"/>
      <c r="JNV2" s="87"/>
      <c r="JNX2" s="87"/>
      <c r="JNZ2" s="87"/>
      <c r="JOB2" s="87"/>
      <c r="JOD2" s="87"/>
      <c r="JOF2" s="87"/>
      <c r="JOH2" s="87"/>
      <c r="JOJ2" s="87"/>
      <c r="JOL2" s="87"/>
      <c r="JON2" s="87"/>
      <c r="JOP2" s="87"/>
      <c r="JOR2" s="87"/>
      <c r="JOT2" s="87"/>
      <c r="JOV2" s="87"/>
      <c r="JOX2" s="87"/>
      <c r="JOZ2" s="87"/>
      <c r="JPB2" s="87"/>
      <c r="JPD2" s="87"/>
      <c r="JPF2" s="87"/>
      <c r="JPH2" s="87"/>
      <c r="JPJ2" s="87"/>
      <c r="JPL2" s="87"/>
      <c r="JPN2" s="87"/>
      <c r="JPP2" s="87"/>
      <c r="JPR2" s="87"/>
      <c r="JPT2" s="87"/>
      <c r="JPV2" s="87"/>
      <c r="JPX2" s="87"/>
      <c r="JPZ2" s="87"/>
      <c r="JQB2" s="87"/>
      <c r="JQD2" s="87"/>
      <c r="JQF2" s="87"/>
      <c r="JQH2" s="87"/>
      <c r="JQJ2" s="87"/>
      <c r="JQL2" s="87"/>
      <c r="JQN2" s="87"/>
      <c r="JQP2" s="87"/>
      <c r="JQR2" s="87"/>
      <c r="JQT2" s="87"/>
      <c r="JQV2" s="87"/>
      <c r="JQX2" s="87"/>
      <c r="JQZ2" s="87"/>
      <c r="JRB2" s="87"/>
      <c r="JRD2" s="87"/>
      <c r="JRF2" s="87"/>
      <c r="JRH2" s="87"/>
      <c r="JRJ2" s="87"/>
      <c r="JRL2" s="87"/>
      <c r="JRN2" s="87"/>
      <c r="JRP2" s="87"/>
      <c r="JRR2" s="87"/>
      <c r="JRT2" s="87"/>
      <c r="JRV2" s="87"/>
      <c r="JRX2" s="87"/>
      <c r="JRZ2" s="87"/>
      <c r="JSB2" s="87"/>
      <c r="JSD2" s="87"/>
      <c r="JSF2" s="87"/>
      <c r="JSH2" s="87"/>
      <c r="JSJ2" s="87"/>
      <c r="JSL2" s="87"/>
      <c r="JSN2" s="87"/>
      <c r="JSP2" s="87"/>
      <c r="JSR2" s="87"/>
      <c r="JST2" s="87"/>
      <c r="JSV2" s="87"/>
      <c r="JSX2" s="87"/>
      <c r="JSZ2" s="87"/>
      <c r="JTB2" s="87"/>
      <c r="JTD2" s="87"/>
      <c r="JTF2" s="87"/>
      <c r="JTH2" s="87"/>
      <c r="JTJ2" s="87"/>
      <c r="JTL2" s="87"/>
      <c r="JTN2" s="87"/>
      <c r="JTP2" s="87"/>
      <c r="JTR2" s="87"/>
      <c r="JTT2" s="87"/>
      <c r="JTV2" s="87"/>
      <c r="JTX2" s="87"/>
      <c r="JTZ2" s="87"/>
      <c r="JUB2" s="87"/>
      <c r="JUD2" s="87"/>
      <c r="JUF2" s="87"/>
      <c r="JUH2" s="87"/>
      <c r="JUJ2" s="87"/>
      <c r="JUL2" s="87"/>
      <c r="JUN2" s="87"/>
      <c r="JUP2" s="87"/>
      <c r="JUR2" s="87"/>
      <c r="JUT2" s="87"/>
      <c r="JUV2" s="87"/>
      <c r="JUX2" s="87"/>
      <c r="JUZ2" s="87"/>
      <c r="JVB2" s="87"/>
      <c r="JVD2" s="87"/>
      <c r="JVF2" s="87"/>
      <c r="JVH2" s="87"/>
      <c r="JVJ2" s="87"/>
      <c r="JVL2" s="87"/>
      <c r="JVN2" s="87"/>
      <c r="JVP2" s="87"/>
      <c r="JVR2" s="87"/>
      <c r="JVT2" s="87"/>
      <c r="JVV2" s="87"/>
      <c r="JVX2" s="87"/>
      <c r="JVZ2" s="87"/>
      <c r="JWB2" s="87"/>
      <c r="JWD2" s="87"/>
      <c r="JWF2" s="87"/>
      <c r="JWH2" s="87"/>
      <c r="JWJ2" s="87"/>
      <c r="JWL2" s="87"/>
      <c r="JWN2" s="87"/>
      <c r="JWP2" s="87"/>
      <c r="JWR2" s="87"/>
      <c r="JWT2" s="87"/>
      <c r="JWV2" s="87"/>
      <c r="JWX2" s="87"/>
      <c r="JWZ2" s="87"/>
      <c r="JXB2" s="87"/>
      <c r="JXD2" s="87"/>
      <c r="JXF2" s="87"/>
      <c r="JXH2" s="87"/>
      <c r="JXJ2" s="87"/>
      <c r="JXL2" s="87"/>
      <c r="JXN2" s="87"/>
      <c r="JXP2" s="87"/>
      <c r="JXR2" s="87"/>
      <c r="JXT2" s="87"/>
      <c r="JXV2" s="87"/>
      <c r="JXX2" s="87"/>
      <c r="JXZ2" s="87"/>
      <c r="JYB2" s="87"/>
      <c r="JYD2" s="87"/>
      <c r="JYF2" s="87"/>
      <c r="JYH2" s="87"/>
      <c r="JYJ2" s="87"/>
      <c r="JYL2" s="87"/>
      <c r="JYN2" s="87"/>
      <c r="JYP2" s="87"/>
      <c r="JYR2" s="87"/>
      <c r="JYT2" s="87"/>
      <c r="JYV2" s="87"/>
      <c r="JYX2" s="87"/>
      <c r="JYZ2" s="87"/>
      <c r="JZB2" s="87"/>
      <c r="JZD2" s="87"/>
      <c r="JZF2" s="87"/>
      <c r="JZH2" s="87"/>
      <c r="JZJ2" s="87"/>
      <c r="JZL2" s="87"/>
      <c r="JZN2" s="87"/>
      <c r="JZP2" s="87"/>
      <c r="JZR2" s="87"/>
      <c r="JZT2" s="87"/>
      <c r="JZV2" s="87"/>
      <c r="JZX2" s="87"/>
      <c r="JZZ2" s="87"/>
      <c r="KAB2" s="87"/>
      <c r="KAD2" s="87"/>
      <c r="KAF2" s="87"/>
      <c r="KAH2" s="87"/>
      <c r="KAJ2" s="87"/>
      <c r="KAL2" s="87"/>
      <c r="KAN2" s="87"/>
      <c r="KAP2" s="87"/>
      <c r="KAR2" s="87"/>
      <c r="KAT2" s="87"/>
      <c r="KAV2" s="87"/>
      <c r="KAX2" s="87"/>
      <c r="KAZ2" s="87"/>
      <c r="KBB2" s="87"/>
      <c r="KBD2" s="87"/>
      <c r="KBF2" s="87"/>
      <c r="KBH2" s="87"/>
      <c r="KBJ2" s="87"/>
      <c r="KBL2" s="87"/>
      <c r="KBN2" s="87"/>
      <c r="KBP2" s="87"/>
      <c r="KBR2" s="87"/>
      <c r="KBT2" s="87"/>
      <c r="KBV2" s="87"/>
      <c r="KBX2" s="87"/>
      <c r="KBZ2" s="87"/>
      <c r="KCB2" s="87"/>
      <c r="KCD2" s="87"/>
      <c r="KCF2" s="87"/>
      <c r="KCH2" s="87"/>
      <c r="KCJ2" s="87"/>
      <c r="KCL2" s="87"/>
      <c r="KCN2" s="87"/>
      <c r="KCP2" s="87"/>
      <c r="KCR2" s="87"/>
      <c r="KCT2" s="87"/>
      <c r="KCV2" s="87"/>
      <c r="KCX2" s="87"/>
      <c r="KCZ2" s="87"/>
      <c r="KDB2" s="87"/>
      <c r="KDD2" s="87"/>
      <c r="KDF2" s="87"/>
      <c r="KDH2" s="87"/>
      <c r="KDJ2" s="87"/>
      <c r="KDL2" s="87"/>
      <c r="KDN2" s="87"/>
      <c r="KDP2" s="87"/>
      <c r="KDR2" s="87"/>
      <c r="KDT2" s="87"/>
      <c r="KDV2" s="87"/>
      <c r="KDX2" s="87"/>
      <c r="KDZ2" s="87"/>
      <c r="KEB2" s="87"/>
      <c r="KED2" s="87"/>
      <c r="KEF2" s="87"/>
      <c r="KEH2" s="87"/>
      <c r="KEJ2" s="87"/>
      <c r="KEL2" s="87"/>
      <c r="KEN2" s="87"/>
      <c r="KEP2" s="87"/>
      <c r="KER2" s="87"/>
      <c r="KET2" s="87"/>
      <c r="KEV2" s="87"/>
      <c r="KEX2" s="87"/>
      <c r="KEZ2" s="87"/>
      <c r="KFB2" s="87"/>
      <c r="KFD2" s="87"/>
      <c r="KFF2" s="87"/>
      <c r="KFH2" s="87"/>
      <c r="KFJ2" s="87"/>
      <c r="KFL2" s="87"/>
      <c r="KFN2" s="87"/>
      <c r="KFP2" s="87"/>
      <c r="KFR2" s="87"/>
      <c r="KFT2" s="87"/>
      <c r="KFV2" s="87"/>
      <c r="KFX2" s="87"/>
      <c r="KFZ2" s="87"/>
      <c r="KGB2" s="87"/>
      <c r="KGD2" s="87"/>
      <c r="KGF2" s="87"/>
      <c r="KGH2" s="87"/>
      <c r="KGJ2" s="87"/>
      <c r="KGL2" s="87"/>
      <c r="KGN2" s="87"/>
      <c r="KGP2" s="87"/>
      <c r="KGR2" s="87"/>
      <c r="KGT2" s="87"/>
      <c r="KGV2" s="87"/>
      <c r="KGX2" s="87"/>
      <c r="KGZ2" s="87"/>
      <c r="KHB2" s="87"/>
      <c r="KHD2" s="87"/>
      <c r="KHF2" s="87"/>
      <c r="KHH2" s="87"/>
      <c r="KHJ2" s="87"/>
      <c r="KHL2" s="87"/>
      <c r="KHN2" s="87"/>
      <c r="KHP2" s="87"/>
      <c r="KHR2" s="87"/>
      <c r="KHT2" s="87"/>
      <c r="KHV2" s="87"/>
      <c r="KHX2" s="87"/>
      <c r="KHZ2" s="87"/>
      <c r="KIB2" s="87"/>
      <c r="KID2" s="87"/>
      <c r="KIF2" s="87"/>
      <c r="KIH2" s="87"/>
      <c r="KIJ2" s="87"/>
      <c r="KIL2" s="87"/>
      <c r="KIN2" s="87"/>
      <c r="KIP2" s="87"/>
      <c r="KIR2" s="87"/>
      <c r="KIT2" s="87"/>
      <c r="KIV2" s="87"/>
      <c r="KIX2" s="87"/>
      <c r="KIZ2" s="87"/>
      <c r="KJB2" s="87"/>
      <c r="KJD2" s="87"/>
      <c r="KJF2" s="87"/>
      <c r="KJH2" s="87"/>
      <c r="KJJ2" s="87"/>
      <c r="KJL2" s="87"/>
      <c r="KJN2" s="87"/>
      <c r="KJP2" s="87"/>
      <c r="KJR2" s="87"/>
      <c r="KJT2" s="87"/>
      <c r="KJV2" s="87"/>
      <c r="KJX2" s="87"/>
      <c r="KJZ2" s="87"/>
      <c r="KKB2" s="87"/>
      <c r="KKD2" s="87"/>
      <c r="KKF2" s="87"/>
      <c r="KKH2" s="87"/>
      <c r="KKJ2" s="87"/>
      <c r="KKL2" s="87"/>
      <c r="KKN2" s="87"/>
      <c r="KKP2" s="87"/>
      <c r="KKR2" s="87"/>
      <c r="KKT2" s="87"/>
      <c r="KKV2" s="87"/>
      <c r="KKX2" s="87"/>
      <c r="KKZ2" s="87"/>
      <c r="KLB2" s="87"/>
      <c r="KLD2" s="87"/>
      <c r="KLF2" s="87"/>
      <c r="KLH2" s="87"/>
      <c r="KLJ2" s="87"/>
      <c r="KLL2" s="87"/>
      <c r="KLN2" s="87"/>
      <c r="KLP2" s="87"/>
      <c r="KLR2" s="87"/>
      <c r="KLT2" s="87"/>
      <c r="KLV2" s="87"/>
      <c r="KLX2" s="87"/>
      <c r="KLZ2" s="87"/>
      <c r="KMB2" s="87"/>
      <c r="KMD2" s="87"/>
      <c r="KMF2" s="87"/>
      <c r="KMH2" s="87"/>
      <c r="KMJ2" s="87"/>
      <c r="KML2" s="87"/>
      <c r="KMN2" s="87"/>
      <c r="KMP2" s="87"/>
      <c r="KMR2" s="87"/>
      <c r="KMT2" s="87"/>
      <c r="KMV2" s="87"/>
      <c r="KMX2" s="87"/>
      <c r="KMZ2" s="87"/>
      <c r="KNB2" s="87"/>
      <c r="KND2" s="87"/>
      <c r="KNF2" s="87"/>
      <c r="KNH2" s="87"/>
      <c r="KNJ2" s="87"/>
      <c r="KNL2" s="87"/>
      <c r="KNN2" s="87"/>
      <c r="KNP2" s="87"/>
      <c r="KNR2" s="87"/>
      <c r="KNT2" s="87"/>
      <c r="KNV2" s="87"/>
      <c r="KNX2" s="87"/>
      <c r="KNZ2" s="87"/>
      <c r="KOB2" s="87"/>
      <c r="KOD2" s="87"/>
      <c r="KOF2" s="87"/>
      <c r="KOH2" s="87"/>
      <c r="KOJ2" s="87"/>
      <c r="KOL2" s="87"/>
      <c r="KON2" s="87"/>
      <c r="KOP2" s="87"/>
      <c r="KOR2" s="87"/>
      <c r="KOT2" s="87"/>
      <c r="KOV2" s="87"/>
      <c r="KOX2" s="87"/>
      <c r="KOZ2" s="87"/>
      <c r="KPB2" s="87"/>
      <c r="KPD2" s="87"/>
      <c r="KPF2" s="87"/>
      <c r="KPH2" s="87"/>
      <c r="KPJ2" s="87"/>
      <c r="KPL2" s="87"/>
      <c r="KPN2" s="87"/>
      <c r="KPP2" s="87"/>
      <c r="KPR2" s="87"/>
      <c r="KPT2" s="87"/>
      <c r="KPV2" s="87"/>
      <c r="KPX2" s="87"/>
      <c r="KPZ2" s="87"/>
      <c r="KQB2" s="87"/>
      <c r="KQD2" s="87"/>
      <c r="KQF2" s="87"/>
      <c r="KQH2" s="87"/>
      <c r="KQJ2" s="87"/>
      <c r="KQL2" s="87"/>
      <c r="KQN2" s="87"/>
      <c r="KQP2" s="87"/>
      <c r="KQR2" s="87"/>
      <c r="KQT2" s="87"/>
      <c r="KQV2" s="87"/>
      <c r="KQX2" s="87"/>
      <c r="KQZ2" s="87"/>
      <c r="KRB2" s="87"/>
      <c r="KRD2" s="87"/>
      <c r="KRF2" s="87"/>
      <c r="KRH2" s="87"/>
      <c r="KRJ2" s="87"/>
      <c r="KRL2" s="87"/>
      <c r="KRN2" s="87"/>
      <c r="KRP2" s="87"/>
      <c r="KRR2" s="87"/>
      <c r="KRT2" s="87"/>
      <c r="KRV2" s="87"/>
      <c r="KRX2" s="87"/>
      <c r="KRZ2" s="87"/>
      <c r="KSB2" s="87"/>
      <c r="KSD2" s="87"/>
      <c r="KSF2" s="87"/>
      <c r="KSH2" s="87"/>
      <c r="KSJ2" s="87"/>
      <c r="KSL2" s="87"/>
      <c r="KSN2" s="87"/>
      <c r="KSP2" s="87"/>
      <c r="KSR2" s="87"/>
      <c r="KST2" s="87"/>
      <c r="KSV2" s="87"/>
      <c r="KSX2" s="87"/>
      <c r="KSZ2" s="87"/>
      <c r="KTB2" s="87"/>
      <c r="KTD2" s="87"/>
      <c r="KTF2" s="87"/>
      <c r="KTH2" s="87"/>
      <c r="KTJ2" s="87"/>
      <c r="KTL2" s="87"/>
      <c r="KTN2" s="87"/>
      <c r="KTP2" s="87"/>
      <c r="KTR2" s="87"/>
      <c r="KTT2" s="87"/>
      <c r="KTV2" s="87"/>
      <c r="KTX2" s="87"/>
      <c r="KTZ2" s="87"/>
      <c r="KUB2" s="87"/>
      <c r="KUD2" s="87"/>
      <c r="KUF2" s="87"/>
      <c r="KUH2" s="87"/>
      <c r="KUJ2" s="87"/>
      <c r="KUL2" s="87"/>
      <c r="KUN2" s="87"/>
      <c r="KUP2" s="87"/>
      <c r="KUR2" s="87"/>
      <c r="KUT2" s="87"/>
      <c r="KUV2" s="87"/>
      <c r="KUX2" s="87"/>
      <c r="KUZ2" s="87"/>
      <c r="KVB2" s="87"/>
      <c r="KVD2" s="87"/>
      <c r="KVF2" s="87"/>
      <c r="KVH2" s="87"/>
      <c r="KVJ2" s="87"/>
      <c r="KVL2" s="87"/>
      <c r="KVN2" s="87"/>
      <c r="KVP2" s="87"/>
      <c r="KVR2" s="87"/>
      <c r="KVT2" s="87"/>
      <c r="KVV2" s="87"/>
      <c r="KVX2" s="87"/>
      <c r="KVZ2" s="87"/>
      <c r="KWB2" s="87"/>
      <c r="KWD2" s="87"/>
      <c r="KWF2" s="87"/>
      <c r="KWH2" s="87"/>
      <c r="KWJ2" s="87"/>
      <c r="KWL2" s="87"/>
      <c r="KWN2" s="87"/>
      <c r="KWP2" s="87"/>
      <c r="KWR2" s="87"/>
      <c r="KWT2" s="87"/>
      <c r="KWV2" s="87"/>
      <c r="KWX2" s="87"/>
      <c r="KWZ2" s="87"/>
      <c r="KXB2" s="87"/>
      <c r="KXD2" s="87"/>
      <c r="KXF2" s="87"/>
      <c r="KXH2" s="87"/>
      <c r="KXJ2" s="87"/>
      <c r="KXL2" s="87"/>
      <c r="KXN2" s="87"/>
      <c r="KXP2" s="87"/>
      <c r="KXR2" s="87"/>
      <c r="KXT2" s="87"/>
      <c r="KXV2" s="87"/>
      <c r="KXX2" s="87"/>
      <c r="KXZ2" s="87"/>
      <c r="KYB2" s="87"/>
      <c r="KYD2" s="87"/>
      <c r="KYF2" s="87"/>
      <c r="KYH2" s="87"/>
      <c r="KYJ2" s="87"/>
      <c r="KYL2" s="87"/>
      <c r="KYN2" s="87"/>
      <c r="KYP2" s="87"/>
      <c r="KYR2" s="87"/>
      <c r="KYT2" s="87"/>
      <c r="KYV2" s="87"/>
      <c r="KYX2" s="87"/>
      <c r="KYZ2" s="87"/>
      <c r="KZB2" s="87"/>
      <c r="KZD2" s="87"/>
      <c r="KZF2" s="87"/>
      <c r="KZH2" s="87"/>
      <c r="KZJ2" s="87"/>
      <c r="KZL2" s="87"/>
      <c r="KZN2" s="87"/>
      <c r="KZP2" s="87"/>
      <c r="KZR2" s="87"/>
      <c r="KZT2" s="87"/>
      <c r="KZV2" s="87"/>
      <c r="KZX2" s="87"/>
      <c r="KZZ2" s="87"/>
      <c r="LAB2" s="87"/>
      <c r="LAD2" s="87"/>
      <c r="LAF2" s="87"/>
      <c r="LAH2" s="87"/>
      <c r="LAJ2" s="87"/>
      <c r="LAL2" s="87"/>
      <c r="LAN2" s="87"/>
      <c r="LAP2" s="87"/>
      <c r="LAR2" s="87"/>
      <c r="LAT2" s="87"/>
      <c r="LAV2" s="87"/>
      <c r="LAX2" s="87"/>
      <c r="LAZ2" s="87"/>
      <c r="LBB2" s="87"/>
      <c r="LBD2" s="87"/>
      <c r="LBF2" s="87"/>
      <c r="LBH2" s="87"/>
      <c r="LBJ2" s="87"/>
      <c r="LBL2" s="87"/>
      <c r="LBN2" s="87"/>
      <c r="LBP2" s="87"/>
      <c r="LBR2" s="87"/>
      <c r="LBT2" s="87"/>
      <c r="LBV2" s="87"/>
      <c r="LBX2" s="87"/>
      <c r="LBZ2" s="87"/>
      <c r="LCB2" s="87"/>
      <c r="LCD2" s="87"/>
      <c r="LCF2" s="87"/>
      <c r="LCH2" s="87"/>
      <c r="LCJ2" s="87"/>
      <c r="LCL2" s="87"/>
      <c r="LCN2" s="87"/>
      <c r="LCP2" s="87"/>
      <c r="LCR2" s="87"/>
      <c r="LCT2" s="87"/>
      <c r="LCV2" s="87"/>
      <c r="LCX2" s="87"/>
      <c r="LCZ2" s="87"/>
      <c r="LDB2" s="87"/>
      <c r="LDD2" s="87"/>
      <c r="LDF2" s="87"/>
      <c r="LDH2" s="87"/>
      <c r="LDJ2" s="87"/>
      <c r="LDL2" s="87"/>
      <c r="LDN2" s="87"/>
      <c r="LDP2" s="87"/>
      <c r="LDR2" s="87"/>
      <c r="LDT2" s="87"/>
      <c r="LDV2" s="87"/>
      <c r="LDX2" s="87"/>
      <c r="LDZ2" s="87"/>
      <c r="LEB2" s="87"/>
      <c r="LED2" s="87"/>
      <c r="LEF2" s="87"/>
      <c r="LEH2" s="87"/>
      <c r="LEJ2" s="87"/>
      <c r="LEL2" s="87"/>
      <c r="LEN2" s="87"/>
      <c r="LEP2" s="87"/>
      <c r="LER2" s="87"/>
      <c r="LET2" s="87"/>
      <c r="LEV2" s="87"/>
      <c r="LEX2" s="87"/>
      <c r="LEZ2" s="87"/>
      <c r="LFB2" s="87"/>
      <c r="LFD2" s="87"/>
      <c r="LFF2" s="87"/>
      <c r="LFH2" s="87"/>
      <c r="LFJ2" s="87"/>
      <c r="LFL2" s="87"/>
      <c r="LFN2" s="87"/>
      <c r="LFP2" s="87"/>
      <c r="LFR2" s="87"/>
      <c r="LFT2" s="87"/>
      <c r="LFV2" s="87"/>
      <c r="LFX2" s="87"/>
      <c r="LFZ2" s="87"/>
      <c r="LGB2" s="87"/>
      <c r="LGD2" s="87"/>
      <c r="LGF2" s="87"/>
      <c r="LGH2" s="87"/>
      <c r="LGJ2" s="87"/>
      <c r="LGL2" s="87"/>
      <c r="LGN2" s="87"/>
      <c r="LGP2" s="87"/>
      <c r="LGR2" s="87"/>
      <c r="LGT2" s="87"/>
      <c r="LGV2" s="87"/>
      <c r="LGX2" s="87"/>
      <c r="LGZ2" s="87"/>
      <c r="LHB2" s="87"/>
      <c r="LHD2" s="87"/>
      <c r="LHF2" s="87"/>
      <c r="LHH2" s="87"/>
      <c r="LHJ2" s="87"/>
      <c r="LHL2" s="87"/>
      <c r="LHN2" s="87"/>
      <c r="LHP2" s="87"/>
      <c r="LHR2" s="87"/>
      <c r="LHT2" s="87"/>
      <c r="LHV2" s="87"/>
      <c r="LHX2" s="87"/>
      <c r="LHZ2" s="87"/>
      <c r="LIB2" s="87"/>
      <c r="LID2" s="87"/>
      <c r="LIF2" s="87"/>
      <c r="LIH2" s="87"/>
      <c r="LIJ2" s="87"/>
      <c r="LIL2" s="87"/>
      <c r="LIN2" s="87"/>
      <c r="LIP2" s="87"/>
      <c r="LIR2" s="87"/>
      <c r="LIT2" s="87"/>
      <c r="LIV2" s="87"/>
      <c r="LIX2" s="87"/>
      <c r="LIZ2" s="87"/>
      <c r="LJB2" s="87"/>
      <c r="LJD2" s="87"/>
      <c r="LJF2" s="87"/>
      <c r="LJH2" s="87"/>
      <c r="LJJ2" s="87"/>
      <c r="LJL2" s="87"/>
      <c r="LJN2" s="87"/>
      <c r="LJP2" s="87"/>
      <c r="LJR2" s="87"/>
      <c r="LJT2" s="87"/>
      <c r="LJV2" s="87"/>
      <c r="LJX2" s="87"/>
      <c r="LJZ2" s="87"/>
      <c r="LKB2" s="87"/>
      <c r="LKD2" s="87"/>
      <c r="LKF2" s="87"/>
      <c r="LKH2" s="87"/>
      <c r="LKJ2" s="87"/>
      <c r="LKL2" s="87"/>
      <c r="LKN2" s="87"/>
      <c r="LKP2" s="87"/>
      <c r="LKR2" s="87"/>
      <c r="LKT2" s="87"/>
      <c r="LKV2" s="87"/>
      <c r="LKX2" s="87"/>
      <c r="LKZ2" s="87"/>
      <c r="LLB2" s="87"/>
      <c r="LLD2" s="87"/>
      <c r="LLF2" s="87"/>
      <c r="LLH2" s="87"/>
      <c r="LLJ2" s="87"/>
      <c r="LLL2" s="87"/>
      <c r="LLN2" s="87"/>
      <c r="LLP2" s="87"/>
      <c r="LLR2" s="87"/>
      <c r="LLT2" s="87"/>
      <c r="LLV2" s="87"/>
      <c r="LLX2" s="87"/>
      <c r="LLZ2" s="87"/>
      <c r="LMB2" s="87"/>
      <c r="LMD2" s="87"/>
      <c r="LMF2" s="87"/>
      <c r="LMH2" s="87"/>
      <c r="LMJ2" s="87"/>
      <c r="LML2" s="87"/>
      <c r="LMN2" s="87"/>
      <c r="LMP2" s="87"/>
      <c r="LMR2" s="87"/>
      <c r="LMT2" s="87"/>
      <c r="LMV2" s="87"/>
      <c r="LMX2" s="87"/>
      <c r="LMZ2" s="87"/>
      <c r="LNB2" s="87"/>
      <c r="LND2" s="87"/>
      <c r="LNF2" s="87"/>
      <c r="LNH2" s="87"/>
      <c r="LNJ2" s="87"/>
      <c r="LNL2" s="87"/>
      <c r="LNN2" s="87"/>
      <c r="LNP2" s="87"/>
      <c r="LNR2" s="87"/>
      <c r="LNT2" s="87"/>
      <c r="LNV2" s="87"/>
      <c r="LNX2" s="87"/>
      <c r="LNZ2" s="87"/>
      <c r="LOB2" s="87"/>
      <c r="LOD2" s="87"/>
      <c r="LOF2" s="87"/>
      <c r="LOH2" s="87"/>
      <c r="LOJ2" s="87"/>
      <c r="LOL2" s="87"/>
      <c r="LON2" s="87"/>
      <c r="LOP2" s="87"/>
      <c r="LOR2" s="87"/>
      <c r="LOT2" s="87"/>
      <c r="LOV2" s="87"/>
      <c r="LOX2" s="87"/>
      <c r="LOZ2" s="87"/>
      <c r="LPB2" s="87"/>
      <c r="LPD2" s="87"/>
      <c r="LPF2" s="87"/>
      <c r="LPH2" s="87"/>
      <c r="LPJ2" s="87"/>
      <c r="LPL2" s="87"/>
      <c r="LPN2" s="87"/>
      <c r="LPP2" s="87"/>
      <c r="LPR2" s="87"/>
      <c r="LPT2" s="87"/>
      <c r="LPV2" s="87"/>
      <c r="LPX2" s="87"/>
      <c r="LPZ2" s="87"/>
      <c r="LQB2" s="87"/>
      <c r="LQD2" s="87"/>
      <c r="LQF2" s="87"/>
      <c r="LQH2" s="87"/>
      <c r="LQJ2" s="87"/>
      <c r="LQL2" s="87"/>
      <c r="LQN2" s="87"/>
      <c r="LQP2" s="87"/>
      <c r="LQR2" s="87"/>
      <c r="LQT2" s="87"/>
      <c r="LQV2" s="87"/>
      <c r="LQX2" s="87"/>
      <c r="LQZ2" s="87"/>
      <c r="LRB2" s="87"/>
      <c r="LRD2" s="87"/>
      <c r="LRF2" s="87"/>
      <c r="LRH2" s="87"/>
      <c r="LRJ2" s="87"/>
      <c r="LRL2" s="87"/>
      <c r="LRN2" s="87"/>
      <c r="LRP2" s="87"/>
      <c r="LRR2" s="87"/>
      <c r="LRT2" s="87"/>
      <c r="LRV2" s="87"/>
      <c r="LRX2" s="87"/>
      <c r="LRZ2" s="87"/>
      <c r="LSB2" s="87"/>
      <c r="LSD2" s="87"/>
      <c r="LSF2" s="87"/>
      <c r="LSH2" s="87"/>
      <c r="LSJ2" s="87"/>
      <c r="LSL2" s="87"/>
      <c r="LSN2" s="87"/>
      <c r="LSP2" s="87"/>
      <c r="LSR2" s="87"/>
      <c r="LST2" s="87"/>
      <c r="LSV2" s="87"/>
      <c r="LSX2" s="87"/>
      <c r="LSZ2" s="87"/>
      <c r="LTB2" s="87"/>
      <c r="LTD2" s="87"/>
      <c r="LTF2" s="87"/>
      <c r="LTH2" s="87"/>
      <c r="LTJ2" s="87"/>
      <c r="LTL2" s="87"/>
      <c r="LTN2" s="87"/>
      <c r="LTP2" s="87"/>
      <c r="LTR2" s="87"/>
      <c r="LTT2" s="87"/>
      <c r="LTV2" s="87"/>
      <c r="LTX2" s="87"/>
      <c r="LTZ2" s="87"/>
      <c r="LUB2" s="87"/>
      <c r="LUD2" s="87"/>
      <c r="LUF2" s="87"/>
      <c r="LUH2" s="87"/>
      <c r="LUJ2" s="87"/>
      <c r="LUL2" s="87"/>
      <c r="LUN2" s="87"/>
      <c r="LUP2" s="87"/>
      <c r="LUR2" s="87"/>
      <c r="LUT2" s="87"/>
      <c r="LUV2" s="87"/>
      <c r="LUX2" s="87"/>
      <c r="LUZ2" s="87"/>
      <c r="LVB2" s="87"/>
      <c r="LVD2" s="87"/>
      <c r="LVF2" s="87"/>
      <c r="LVH2" s="87"/>
      <c r="LVJ2" s="87"/>
      <c r="LVL2" s="87"/>
      <c r="LVN2" s="87"/>
      <c r="LVP2" s="87"/>
      <c r="LVR2" s="87"/>
      <c r="LVT2" s="87"/>
      <c r="LVV2" s="87"/>
      <c r="LVX2" s="87"/>
      <c r="LVZ2" s="87"/>
      <c r="LWB2" s="87"/>
      <c r="LWD2" s="87"/>
      <c r="LWF2" s="87"/>
      <c r="LWH2" s="87"/>
      <c r="LWJ2" s="87"/>
      <c r="LWL2" s="87"/>
      <c r="LWN2" s="87"/>
      <c r="LWP2" s="87"/>
      <c r="LWR2" s="87"/>
      <c r="LWT2" s="87"/>
      <c r="LWV2" s="87"/>
      <c r="LWX2" s="87"/>
      <c r="LWZ2" s="87"/>
      <c r="LXB2" s="87"/>
      <c r="LXD2" s="87"/>
      <c r="LXF2" s="87"/>
      <c r="LXH2" s="87"/>
      <c r="LXJ2" s="87"/>
      <c r="LXL2" s="87"/>
      <c r="LXN2" s="87"/>
      <c r="LXP2" s="87"/>
      <c r="LXR2" s="87"/>
      <c r="LXT2" s="87"/>
      <c r="LXV2" s="87"/>
      <c r="LXX2" s="87"/>
      <c r="LXZ2" s="87"/>
      <c r="LYB2" s="87"/>
      <c r="LYD2" s="87"/>
      <c r="LYF2" s="87"/>
      <c r="LYH2" s="87"/>
      <c r="LYJ2" s="87"/>
      <c r="LYL2" s="87"/>
      <c r="LYN2" s="87"/>
      <c r="LYP2" s="87"/>
      <c r="LYR2" s="87"/>
      <c r="LYT2" s="87"/>
      <c r="LYV2" s="87"/>
      <c r="LYX2" s="87"/>
      <c r="LYZ2" s="87"/>
      <c r="LZB2" s="87"/>
      <c r="LZD2" s="87"/>
      <c r="LZF2" s="87"/>
      <c r="LZH2" s="87"/>
      <c r="LZJ2" s="87"/>
      <c r="LZL2" s="87"/>
      <c r="LZN2" s="87"/>
      <c r="LZP2" s="87"/>
      <c r="LZR2" s="87"/>
      <c r="LZT2" s="87"/>
      <c r="LZV2" s="87"/>
      <c r="LZX2" s="87"/>
      <c r="LZZ2" s="87"/>
      <c r="MAB2" s="87"/>
      <c r="MAD2" s="87"/>
      <c r="MAF2" s="87"/>
      <c r="MAH2" s="87"/>
      <c r="MAJ2" s="87"/>
      <c r="MAL2" s="87"/>
      <c r="MAN2" s="87"/>
      <c r="MAP2" s="87"/>
      <c r="MAR2" s="87"/>
      <c r="MAT2" s="87"/>
      <c r="MAV2" s="87"/>
      <c r="MAX2" s="87"/>
      <c r="MAZ2" s="87"/>
      <c r="MBB2" s="87"/>
      <c r="MBD2" s="87"/>
      <c r="MBF2" s="87"/>
      <c r="MBH2" s="87"/>
      <c r="MBJ2" s="87"/>
      <c r="MBL2" s="87"/>
      <c r="MBN2" s="87"/>
      <c r="MBP2" s="87"/>
      <c r="MBR2" s="87"/>
      <c r="MBT2" s="87"/>
      <c r="MBV2" s="87"/>
      <c r="MBX2" s="87"/>
      <c r="MBZ2" s="87"/>
      <c r="MCB2" s="87"/>
      <c r="MCD2" s="87"/>
      <c r="MCF2" s="87"/>
      <c r="MCH2" s="87"/>
      <c r="MCJ2" s="87"/>
      <c r="MCL2" s="87"/>
      <c r="MCN2" s="87"/>
      <c r="MCP2" s="87"/>
      <c r="MCR2" s="87"/>
      <c r="MCT2" s="87"/>
      <c r="MCV2" s="87"/>
      <c r="MCX2" s="87"/>
      <c r="MCZ2" s="87"/>
      <c r="MDB2" s="87"/>
      <c r="MDD2" s="87"/>
      <c r="MDF2" s="87"/>
      <c r="MDH2" s="87"/>
      <c r="MDJ2" s="87"/>
      <c r="MDL2" s="87"/>
      <c r="MDN2" s="87"/>
      <c r="MDP2" s="87"/>
      <c r="MDR2" s="87"/>
      <c r="MDT2" s="87"/>
      <c r="MDV2" s="87"/>
      <c r="MDX2" s="87"/>
      <c r="MDZ2" s="87"/>
      <c r="MEB2" s="87"/>
      <c r="MED2" s="87"/>
      <c r="MEF2" s="87"/>
      <c r="MEH2" s="87"/>
      <c r="MEJ2" s="87"/>
      <c r="MEL2" s="87"/>
      <c r="MEN2" s="87"/>
      <c r="MEP2" s="87"/>
      <c r="MER2" s="87"/>
      <c r="MET2" s="87"/>
      <c r="MEV2" s="87"/>
      <c r="MEX2" s="87"/>
      <c r="MEZ2" s="87"/>
      <c r="MFB2" s="87"/>
      <c r="MFD2" s="87"/>
      <c r="MFF2" s="87"/>
      <c r="MFH2" s="87"/>
      <c r="MFJ2" s="87"/>
      <c r="MFL2" s="87"/>
      <c r="MFN2" s="87"/>
      <c r="MFP2" s="87"/>
      <c r="MFR2" s="87"/>
      <c r="MFT2" s="87"/>
      <c r="MFV2" s="87"/>
      <c r="MFX2" s="87"/>
      <c r="MFZ2" s="87"/>
      <c r="MGB2" s="87"/>
      <c r="MGD2" s="87"/>
      <c r="MGF2" s="87"/>
      <c r="MGH2" s="87"/>
      <c r="MGJ2" s="87"/>
      <c r="MGL2" s="87"/>
      <c r="MGN2" s="87"/>
      <c r="MGP2" s="87"/>
      <c r="MGR2" s="87"/>
      <c r="MGT2" s="87"/>
      <c r="MGV2" s="87"/>
      <c r="MGX2" s="87"/>
      <c r="MGZ2" s="87"/>
      <c r="MHB2" s="87"/>
      <c r="MHD2" s="87"/>
      <c r="MHF2" s="87"/>
      <c r="MHH2" s="87"/>
      <c r="MHJ2" s="87"/>
      <c r="MHL2" s="87"/>
      <c r="MHN2" s="87"/>
      <c r="MHP2" s="87"/>
      <c r="MHR2" s="87"/>
      <c r="MHT2" s="87"/>
      <c r="MHV2" s="87"/>
      <c r="MHX2" s="87"/>
      <c r="MHZ2" s="87"/>
      <c r="MIB2" s="87"/>
      <c r="MID2" s="87"/>
      <c r="MIF2" s="87"/>
      <c r="MIH2" s="87"/>
      <c r="MIJ2" s="87"/>
      <c r="MIL2" s="87"/>
      <c r="MIN2" s="87"/>
      <c r="MIP2" s="87"/>
      <c r="MIR2" s="87"/>
      <c r="MIT2" s="87"/>
      <c r="MIV2" s="87"/>
      <c r="MIX2" s="87"/>
      <c r="MIZ2" s="87"/>
      <c r="MJB2" s="87"/>
      <c r="MJD2" s="87"/>
      <c r="MJF2" s="87"/>
      <c r="MJH2" s="87"/>
      <c r="MJJ2" s="87"/>
      <c r="MJL2" s="87"/>
      <c r="MJN2" s="87"/>
      <c r="MJP2" s="87"/>
      <c r="MJR2" s="87"/>
      <c r="MJT2" s="87"/>
      <c r="MJV2" s="87"/>
      <c r="MJX2" s="87"/>
      <c r="MJZ2" s="87"/>
      <c r="MKB2" s="87"/>
      <c r="MKD2" s="87"/>
      <c r="MKF2" s="87"/>
      <c r="MKH2" s="87"/>
      <c r="MKJ2" s="87"/>
      <c r="MKL2" s="87"/>
      <c r="MKN2" s="87"/>
      <c r="MKP2" s="87"/>
      <c r="MKR2" s="87"/>
      <c r="MKT2" s="87"/>
      <c r="MKV2" s="87"/>
      <c r="MKX2" s="87"/>
      <c r="MKZ2" s="87"/>
      <c r="MLB2" s="87"/>
      <c r="MLD2" s="87"/>
      <c r="MLF2" s="87"/>
      <c r="MLH2" s="87"/>
      <c r="MLJ2" s="87"/>
      <c r="MLL2" s="87"/>
      <c r="MLN2" s="87"/>
      <c r="MLP2" s="87"/>
      <c r="MLR2" s="87"/>
      <c r="MLT2" s="87"/>
      <c r="MLV2" s="87"/>
      <c r="MLX2" s="87"/>
      <c r="MLZ2" s="87"/>
      <c r="MMB2" s="87"/>
      <c r="MMD2" s="87"/>
      <c r="MMF2" s="87"/>
      <c r="MMH2" s="87"/>
      <c r="MMJ2" s="87"/>
      <c r="MML2" s="87"/>
      <c r="MMN2" s="87"/>
      <c r="MMP2" s="87"/>
      <c r="MMR2" s="87"/>
      <c r="MMT2" s="87"/>
      <c r="MMV2" s="87"/>
      <c r="MMX2" s="87"/>
      <c r="MMZ2" s="87"/>
      <c r="MNB2" s="87"/>
      <c r="MND2" s="87"/>
      <c r="MNF2" s="87"/>
      <c r="MNH2" s="87"/>
      <c r="MNJ2" s="87"/>
      <c r="MNL2" s="87"/>
      <c r="MNN2" s="87"/>
      <c r="MNP2" s="87"/>
      <c r="MNR2" s="87"/>
      <c r="MNT2" s="87"/>
      <c r="MNV2" s="87"/>
      <c r="MNX2" s="87"/>
      <c r="MNZ2" s="87"/>
      <c r="MOB2" s="87"/>
      <c r="MOD2" s="87"/>
      <c r="MOF2" s="87"/>
      <c r="MOH2" s="87"/>
      <c r="MOJ2" s="87"/>
      <c r="MOL2" s="87"/>
      <c r="MON2" s="87"/>
      <c r="MOP2" s="87"/>
      <c r="MOR2" s="87"/>
      <c r="MOT2" s="87"/>
      <c r="MOV2" s="87"/>
      <c r="MOX2" s="87"/>
      <c r="MOZ2" s="87"/>
      <c r="MPB2" s="87"/>
      <c r="MPD2" s="87"/>
      <c r="MPF2" s="87"/>
      <c r="MPH2" s="87"/>
      <c r="MPJ2" s="87"/>
      <c r="MPL2" s="87"/>
      <c r="MPN2" s="87"/>
      <c r="MPP2" s="87"/>
      <c r="MPR2" s="87"/>
      <c r="MPT2" s="87"/>
      <c r="MPV2" s="87"/>
      <c r="MPX2" s="87"/>
      <c r="MPZ2" s="87"/>
      <c r="MQB2" s="87"/>
      <c r="MQD2" s="87"/>
      <c r="MQF2" s="87"/>
      <c r="MQH2" s="87"/>
      <c r="MQJ2" s="87"/>
      <c r="MQL2" s="87"/>
      <c r="MQN2" s="87"/>
      <c r="MQP2" s="87"/>
      <c r="MQR2" s="87"/>
      <c r="MQT2" s="87"/>
      <c r="MQV2" s="87"/>
      <c r="MQX2" s="87"/>
      <c r="MQZ2" s="87"/>
      <c r="MRB2" s="87"/>
      <c r="MRD2" s="87"/>
      <c r="MRF2" s="87"/>
      <c r="MRH2" s="87"/>
      <c r="MRJ2" s="87"/>
      <c r="MRL2" s="87"/>
      <c r="MRN2" s="87"/>
      <c r="MRP2" s="87"/>
      <c r="MRR2" s="87"/>
      <c r="MRT2" s="87"/>
      <c r="MRV2" s="87"/>
      <c r="MRX2" s="87"/>
      <c r="MRZ2" s="87"/>
      <c r="MSB2" s="87"/>
      <c r="MSD2" s="87"/>
      <c r="MSF2" s="87"/>
      <c r="MSH2" s="87"/>
      <c r="MSJ2" s="87"/>
      <c r="MSL2" s="87"/>
      <c r="MSN2" s="87"/>
      <c r="MSP2" s="87"/>
      <c r="MSR2" s="87"/>
      <c r="MST2" s="87"/>
      <c r="MSV2" s="87"/>
      <c r="MSX2" s="87"/>
      <c r="MSZ2" s="87"/>
      <c r="MTB2" s="87"/>
      <c r="MTD2" s="87"/>
      <c r="MTF2" s="87"/>
      <c r="MTH2" s="87"/>
      <c r="MTJ2" s="87"/>
      <c r="MTL2" s="87"/>
      <c r="MTN2" s="87"/>
      <c r="MTP2" s="87"/>
      <c r="MTR2" s="87"/>
      <c r="MTT2" s="87"/>
      <c r="MTV2" s="87"/>
      <c r="MTX2" s="87"/>
      <c r="MTZ2" s="87"/>
      <c r="MUB2" s="87"/>
      <c r="MUD2" s="87"/>
      <c r="MUF2" s="87"/>
      <c r="MUH2" s="87"/>
      <c r="MUJ2" s="87"/>
      <c r="MUL2" s="87"/>
      <c r="MUN2" s="87"/>
      <c r="MUP2" s="87"/>
      <c r="MUR2" s="87"/>
      <c r="MUT2" s="87"/>
      <c r="MUV2" s="87"/>
      <c r="MUX2" s="87"/>
      <c r="MUZ2" s="87"/>
      <c r="MVB2" s="87"/>
      <c r="MVD2" s="87"/>
      <c r="MVF2" s="87"/>
      <c r="MVH2" s="87"/>
      <c r="MVJ2" s="87"/>
      <c r="MVL2" s="87"/>
      <c r="MVN2" s="87"/>
      <c r="MVP2" s="87"/>
      <c r="MVR2" s="87"/>
      <c r="MVT2" s="87"/>
      <c r="MVV2" s="87"/>
      <c r="MVX2" s="87"/>
      <c r="MVZ2" s="87"/>
      <c r="MWB2" s="87"/>
      <c r="MWD2" s="87"/>
      <c r="MWF2" s="87"/>
      <c r="MWH2" s="87"/>
      <c r="MWJ2" s="87"/>
      <c r="MWL2" s="87"/>
      <c r="MWN2" s="87"/>
      <c r="MWP2" s="87"/>
      <c r="MWR2" s="87"/>
      <c r="MWT2" s="87"/>
      <c r="MWV2" s="87"/>
      <c r="MWX2" s="87"/>
      <c r="MWZ2" s="87"/>
      <c r="MXB2" s="87"/>
      <c r="MXD2" s="87"/>
      <c r="MXF2" s="87"/>
      <c r="MXH2" s="87"/>
      <c r="MXJ2" s="87"/>
      <c r="MXL2" s="87"/>
      <c r="MXN2" s="87"/>
      <c r="MXP2" s="87"/>
      <c r="MXR2" s="87"/>
      <c r="MXT2" s="87"/>
      <c r="MXV2" s="87"/>
      <c r="MXX2" s="87"/>
      <c r="MXZ2" s="87"/>
      <c r="MYB2" s="87"/>
      <c r="MYD2" s="87"/>
      <c r="MYF2" s="87"/>
      <c r="MYH2" s="87"/>
      <c r="MYJ2" s="87"/>
      <c r="MYL2" s="87"/>
      <c r="MYN2" s="87"/>
      <c r="MYP2" s="87"/>
      <c r="MYR2" s="87"/>
      <c r="MYT2" s="87"/>
      <c r="MYV2" s="87"/>
      <c r="MYX2" s="87"/>
      <c r="MYZ2" s="87"/>
      <c r="MZB2" s="87"/>
      <c r="MZD2" s="87"/>
      <c r="MZF2" s="87"/>
      <c r="MZH2" s="87"/>
      <c r="MZJ2" s="87"/>
      <c r="MZL2" s="87"/>
      <c r="MZN2" s="87"/>
      <c r="MZP2" s="87"/>
      <c r="MZR2" s="87"/>
      <c r="MZT2" s="87"/>
      <c r="MZV2" s="87"/>
      <c r="MZX2" s="87"/>
      <c r="MZZ2" s="87"/>
      <c r="NAB2" s="87"/>
      <c r="NAD2" s="87"/>
      <c r="NAF2" s="87"/>
      <c r="NAH2" s="87"/>
      <c r="NAJ2" s="87"/>
      <c r="NAL2" s="87"/>
      <c r="NAN2" s="87"/>
      <c r="NAP2" s="87"/>
      <c r="NAR2" s="87"/>
      <c r="NAT2" s="87"/>
      <c r="NAV2" s="87"/>
      <c r="NAX2" s="87"/>
      <c r="NAZ2" s="87"/>
      <c r="NBB2" s="87"/>
      <c r="NBD2" s="87"/>
      <c r="NBF2" s="87"/>
      <c r="NBH2" s="87"/>
      <c r="NBJ2" s="87"/>
      <c r="NBL2" s="87"/>
      <c r="NBN2" s="87"/>
      <c r="NBP2" s="87"/>
      <c r="NBR2" s="87"/>
      <c r="NBT2" s="87"/>
      <c r="NBV2" s="87"/>
      <c r="NBX2" s="87"/>
      <c r="NBZ2" s="87"/>
      <c r="NCB2" s="87"/>
      <c r="NCD2" s="87"/>
      <c r="NCF2" s="87"/>
      <c r="NCH2" s="87"/>
      <c r="NCJ2" s="87"/>
      <c r="NCL2" s="87"/>
      <c r="NCN2" s="87"/>
      <c r="NCP2" s="87"/>
      <c r="NCR2" s="87"/>
      <c r="NCT2" s="87"/>
      <c r="NCV2" s="87"/>
      <c r="NCX2" s="87"/>
      <c r="NCZ2" s="87"/>
      <c r="NDB2" s="87"/>
      <c r="NDD2" s="87"/>
      <c r="NDF2" s="87"/>
      <c r="NDH2" s="87"/>
      <c r="NDJ2" s="87"/>
      <c r="NDL2" s="87"/>
      <c r="NDN2" s="87"/>
      <c r="NDP2" s="87"/>
      <c r="NDR2" s="87"/>
      <c r="NDT2" s="87"/>
      <c r="NDV2" s="87"/>
      <c r="NDX2" s="87"/>
      <c r="NDZ2" s="87"/>
      <c r="NEB2" s="87"/>
      <c r="NED2" s="87"/>
      <c r="NEF2" s="87"/>
      <c r="NEH2" s="87"/>
      <c r="NEJ2" s="87"/>
      <c r="NEL2" s="87"/>
      <c r="NEN2" s="87"/>
      <c r="NEP2" s="87"/>
      <c r="NER2" s="87"/>
      <c r="NET2" s="87"/>
      <c r="NEV2" s="87"/>
      <c r="NEX2" s="87"/>
      <c r="NEZ2" s="87"/>
      <c r="NFB2" s="87"/>
      <c r="NFD2" s="87"/>
      <c r="NFF2" s="87"/>
      <c r="NFH2" s="87"/>
      <c r="NFJ2" s="87"/>
      <c r="NFL2" s="87"/>
      <c r="NFN2" s="87"/>
      <c r="NFP2" s="87"/>
      <c r="NFR2" s="87"/>
      <c r="NFT2" s="87"/>
      <c r="NFV2" s="87"/>
      <c r="NFX2" s="87"/>
      <c r="NFZ2" s="87"/>
      <c r="NGB2" s="87"/>
      <c r="NGD2" s="87"/>
      <c r="NGF2" s="87"/>
      <c r="NGH2" s="87"/>
      <c r="NGJ2" s="87"/>
      <c r="NGL2" s="87"/>
      <c r="NGN2" s="87"/>
      <c r="NGP2" s="87"/>
      <c r="NGR2" s="87"/>
      <c r="NGT2" s="87"/>
      <c r="NGV2" s="87"/>
      <c r="NGX2" s="87"/>
      <c r="NGZ2" s="87"/>
      <c r="NHB2" s="87"/>
      <c r="NHD2" s="87"/>
      <c r="NHF2" s="87"/>
      <c r="NHH2" s="87"/>
      <c r="NHJ2" s="87"/>
      <c r="NHL2" s="87"/>
      <c r="NHN2" s="87"/>
      <c r="NHP2" s="87"/>
      <c r="NHR2" s="87"/>
      <c r="NHT2" s="87"/>
      <c r="NHV2" s="87"/>
      <c r="NHX2" s="87"/>
      <c r="NHZ2" s="87"/>
      <c r="NIB2" s="87"/>
      <c r="NID2" s="87"/>
      <c r="NIF2" s="87"/>
      <c r="NIH2" s="87"/>
      <c r="NIJ2" s="87"/>
      <c r="NIL2" s="87"/>
      <c r="NIN2" s="87"/>
      <c r="NIP2" s="87"/>
      <c r="NIR2" s="87"/>
      <c r="NIT2" s="87"/>
      <c r="NIV2" s="87"/>
      <c r="NIX2" s="87"/>
      <c r="NIZ2" s="87"/>
      <c r="NJB2" s="87"/>
      <c r="NJD2" s="87"/>
      <c r="NJF2" s="87"/>
      <c r="NJH2" s="87"/>
      <c r="NJJ2" s="87"/>
      <c r="NJL2" s="87"/>
      <c r="NJN2" s="87"/>
      <c r="NJP2" s="87"/>
      <c r="NJR2" s="87"/>
      <c r="NJT2" s="87"/>
      <c r="NJV2" s="87"/>
      <c r="NJX2" s="87"/>
      <c r="NJZ2" s="87"/>
      <c r="NKB2" s="87"/>
      <c r="NKD2" s="87"/>
      <c r="NKF2" s="87"/>
      <c r="NKH2" s="87"/>
      <c r="NKJ2" s="87"/>
      <c r="NKL2" s="87"/>
      <c r="NKN2" s="87"/>
      <c r="NKP2" s="87"/>
      <c r="NKR2" s="87"/>
      <c r="NKT2" s="87"/>
      <c r="NKV2" s="87"/>
      <c r="NKX2" s="87"/>
      <c r="NKZ2" s="87"/>
      <c r="NLB2" s="87"/>
      <c r="NLD2" s="87"/>
      <c r="NLF2" s="87"/>
      <c r="NLH2" s="87"/>
      <c r="NLJ2" s="87"/>
      <c r="NLL2" s="87"/>
      <c r="NLN2" s="87"/>
      <c r="NLP2" s="87"/>
      <c r="NLR2" s="87"/>
      <c r="NLT2" s="87"/>
      <c r="NLV2" s="87"/>
      <c r="NLX2" s="87"/>
      <c r="NLZ2" s="87"/>
      <c r="NMB2" s="87"/>
      <c r="NMD2" s="87"/>
      <c r="NMF2" s="87"/>
      <c r="NMH2" s="87"/>
      <c r="NMJ2" s="87"/>
      <c r="NML2" s="87"/>
      <c r="NMN2" s="87"/>
      <c r="NMP2" s="87"/>
      <c r="NMR2" s="87"/>
      <c r="NMT2" s="87"/>
      <c r="NMV2" s="87"/>
      <c r="NMX2" s="87"/>
      <c r="NMZ2" s="87"/>
      <c r="NNB2" s="87"/>
      <c r="NND2" s="87"/>
      <c r="NNF2" s="87"/>
      <c r="NNH2" s="87"/>
      <c r="NNJ2" s="87"/>
      <c r="NNL2" s="87"/>
      <c r="NNN2" s="87"/>
      <c r="NNP2" s="87"/>
      <c r="NNR2" s="87"/>
      <c r="NNT2" s="87"/>
      <c r="NNV2" s="87"/>
      <c r="NNX2" s="87"/>
      <c r="NNZ2" s="87"/>
      <c r="NOB2" s="87"/>
      <c r="NOD2" s="87"/>
      <c r="NOF2" s="87"/>
      <c r="NOH2" s="87"/>
      <c r="NOJ2" s="87"/>
      <c r="NOL2" s="87"/>
      <c r="NON2" s="87"/>
      <c r="NOP2" s="87"/>
      <c r="NOR2" s="87"/>
      <c r="NOT2" s="87"/>
      <c r="NOV2" s="87"/>
      <c r="NOX2" s="87"/>
      <c r="NOZ2" s="87"/>
      <c r="NPB2" s="87"/>
      <c r="NPD2" s="87"/>
      <c r="NPF2" s="87"/>
      <c r="NPH2" s="87"/>
      <c r="NPJ2" s="87"/>
      <c r="NPL2" s="87"/>
      <c r="NPN2" s="87"/>
      <c r="NPP2" s="87"/>
      <c r="NPR2" s="87"/>
      <c r="NPT2" s="87"/>
      <c r="NPV2" s="87"/>
      <c r="NPX2" s="87"/>
      <c r="NPZ2" s="87"/>
      <c r="NQB2" s="87"/>
      <c r="NQD2" s="87"/>
      <c r="NQF2" s="87"/>
      <c r="NQH2" s="87"/>
      <c r="NQJ2" s="87"/>
      <c r="NQL2" s="87"/>
      <c r="NQN2" s="87"/>
      <c r="NQP2" s="87"/>
      <c r="NQR2" s="87"/>
      <c r="NQT2" s="87"/>
      <c r="NQV2" s="87"/>
      <c r="NQX2" s="87"/>
      <c r="NQZ2" s="87"/>
      <c r="NRB2" s="87"/>
      <c r="NRD2" s="87"/>
      <c r="NRF2" s="87"/>
      <c r="NRH2" s="87"/>
      <c r="NRJ2" s="87"/>
      <c r="NRL2" s="87"/>
      <c r="NRN2" s="87"/>
      <c r="NRP2" s="87"/>
      <c r="NRR2" s="87"/>
      <c r="NRT2" s="87"/>
      <c r="NRV2" s="87"/>
      <c r="NRX2" s="87"/>
      <c r="NRZ2" s="87"/>
      <c r="NSB2" s="87"/>
      <c r="NSD2" s="87"/>
      <c r="NSF2" s="87"/>
      <c r="NSH2" s="87"/>
      <c r="NSJ2" s="87"/>
      <c r="NSL2" s="87"/>
      <c r="NSN2" s="87"/>
      <c r="NSP2" s="87"/>
      <c r="NSR2" s="87"/>
      <c r="NST2" s="87"/>
      <c r="NSV2" s="87"/>
      <c r="NSX2" s="87"/>
      <c r="NSZ2" s="87"/>
      <c r="NTB2" s="87"/>
      <c r="NTD2" s="87"/>
      <c r="NTF2" s="87"/>
      <c r="NTH2" s="87"/>
      <c r="NTJ2" s="87"/>
      <c r="NTL2" s="87"/>
      <c r="NTN2" s="87"/>
      <c r="NTP2" s="87"/>
      <c r="NTR2" s="87"/>
      <c r="NTT2" s="87"/>
      <c r="NTV2" s="87"/>
      <c r="NTX2" s="87"/>
      <c r="NTZ2" s="87"/>
      <c r="NUB2" s="87"/>
      <c r="NUD2" s="87"/>
      <c r="NUF2" s="87"/>
      <c r="NUH2" s="87"/>
      <c r="NUJ2" s="87"/>
      <c r="NUL2" s="87"/>
      <c r="NUN2" s="87"/>
      <c r="NUP2" s="87"/>
      <c r="NUR2" s="87"/>
      <c r="NUT2" s="87"/>
      <c r="NUV2" s="87"/>
      <c r="NUX2" s="87"/>
      <c r="NUZ2" s="87"/>
      <c r="NVB2" s="87"/>
      <c r="NVD2" s="87"/>
      <c r="NVF2" s="87"/>
      <c r="NVH2" s="87"/>
      <c r="NVJ2" s="87"/>
      <c r="NVL2" s="87"/>
      <c r="NVN2" s="87"/>
      <c r="NVP2" s="87"/>
      <c r="NVR2" s="87"/>
      <c r="NVT2" s="87"/>
      <c r="NVV2" s="87"/>
      <c r="NVX2" s="87"/>
      <c r="NVZ2" s="87"/>
      <c r="NWB2" s="87"/>
      <c r="NWD2" s="87"/>
      <c r="NWF2" s="87"/>
      <c r="NWH2" s="87"/>
      <c r="NWJ2" s="87"/>
      <c r="NWL2" s="87"/>
      <c r="NWN2" s="87"/>
      <c r="NWP2" s="87"/>
      <c r="NWR2" s="87"/>
      <c r="NWT2" s="87"/>
      <c r="NWV2" s="87"/>
      <c r="NWX2" s="87"/>
      <c r="NWZ2" s="87"/>
      <c r="NXB2" s="87"/>
      <c r="NXD2" s="87"/>
      <c r="NXF2" s="87"/>
      <c r="NXH2" s="87"/>
      <c r="NXJ2" s="87"/>
      <c r="NXL2" s="87"/>
      <c r="NXN2" s="87"/>
      <c r="NXP2" s="87"/>
      <c r="NXR2" s="87"/>
      <c r="NXT2" s="87"/>
      <c r="NXV2" s="87"/>
      <c r="NXX2" s="87"/>
      <c r="NXZ2" s="87"/>
      <c r="NYB2" s="87"/>
      <c r="NYD2" s="87"/>
      <c r="NYF2" s="87"/>
      <c r="NYH2" s="87"/>
      <c r="NYJ2" s="87"/>
      <c r="NYL2" s="87"/>
      <c r="NYN2" s="87"/>
      <c r="NYP2" s="87"/>
      <c r="NYR2" s="87"/>
      <c r="NYT2" s="87"/>
      <c r="NYV2" s="87"/>
      <c r="NYX2" s="87"/>
      <c r="NYZ2" s="87"/>
      <c r="NZB2" s="87"/>
      <c r="NZD2" s="87"/>
      <c r="NZF2" s="87"/>
      <c r="NZH2" s="87"/>
      <c r="NZJ2" s="87"/>
      <c r="NZL2" s="87"/>
      <c r="NZN2" s="87"/>
      <c r="NZP2" s="87"/>
      <c r="NZR2" s="87"/>
      <c r="NZT2" s="87"/>
      <c r="NZV2" s="87"/>
      <c r="NZX2" s="87"/>
      <c r="NZZ2" s="87"/>
      <c r="OAB2" s="87"/>
      <c r="OAD2" s="87"/>
      <c r="OAF2" s="87"/>
      <c r="OAH2" s="87"/>
      <c r="OAJ2" s="87"/>
      <c r="OAL2" s="87"/>
      <c r="OAN2" s="87"/>
      <c r="OAP2" s="87"/>
      <c r="OAR2" s="87"/>
      <c r="OAT2" s="87"/>
      <c r="OAV2" s="87"/>
      <c r="OAX2" s="87"/>
      <c r="OAZ2" s="87"/>
      <c r="OBB2" s="87"/>
      <c r="OBD2" s="87"/>
      <c r="OBF2" s="87"/>
      <c r="OBH2" s="87"/>
      <c r="OBJ2" s="87"/>
      <c r="OBL2" s="87"/>
      <c r="OBN2" s="87"/>
      <c r="OBP2" s="87"/>
      <c r="OBR2" s="87"/>
      <c r="OBT2" s="87"/>
      <c r="OBV2" s="87"/>
      <c r="OBX2" s="87"/>
      <c r="OBZ2" s="87"/>
      <c r="OCB2" s="87"/>
      <c r="OCD2" s="87"/>
      <c r="OCF2" s="87"/>
      <c r="OCH2" s="87"/>
      <c r="OCJ2" s="87"/>
      <c r="OCL2" s="87"/>
      <c r="OCN2" s="87"/>
      <c r="OCP2" s="87"/>
      <c r="OCR2" s="87"/>
      <c r="OCT2" s="87"/>
      <c r="OCV2" s="87"/>
      <c r="OCX2" s="87"/>
      <c r="OCZ2" s="87"/>
      <c r="ODB2" s="87"/>
      <c r="ODD2" s="87"/>
      <c r="ODF2" s="87"/>
      <c r="ODH2" s="87"/>
      <c r="ODJ2" s="87"/>
      <c r="ODL2" s="87"/>
      <c r="ODN2" s="87"/>
      <c r="ODP2" s="87"/>
      <c r="ODR2" s="87"/>
      <c r="ODT2" s="87"/>
      <c r="ODV2" s="87"/>
      <c r="ODX2" s="87"/>
      <c r="ODZ2" s="87"/>
      <c r="OEB2" s="87"/>
      <c r="OED2" s="87"/>
      <c r="OEF2" s="87"/>
      <c r="OEH2" s="87"/>
      <c r="OEJ2" s="87"/>
      <c r="OEL2" s="87"/>
      <c r="OEN2" s="87"/>
      <c r="OEP2" s="87"/>
      <c r="OER2" s="87"/>
      <c r="OET2" s="87"/>
      <c r="OEV2" s="87"/>
      <c r="OEX2" s="87"/>
      <c r="OEZ2" s="87"/>
      <c r="OFB2" s="87"/>
      <c r="OFD2" s="87"/>
      <c r="OFF2" s="87"/>
      <c r="OFH2" s="87"/>
      <c r="OFJ2" s="87"/>
      <c r="OFL2" s="87"/>
      <c r="OFN2" s="87"/>
      <c r="OFP2" s="87"/>
      <c r="OFR2" s="87"/>
      <c r="OFT2" s="87"/>
      <c r="OFV2" s="87"/>
      <c r="OFX2" s="87"/>
      <c r="OFZ2" s="87"/>
      <c r="OGB2" s="87"/>
      <c r="OGD2" s="87"/>
      <c r="OGF2" s="87"/>
      <c r="OGH2" s="87"/>
      <c r="OGJ2" s="87"/>
      <c r="OGL2" s="87"/>
      <c r="OGN2" s="87"/>
      <c r="OGP2" s="87"/>
      <c r="OGR2" s="87"/>
      <c r="OGT2" s="87"/>
      <c r="OGV2" s="87"/>
      <c r="OGX2" s="87"/>
      <c r="OGZ2" s="87"/>
      <c r="OHB2" s="87"/>
      <c r="OHD2" s="87"/>
      <c r="OHF2" s="87"/>
      <c r="OHH2" s="87"/>
      <c r="OHJ2" s="87"/>
      <c r="OHL2" s="87"/>
      <c r="OHN2" s="87"/>
      <c r="OHP2" s="87"/>
      <c r="OHR2" s="87"/>
      <c r="OHT2" s="87"/>
      <c r="OHV2" s="87"/>
      <c r="OHX2" s="87"/>
      <c r="OHZ2" s="87"/>
      <c r="OIB2" s="87"/>
      <c r="OID2" s="87"/>
      <c r="OIF2" s="87"/>
      <c r="OIH2" s="87"/>
      <c r="OIJ2" s="87"/>
      <c r="OIL2" s="87"/>
      <c r="OIN2" s="87"/>
      <c r="OIP2" s="87"/>
      <c r="OIR2" s="87"/>
      <c r="OIT2" s="87"/>
      <c r="OIV2" s="87"/>
      <c r="OIX2" s="87"/>
      <c r="OIZ2" s="87"/>
      <c r="OJB2" s="87"/>
      <c r="OJD2" s="87"/>
      <c r="OJF2" s="87"/>
      <c r="OJH2" s="87"/>
      <c r="OJJ2" s="87"/>
      <c r="OJL2" s="87"/>
      <c r="OJN2" s="87"/>
      <c r="OJP2" s="87"/>
      <c r="OJR2" s="87"/>
      <c r="OJT2" s="87"/>
      <c r="OJV2" s="87"/>
      <c r="OJX2" s="87"/>
      <c r="OJZ2" s="87"/>
      <c r="OKB2" s="87"/>
      <c r="OKD2" s="87"/>
      <c r="OKF2" s="87"/>
      <c r="OKH2" s="87"/>
      <c r="OKJ2" s="87"/>
      <c r="OKL2" s="87"/>
      <c r="OKN2" s="87"/>
      <c r="OKP2" s="87"/>
      <c r="OKR2" s="87"/>
      <c r="OKT2" s="87"/>
      <c r="OKV2" s="87"/>
      <c r="OKX2" s="87"/>
      <c r="OKZ2" s="87"/>
      <c r="OLB2" s="87"/>
      <c r="OLD2" s="87"/>
      <c r="OLF2" s="87"/>
      <c r="OLH2" s="87"/>
      <c r="OLJ2" s="87"/>
      <c r="OLL2" s="87"/>
      <c r="OLN2" s="87"/>
      <c r="OLP2" s="87"/>
      <c r="OLR2" s="87"/>
      <c r="OLT2" s="87"/>
      <c r="OLV2" s="87"/>
      <c r="OLX2" s="87"/>
      <c r="OLZ2" s="87"/>
      <c r="OMB2" s="87"/>
      <c r="OMD2" s="87"/>
      <c r="OMF2" s="87"/>
      <c r="OMH2" s="87"/>
      <c r="OMJ2" s="87"/>
      <c r="OML2" s="87"/>
      <c r="OMN2" s="87"/>
      <c r="OMP2" s="87"/>
      <c r="OMR2" s="87"/>
      <c r="OMT2" s="87"/>
      <c r="OMV2" s="87"/>
      <c r="OMX2" s="87"/>
      <c r="OMZ2" s="87"/>
      <c r="ONB2" s="87"/>
      <c r="OND2" s="87"/>
      <c r="ONF2" s="87"/>
      <c r="ONH2" s="87"/>
      <c r="ONJ2" s="87"/>
      <c r="ONL2" s="87"/>
      <c r="ONN2" s="87"/>
      <c r="ONP2" s="87"/>
      <c r="ONR2" s="87"/>
      <c r="ONT2" s="87"/>
      <c r="ONV2" s="87"/>
      <c r="ONX2" s="87"/>
      <c r="ONZ2" s="87"/>
      <c r="OOB2" s="87"/>
      <c r="OOD2" s="87"/>
      <c r="OOF2" s="87"/>
      <c r="OOH2" s="87"/>
      <c r="OOJ2" s="87"/>
      <c r="OOL2" s="87"/>
      <c r="OON2" s="87"/>
      <c r="OOP2" s="87"/>
      <c r="OOR2" s="87"/>
      <c r="OOT2" s="87"/>
      <c r="OOV2" s="87"/>
      <c r="OOX2" s="87"/>
      <c r="OOZ2" s="87"/>
      <c r="OPB2" s="87"/>
      <c r="OPD2" s="87"/>
      <c r="OPF2" s="87"/>
      <c r="OPH2" s="87"/>
      <c r="OPJ2" s="87"/>
      <c r="OPL2" s="87"/>
      <c r="OPN2" s="87"/>
      <c r="OPP2" s="87"/>
      <c r="OPR2" s="87"/>
      <c r="OPT2" s="87"/>
      <c r="OPV2" s="87"/>
      <c r="OPX2" s="87"/>
      <c r="OPZ2" s="87"/>
      <c r="OQB2" s="87"/>
      <c r="OQD2" s="87"/>
      <c r="OQF2" s="87"/>
      <c r="OQH2" s="87"/>
      <c r="OQJ2" s="87"/>
      <c r="OQL2" s="87"/>
      <c r="OQN2" s="87"/>
      <c r="OQP2" s="87"/>
      <c r="OQR2" s="87"/>
      <c r="OQT2" s="87"/>
      <c r="OQV2" s="87"/>
      <c r="OQX2" s="87"/>
      <c r="OQZ2" s="87"/>
      <c r="ORB2" s="87"/>
      <c r="ORD2" s="87"/>
      <c r="ORF2" s="87"/>
      <c r="ORH2" s="87"/>
      <c r="ORJ2" s="87"/>
      <c r="ORL2" s="87"/>
      <c r="ORN2" s="87"/>
      <c r="ORP2" s="87"/>
      <c r="ORR2" s="87"/>
      <c r="ORT2" s="87"/>
      <c r="ORV2" s="87"/>
      <c r="ORX2" s="87"/>
      <c r="ORZ2" s="87"/>
      <c r="OSB2" s="87"/>
      <c r="OSD2" s="87"/>
      <c r="OSF2" s="87"/>
      <c r="OSH2" s="87"/>
      <c r="OSJ2" s="87"/>
      <c r="OSL2" s="87"/>
      <c r="OSN2" s="87"/>
      <c r="OSP2" s="87"/>
      <c r="OSR2" s="87"/>
      <c r="OST2" s="87"/>
      <c r="OSV2" s="87"/>
      <c r="OSX2" s="87"/>
      <c r="OSZ2" s="87"/>
      <c r="OTB2" s="87"/>
      <c r="OTD2" s="87"/>
      <c r="OTF2" s="87"/>
      <c r="OTH2" s="87"/>
      <c r="OTJ2" s="87"/>
      <c r="OTL2" s="87"/>
      <c r="OTN2" s="87"/>
      <c r="OTP2" s="87"/>
      <c r="OTR2" s="87"/>
      <c r="OTT2" s="87"/>
      <c r="OTV2" s="87"/>
      <c r="OTX2" s="87"/>
      <c r="OTZ2" s="87"/>
      <c r="OUB2" s="87"/>
      <c r="OUD2" s="87"/>
      <c r="OUF2" s="87"/>
      <c r="OUH2" s="87"/>
      <c r="OUJ2" s="87"/>
      <c r="OUL2" s="87"/>
      <c r="OUN2" s="87"/>
      <c r="OUP2" s="87"/>
      <c r="OUR2" s="87"/>
      <c r="OUT2" s="87"/>
      <c r="OUV2" s="87"/>
      <c r="OUX2" s="87"/>
      <c r="OUZ2" s="87"/>
      <c r="OVB2" s="87"/>
      <c r="OVD2" s="87"/>
      <c r="OVF2" s="87"/>
      <c r="OVH2" s="87"/>
      <c r="OVJ2" s="87"/>
      <c r="OVL2" s="87"/>
      <c r="OVN2" s="87"/>
      <c r="OVP2" s="87"/>
      <c r="OVR2" s="87"/>
      <c r="OVT2" s="87"/>
      <c r="OVV2" s="87"/>
      <c r="OVX2" s="87"/>
      <c r="OVZ2" s="87"/>
      <c r="OWB2" s="87"/>
      <c r="OWD2" s="87"/>
      <c r="OWF2" s="87"/>
      <c r="OWH2" s="87"/>
      <c r="OWJ2" s="87"/>
      <c r="OWL2" s="87"/>
      <c r="OWN2" s="87"/>
      <c r="OWP2" s="87"/>
      <c r="OWR2" s="87"/>
      <c r="OWT2" s="87"/>
      <c r="OWV2" s="87"/>
      <c r="OWX2" s="87"/>
      <c r="OWZ2" s="87"/>
      <c r="OXB2" s="87"/>
      <c r="OXD2" s="87"/>
      <c r="OXF2" s="87"/>
      <c r="OXH2" s="87"/>
      <c r="OXJ2" s="87"/>
      <c r="OXL2" s="87"/>
      <c r="OXN2" s="87"/>
      <c r="OXP2" s="87"/>
      <c r="OXR2" s="87"/>
      <c r="OXT2" s="87"/>
      <c r="OXV2" s="87"/>
      <c r="OXX2" s="87"/>
      <c r="OXZ2" s="87"/>
      <c r="OYB2" s="87"/>
      <c r="OYD2" s="87"/>
      <c r="OYF2" s="87"/>
      <c r="OYH2" s="87"/>
      <c r="OYJ2" s="87"/>
      <c r="OYL2" s="87"/>
      <c r="OYN2" s="87"/>
      <c r="OYP2" s="87"/>
      <c r="OYR2" s="87"/>
      <c r="OYT2" s="87"/>
      <c r="OYV2" s="87"/>
      <c r="OYX2" s="87"/>
      <c r="OYZ2" s="87"/>
      <c r="OZB2" s="87"/>
      <c r="OZD2" s="87"/>
      <c r="OZF2" s="87"/>
      <c r="OZH2" s="87"/>
      <c r="OZJ2" s="87"/>
      <c r="OZL2" s="87"/>
      <c r="OZN2" s="87"/>
      <c r="OZP2" s="87"/>
      <c r="OZR2" s="87"/>
      <c r="OZT2" s="87"/>
      <c r="OZV2" s="87"/>
      <c r="OZX2" s="87"/>
      <c r="OZZ2" s="87"/>
      <c r="PAB2" s="87"/>
      <c r="PAD2" s="87"/>
      <c r="PAF2" s="87"/>
      <c r="PAH2" s="87"/>
      <c r="PAJ2" s="87"/>
      <c r="PAL2" s="87"/>
      <c r="PAN2" s="87"/>
      <c r="PAP2" s="87"/>
      <c r="PAR2" s="87"/>
      <c r="PAT2" s="87"/>
      <c r="PAV2" s="87"/>
      <c r="PAX2" s="87"/>
      <c r="PAZ2" s="87"/>
      <c r="PBB2" s="87"/>
      <c r="PBD2" s="87"/>
      <c r="PBF2" s="87"/>
      <c r="PBH2" s="87"/>
      <c r="PBJ2" s="87"/>
      <c r="PBL2" s="87"/>
      <c r="PBN2" s="87"/>
      <c r="PBP2" s="87"/>
      <c r="PBR2" s="87"/>
      <c r="PBT2" s="87"/>
      <c r="PBV2" s="87"/>
      <c r="PBX2" s="87"/>
      <c r="PBZ2" s="87"/>
      <c r="PCB2" s="87"/>
      <c r="PCD2" s="87"/>
      <c r="PCF2" s="87"/>
      <c r="PCH2" s="87"/>
      <c r="PCJ2" s="87"/>
      <c r="PCL2" s="87"/>
      <c r="PCN2" s="87"/>
      <c r="PCP2" s="87"/>
      <c r="PCR2" s="87"/>
      <c r="PCT2" s="87"/>
      <c r="PCV2" s="87"/>
      <c r="PCX2" s="87"/>
      <c r="PCZ2" s="87"/>
      <c r="PDB2" s="87"/>
      <c r="PDD2" s="87"/>
      <c r="PDF2" s="87"/>
      <c r="PDH2" s="87"/>
      <c r="PDJ2" s="87"/>
      <c r="PDL2" s="87"/>
      <c r="PDN2" s="87"/>
      <c r="PDP2" s="87"/>
      <c r="PDR2" s="87"/>
      <c r="PDT2" s="87"/>
      <c r="PDV2" s="87"/>
      <c r="PDX2" s="87"/>
      <c r="PDZ2" s="87"/>
      <c r="PEB2" s="87"/>
      <c r="PED2" s="87"/>
      <c r="PEF2" s="87"/>
      <c r="PEH2" s="87"/>
      <c r="PEJ2" s="87"/>
      <c r="PEL2" s="87"/>
      <c r="PEN2" s="87"/>
      <c r="PEP2" s="87"/>
      <c r="PER2" s="87"/>
      <c r="PET2" s="87"/>
      <c r="PEV2" s="87"/>
      <c r="PEX2" s="87"/>
      <c r="PEZ2" s="87"/>
      <c r="PFB2" s="87"/>
      <c r="PFD2" s="87"/>
      <c r="PFF2" s="87"/>
      <c r="PFH2" s="87"/>
      <c r="PFJ2" s="87"/>
      <c r="PFL2" s="87"/>
      <c r="PFN2" s="87"/>
      <c r="PFP2" s="87"/>
      <c r="PFR2" s="87"/>
      <c r="PFT2" s="87"/>
      <c r="PFV2" s="87"/>
      <c r="PFX2" s="87"/>
      <c r="PFZ2" s="87"/>
      <c r="PGB2" s="87"/>
      <c r="PGD2" s="87"/>
      <c r="PGF2" s="87"/>
      <c r="PGH2" s="87"/>
      <c r="PGJ2" s="87"/>
      <c r="PGL2" s="87"/>
      <c r="PGN2" s="87"/>
      <c r="PGP2" s="87"/>
      <c r="PGR2" s="87"/>
      <c r="PGT2" s="87"/>
      <c r="PGV2" s="87"/>
      <c r="PGX2" s="87"/>
      <c r="PGZ2" s="87"/>
      <c r="PHB2" s="87"/>
      <c r="PHD2" s="87"/>
      <c r="PHF2" s="87"/>
      <c r="PHH2" s="87"/>
      <c r="PHJ2" s="87"/>
      <c r="PHL2" s="87"/>
      <c r="PHN2" s="87"/>
      <c r="PHP2" s="87"/>
      <c r="PHR2" s="87"/>
      <c r="PHT2" s="87"/>
      <c r="PHV2" s="87"/>
      <c r="PHX2" s="87"/>
      <c r="PHZ2" s="87"/>
      <c r="PIB2" s="87"/>
      <c r="PID2" s="87"/>
      <c r="PIF2" s="87"/>
      <c r="PIH2" s="87"/>
      <c r="PIJ2" s="87"/>
      <c r="PIL2" s="87"/>
      <c r="PIN2" s="87"/>
      <c r="PIP2" s="87"/>
      <c r="PIR2" s="87"/>
      <c r="PIT2" s="87"/>
      <c r="PIV2" s="87"/>
      <c r="PIX2" s="87"/>
      <c r="PIZ2" s="87"/>
      <c r="PJB2" s="87"/>
      <c r="PJD2" s="87"/>
      <c r="PJF2" s="87"/>
      <c r="PJH2" s="87"/>
      <c r="PJJ2" s="87"/>
      <c r="PJL2" s="87"/>
      <c r="PJN2" s="87"/>
      <c r="PJP2" s="87"/>
      <c r="PJR2" s="87"/>
      <c r="PJT2" s="87"/>
      <c r="PJV2" s="87"/>
      <c r="PJX2" s="87"/>
      <c r="PJZ2" s="87"/>
      <c r="PKB2" s="87"/>
      <c r="PKD2" s="87"/>
      <c r="PKF2" s="87"/>
      <c r="PKH2" s="87"/>
      <c r="PKJ2" s="87"/>
      <c r="PKL2" s="87"/>
      <c r="PKN2" s="87"/>
      <c r="PKP2" s="87"/>
      <c r="PKR2" s="87"/>
      <c r="PKT2" s="87"/>
      <c r="PKV2" s="87"/>
      <c r="PKX2" s="87"/>
      <c r="PKZ2" s="87"/>
      <c r="PLB2" s="87"/>
      <c r="PLD2" s="87"/>
      <c r="PLF2" s="87"/>
      <c r="PLH2" s="87"/>
      <c r="PLJ2" s="87"/>
      <c r="PLL2" s="87"/>
      <c r="PLN2" s="87"/>
      <c r="PLP2" s="87"/>
      <c r="PLR2" s="87"/>
      <c r="PLT2" s="87"/>
      <c r="PLV2" s="87"/>
      <c r="PLX2" s="87"/>
      <c r="PLZ2" s="87"/>
      <c r="PMB2" s="87"/>
      <c r="PMD2" s="87"/>
      <c r="PMF2" s="87"/>
      <c r="PMH2" s="87"/>
      <c r="PMJ2" s="87"/>
      <c r="PML2" s="87"/>
      <c r="PMN2" s="87"/>
      <c r="PMP2" s="87"/>
      <c r="PMR2" s="87"/>
      <c r="PMT2" s="87"/>
      <c r="PMV2" s="87"/>
      <c r="PMX2" s="87"/>
      <c r="PMZ2" s="87"/>
      <c r="PNB2" s="87"/>
      <c r="PND2" s="87"/>
      <c r="PNF2" s="87"/>
      <c r="PNH2" s="87"/>
      <c r="PNJ2" s="87"/>
      <c r="PNL2" s="87"/>
      <c r="PNN2" s="87"/>
      <c r="PNP2" s="87"/>
      <c r="PNR2" s="87"/>
      <c r="PNT2" s="87"/>
      <c r="PNV2" s="87"/>
      <c r="PNX2" s="87"/>
      <c r="PNZ2" s="87"/>
      <c r="POB2" s="87"/>
      <c r="POD2" s="87"/>
      <c r="POF2" s="87"/>
      <c r="POH2" s="87"/>
      <c r="POJ2" s="87"/>
      <c r="POL2" s="87"/>
      <c r="PON2" s="87"/>
      <c r="POP2" s="87"/>
      <c r="POR2" s="87"/>
      <c r="POT2" s="87"/>
      <c r="POV2" s="87"/>
      <c r="POX2" s="87"/>
      <c r="POZ2" s="87"/>
      <c r="PPB2" s="87"/>
      <c r="PPD2" s="87"/>
      <c r="PPF2" s="87"/>
      <c r="PPH2" s="87"/>
      <c r="PPJ2" s="87"/>
      <c r="PPL2" s="87"/>
      <c r="PPN2" s="87"/>
      <c r="PPP2" s="87"/>
      <c r="PPR2" s="87"/>
      <c r="PPT2" s="87"/>
      <c r="PPV2" s="87"/>
      <c r="PPX2" s="87"/>
      <c r="PPZ2" s="87"/>
      <c r="PQB2" s="87"/>
      <c r="PQD2" s="87"/>
      <c r="PQF2" s="87"/>
      <c r="PQH2" s="87"/>
      <c r="PQJ2" s="87"/>
      <c r="PQL2" s="87"/>
      <c r="PQN2" s="87"/>
      <c r="PQP2" s="87"/>
      <c r="PQR2" s="87"/>
      <c r="PQT2" s="87"/>
      <c r="PQV2" s="87"/>
      <c r="PQX2" s="87"/>
      <c r="PQZ2" s="87"/>
      <c r="PRB2" s="87"/>
      <c r="PRD2" s="87"/>
      <c r="PRF2" s="87"/>
      <c r="PRH2" s="87"/>
      <c r="PRJ2" s="87"/>
      <c r="PRL2" s="87"/>
      <c r="PRN2" s="87"/>
      <c r="PRP2" s="87"/>
      <c r="PRR2" s="87"/>
      <c r="PRT2" s="87"/>
      <c r="PRV2" s="87"/>
      <c r="PRX2" s="87"/>
      <c r="PRZ2" s="87"/>
      <c r="PSB2" s="87"/>
      <c r="PSD2" s="87"/>
      <c r="PSF2" s="87"/>
      <c r="PSH2" s="87"/>
      <c r="PSJ2" s="87"/>
      <c r="PSL2" s="87"/>
      <c r="PSN2" s="87"/>
      <c r="PSP2" s="87"/>
      <c r="PSR2" s="87"/>
      <c r="PST2" s="87"/>
      <c r="PSV2" s="87"/>
      <c r="PSX2" s="87"/>
      <c r="PSZ2" s="87"/>
      <c r="PTB2" s="87"/>
      <c r="PTD2" s="87"/>
      <c r="PTF2" s="87"/>
      <c r="PTH2" s="87"/>
      <c r="PTJ2" s="87"/>
      <c r="PTL2" s="87"/>
      <c r="PTN2" s="87"/>
      <c r="PTP2" s="87"/>
      <c r="PTR2" s="87"/>
      <c r="PTT2" s="87"/>
      <c r="PTV2" s="87"/>
      <c r="PTX2" s="87"/>
      <c r="PTZ2" s="87"/>
      <c r="PUB2" s="87"/>
      <c r="PUD2" s="87"/>
      <c r="PUF2" s="87"/>
      <c r="PUH2" s="87"/>
      <c r="PUJ2" s="87"/>
      <c r="PUL2" s="87"/>
      <c r="PUN2" s="87"/>
      <c r="PUP2" s="87"/>
      <c r="PUR2" s="87"/>
      <c r="PUT2" s="87"/>
      <c r="PUV2" s="87"/>
      <c r="PUX2" s="87"/>
      <c r="PUZ2" s="87"/>
      <c r="PVB2" s="87"/>
      <c r="PVD2" s="87"/>
      <c r="PVF2" s="87"/>
      <c r="PVH2" s="87"/>
      <c r="PVJ2" s="87"/>
      <c r="PVL2" s="87"/>
      <c r="PVN2" s="87"/>
      <c r="PVP2" s="87"/>
      <c r="PVR2" s="87"/>
      <c r="PVT2" s="87"/>
      <c r="PVV2" s="87"/>
      <c r="PVX2" s="87"/>
      <c r="PVZ2" s="87"/>
      <c r="PWB2" s="87"/>
      <c r="PWD2" s="87"/>
      <c r="PWF2" s="87"/>
      <c r="PWH2" s="87"/>
      <c r="PWJ2" s="87"/>
      <c r="PWL2" s="87"/>
      <c r="PWN2" s="87"/>
      <c r="PWP2" s="87"/>
      <c r="PWR2" s="87"/>
      <c r="PWT2" s="87"/>
      <c r="PWV2" s="87"/>
      <c r="PWX2" s="87"/>
      <c r="PWZ2" s="87"/>
      <c r="PXB2" s="87"/>
      <c r="PXD2" s="87"/>
      <c r="PXF2" s="87"/>
      <c r="PXH2" s="87"/>
      <c r="PXJ2" s="87"/>
      <c r="PXL2" s="87"/>
      <c r="PXN2" s="87"/>
      <c r="PXP2" s="87"/>
      <c r="PXR2" s="87"/>
      <c r="PXT2" s="87"/>
      <c r="PXV2" s="87"/>
      <c r="PXX2" s="87"/>
      <c r="PXZ2" s="87"/>
      <c r="PYB2" s="87"/>
      <c r="PYD2" s="87"/>
      <c r="PYF2" s="87"/>
      <c r="PYH2" s="87"/>
      <c r="PYJ2" s="87"/>
      <c r="PYL2" s="87"/>
      <c r="PYN2" s="87"/>
      <c r="PYP2" s="87"/>
      <c r="PYR2" s="87"/>
      <c r="PYT2" s="87"/>
      <c r="PYV2" s="87"/>
      <c r="PYX2" s="87"/>
      <c r="PYZ2" s="87"/>
      <c r="PZB2" s="87"/>
      <c r="PZD2" s="87"/>
      <c r="PZF2" s="87"/>
      <c r="PZH2" s="87"/>
      <c r="PZJ2" s="87"/>
      <c r="PZL2" s="87"/>
      <c r="PZN2" s="87"/>
      <c r="PZP2" s="87"/>
      <c r="PZR2" s="87"/>
      <c r="PZT2" s="87"/>
      <c r="PZV2" s="87"/>
      <c r="PZX2" s="87"/>
      <c r="PZZ2" s="87"/>
      <c r="QAB2" s="87"/>
      <c r="QAD2" s="87"/>
      <c r="QAF2" s="87"/>
      <c r="QAH2" s="87"/>
      <c r="QAJ2" s="87"/>
      <c r="QAL2" s="87"/>
      <c r="QAN2" s="87"/>
      <c r="QAP2" s="87"/>
      <c r="QAR2" s="87"/>
      <c r="QAT2" s="87"/>
      <c r="QAV2" s="87"/>
      <c r="QAX2" s="87"/>
      <c r="QAZ2" s="87"/>
      <c r="QBB2" s="87"/>
      <c r="QBD2" s="87"/>
      <c r="QBF2" s="87"/>
      <c r="QBH2" s="87"/>
      <c r="QBJ2" s="87"/>
      <c r="QBL2" s="87"/>
      <c r="QBN2" s="87"/>
      <c r="QBP2" s="87"/>
      <c r="QBR2" s="87"/>
      <c r="QBT2" s="87"/>
      <c r="QBV2" s="87"/>
      <c r="QBX2" s="87"/>
      <c r="QBZ2" s="87"/>
      <c r="QCB2" s="87"/>
      <c r="QCD2" s="87"/>
      <c r="QCF2" s="87"/>
      <c r="QCH2" s="87"/>
      <c r="QCJ2" s="87"/>
      <c r="QCL2" s="87"/>
      <c r="QCN2" s="87"/>
      <c r="QCP2" s="87"/>
      <c r="QCR2" s="87"/>
      <c r="QCT2" s="87"/>
      <c r="QCV2" s="87"/>
      <c r="QCX2" s="87"/>
      <c r="QCZ2" s="87"/>
      <c r="QDB2" s="87"/>
      <c r="QDD2" s="87"/>
      <c r="QDF2" s="87"/>
      <c r="QDH2" s="87"/>
      <c r="QDJ2" s="87"/>
      <c r="QDL2" s="87"/>
      <c r="QDN2" s="87"/>
      <c r="QDP2" s="87"/>
      <c r="QDR2" s="87"/>
      <c r="QDT2" s="87"/>
      <c r="QDV2" s="87"/>
      <c r="QDX2" s="87"/>
      <c r="QDZ2" s="87"/>
      <c r="QEB2" s="87"/>
      <c r="QED2" s="87"/>
      <c r="QEF2" s="87"/>
      <c r="QEH2" s="87"/>
      <c r="QEJ2" s="87"/>
      <c r="QEL2" s="87"/>
      <c r="QEN2" s="87"/>
      <c r="QEP2" s="87"/>
      <c r="QER2" s="87"/>
      <c r="QET2" s="87"/>
      <c r="QEV2" s="87"/>
      <c r="QEX2" s="87"/>
      <c r="QEZ2" s="87"/>
      <c r="QFB2" s="87"/>
      <c r="QFD2" s="87"/>
      <c r="QFF2" s="87"/>
      <c r="QFH2" s="87"/>
      <c r="QFJ2" s="87"/>
      <c r="QFL2" s="87"/>
      <c r="QFN2" s="87"/>
      <c r="QFP2" s="87"/>
      <c r="QFR2" s="87"/>
      <c r="QFT2" s="87"/>
      <c r="QFV2" s="87"/>
      <c r="QFX2" s="87"/>
      <c r="QFZ2" s="87"/>
      <c r="QGB2" s="87"/>
      <c r="QGD2" s="87"/>
      <c r="QGF2" s="87"/>
      <c r="QGH2" s="87"/>
      <c r="QGJ2" s="87"/>
      <c r="QGL2" s="87"/>
      <c r="QGN2" s="87"/>
      <c r="QGP2" s="87"/>
      <c r="QGR2" s="87"/>
      <c r="QGT2" s="87"/>
      <c r="QGV2" s="87"/>
      <c r="QGX2" s="87"/>
      <c r="QGZ2" s="87"/>
      <c r="QHB2" s="87"/>
      <c r="QHD2" s="87"/>
      <c r="QHF2" s="87"/>
      <c r="QHH2" s="87"/>
      <c r="QHJ2" s="87"/>
      <c r="QHL2" s="87"/>
      <c r="QHN2" s="87"/>
      <c r="QHP2" s="87"/>
      <c r="QHR2" s="87"/>
      <c r="QHT2" s="87"/>
      <c r="QHV2" s="87"/>
      <c r="QHX2" s="87"/>
      <c r="QHZ2" s="87"/>
      <c r="QIB2" s="87"/>
      <c r="QID2" s="87"/>
      <c r="QIF2" s="87"/>
      <c r="QIH2" s="87"/>
      <c r="QIJ2" s="87"/>
      <c r="QIL2" s="87"/>
      <c r="QIN2" s="87"/>
      <c r="QIP2" s="87"/>
      <c r="QIR2" s="87"/>
      <c r="QIT2" s="87"/>
      <c r="QIV2" s="87"/>
      <c r="QIX2" s="87"/>
      <c r="QIZ2" s="87"/>
      <c r="QJB2" s="87"/>
      <c r="QJD2" s="87"/>
      <c r="QJF2" s="87"/>
      <c r="QJH2" s="87"/>
      <c r="QJJ2" s="87"/>
      <c r="QJL2" s="87"/>
      <c r="QJN2" s="87"/>
      <c r="QJP2" s="87"/>
      <c r="QJR2" s="87"/>
      <c r="QJT2" s="87"/>
      <c r="QJV2" s="87"/>
      <c r="QJX2" s="87"/>
      <c r="QJZ2" s="87"/>
      <c r="QKB2" s="87"/>
      <c r="QKD2" s="87"/>
      <c r="QKF2" s="87"/>
      <c r="QKH2" s="87"/>
      <c r="QKJ2" s="87"/>
      <c r="QKL2" s="87"/>
      <c r="QKN2" s="87"/>
      <c r="QKP2" s="87"/>
      <c r="QKR2" s="87"/>
      <c r="QKT2" s="87"/>
      <c r="QKV2" s="87"/>
      <c r="QKX2" s="87"/>
      <c r="QKZ2" s="87"/>
      <c r="QLB2" s="87"/>
      <c r="QLD2" s="87"/>
      <c r="QLF2" s="87"/>
      <c r="QLH2" s="87"/>
      <c r="QLJ2" s="87"/>
      <c r="QLL2" s="87"/>
      <c r="QLN2" s="87"/>
      <c r="QLP2" s="87"/>
      <c r="QLR2" s="87"/>
      <c r="QLT2" s="87"/>
      <c r="QLV2" s="87"/>
      <c r="QLX2" s="87"/>
      <c r="QLZ2" s="87"/>
      <c r="QMB2" s="87"/>
      <c r="QMD2" s="87"/>
      <c r="QMF2" s="87"/>
      <c r="QMH2" s="87"/>
      <c r="QMJ2" s="87"/>
      <c r="QML2" s="87"/>
      <c r="QMN2" s="87"/>
      <c r="QMP2" s="87"/>
      <c r="QMR2" s="87"/>
      <c r="QMT2" s="87"/>
      <c r="QMV2" s="87"/>
      <c r="QMX2" s="87"/>
      <c r="QMZ2" s="87"/>
      <c r="QNB2" s="87"/>
      <c r="QND2" s="87"/>
      <c r="QNF2" s="87"/>
      <c r="QNH2" s="87"/>
      <c r="QNJ2" s="87"/>
      <c r="QNL2" s="87"/>
      <c r="QNN2" s="87"/>
      <c r="QNP2" s="87"/>
      <c r="QNR2" s="87"/>
      <c r="QNT2" s="87"/>
      <c r="QNV2" s="87"/>
      <c r="QNX2" s="87"/>
      <c r="QNZ2" s="87"/>
      <c r="QOB2" s="87"/>
      <c r="QOD2" s="87"/>
      <c r="QOF2" s="87"/>
      <c r="QOH2" s="87"/>
      <c r="QOJ2" s="87"/>
      <c r="QOL2" s="87"/>
      <c r="QON2" s="87"/>
      <c r="QOP2" s="87"/>
      <c r="QOR2" s="87"/>
      <c r="QOT2" s="87"/>
      <c r="QOV2" s="87"/>
      <c r="QOX2" s="87"/>
      <c r="QOZ2" s="87"/>
      <c r="QPB2" s="87"/>
      <c r="QPD2" s="87"/>
      <c r="QPF2" s="87"/>
      <c r="QPH2" s="87"/>
      <c r="QPJ2" s="87"/>
      <c r="QPL2" s="87"/>
      <c r="QPN2" s="87"/>
      <c r="QPP2" s="87"/>
      <c r="QPR2" s="87"/>
      <c r="QPT2" s="87"/>
      <c r="QPV2" s="87"/>
      <c r="QPX2" s="87"/>
      <c r="QPZ2" s="87"/>
      <c r="QQB2" s="87"/>
      <c r="QQD2" s="87"/>
      <c r="QQF2" s="87"/>
      <c r="QQH2" s="87"/>
      <c r="QQJ2" s="87"/>
      <c r="QQL2" s="87"/>
      <c r="QQN2" s="87"/>
      <c r="QQP2" s="87"/>
      <c r="QQR2" s="87"/>
      <c r="QQT2" s="87"/>
      <c r="QQV2" s="87"/>
      <c r="QQX2" s="87"/>
      <c r="QQZ2" s="87"/>
      <c r="QRB2" s="87"/>
      <c r="QRD2" s="87"/>
      <c r="QRF2" s="87"/>
      <c r="QRH2" s="87"/>
      <c r="QRJ2" s="87"/>
      <c r="QRL2" s="87"/>
      <c r="QRN2" s="87"/>
      <c r="QRP2" s="87"/>
      <c r="QRR2" s="87"/>
      <c r="QRT2" s="87"/>
      <c r="QRV2" s="87"/>
      <c r="QRX2" s="87"/>
      <c r="QRZ2" s="87"/>
      <c r="QSB2" s="87"/>
      <c r="QSD2" s="87"/>
      <c r="QSF2" s="87"/>
      <c r="QSH2" s="87"/>
      <c r="QSJ2" s="87"/>
      <c r="QSL2" s="87"/>
      <c r="QSN2" s="87"/>
      <c r="QSP2" s="87"/>
      <c r="QSR2" s="87"/>
      <c r="QST2" s="87"/>
      <c r="QSV2" s="87"/>
      <c r="QSX2" s="87"/>
      <c r="QSZ2" s="87"/>
      <c r="QTB2" s="87"/>
      <c r="QTD2" s="87"/>
      <c r="QTF2" s="87"/>
      <c r="QTH2" s="87"/>
      <c r="QTJ2" s="87"/>
      <c r="QTL2" s="87"/>
      <c r="QTN2" s="87"/>
      <c r="QTP2" s="87"/>
      <c r="QTR2" s="87"/>
      <c r="QTT2" s="87"/>
      <c r="QTV2" s="87"/>
      <c r="QTX2" s="87"/>
      <c r="QTZ2" s="87"/>
      <c r="QUB2" s="87"/>
      <c r="QUD2" s="87"/>
      <c r="QUF2" s="87"/>
      <c r="QUH2" s="87"/>
      <c r="QUJ2" s="87"/>
      <c r="QUL2" s="87"/>
      <c r="QUN2" s="87"/>
      <c r="QUP2" s="87"/>
      <c r="QUR2" s="87"/>
      <c r="QUT2" s="87"/>
      <c r="QUV2" s="87"/>
      <c r="QUX2" s="87"/>
      <c r="QUZ2" s="87"/>
      <c r="QVB2" s="87"/>
      <c r="QVD2" s="87"/>
      <c r="QVF2" s="87"/>
      <c r="QVH2" s="87"/>
      <c r="QVJ2" s="87"/>
      <c r="QVL2" s="87"/>
      <c r="QVN2" s="87"/>
      <c r="QVP2" s="87"/>
      <c r="QVR2" s="87"/>
      <c r="QVT2" s="87"/>
      <c r="QVV2" s="87"/>
      <c r="QVX2" s="87"/>
      <c r="QVZ2" s="87"/>
      <c r="QWB2" s="87"/>
      <c r="QWD2" s="87"/>
      <c r="QWF2" s="87"/>
      <c r="QWH2" s="87"/>
      <c r="QWJ2" s="87"/>
      <c r="QWL2" s="87"/>
      <c r="QWN2" s="87"/>
      <c r="QWP2" s="87"/>
      <c r="QWR2" s="87"/>
      <c r="QWT2" s="87"/>
      <c r="QWV2" s="87"/>
      <c r="QWX2" s="87"/>
      <c r="QWZ2" s="87"/>
      <c r="QXB2" s="87"/>
      <c r="QXD2" s="87"/>
      <c r="QXF2" s="87"/>
      <c r="QXH2" s="87"/>
      <c r="QXJ2" s="87"/>
      <c r="QXL2" s="87"/>
      <c r="QXN2" s="87"/>
      <c r="QXP2" s="87"/>
      <c r="QXR2" s="87"/>
      <c r="QXT2" s="87"/>
      <c r="QXV2" s="87"/>
      <c r="QXX2" s="87"/>
      <c r="QXZ2" s="87"/>
      <c r="QYB2" s="87"/>
      <c r="QYD2" s="87"/>
      <c r="QYF2" s="87"/>
      <c r="QYH2" s="87"/>
      <c r="QYJ2" s="87"/>
      <c r="QYL2" s="87"/>
      <c r="QYN2" s="87"/>
      <c r="QYP2" s="87"/>
      <c r="QYR2" s="87"/>
      <c r="QYT2" s="87"/>
      <c r="QYV2" s="87"/>
      <c r="QYX2" s="87"/>
      <c r="QYZ2" s="87"/>
      <c r="QZB2" s="87"/>
      <c r="QZD2" s="87"/>
      <c r="QZF2" s="87"/>
      <c r="QZH2" s="87"/>
      <c r="QZJ2" s="87"/>
      <c r="QZL2" s="87"/>
      <c r="QZN2" s="87"/>
      <c r="QZP2" s="87"/>
      <c r="QZR2" s="87"/>
      <c r="QZT2" s="87"/>
      <c r="QZV2" s="87"/>
      <c r="QZX2" s="87"/>
      <c r="QZZ2" s="87"/>
      <c r="RAB2" s="87"/>
      <c r="RAD2" s="87"/>
      <c r="RAF2" s="87"/>
      <c r="RAH2" s="87"/>
      <c r="RAJ2" s="87"/>
      <c r="RAL2" s="87"/>
      <c r="RAN2" s="87"/>
      <c r="RAP2" s="87"/>
      <c r="RAR2" s="87"/>
      <c r="RAT2" s="87"/>
      <c r="RAV2" s="87"/>
      <c r="RAX2" s="87"/>
      <c r="RAZ2" s="87"/>
      <c r="RBB2" s="87"/>
      <c r="RBD2" s="87"/>
      <c r="RBF2" s="87"/>
      <c r="RBH2" s="87"/>
      <c r="RBJ2" s="87"/>
      <c r="RBL2" s="87"/>
      <c r="RBN2" s="87"/>
      <c r="RBP2" s="87"/>
      <c r="RBR2" s="87"/>
      <c r="RBT2" s="87"/>
      <c r="RBV2" s="87"/>
      <c r="RBX2" s="87"/>
      <c r="RBZ2" s="87"/>
      <c r="RCB2" s="87"/>
      <c r="RCD2" s="87"/>
      <c r="RCF2" s="87"/>
      <c r="RCH2" s="87"/>
      <c r="RCJ2" s="87"/>
      <c r="RCL2" s="87"/>
      <c r="RCN2" s="87"/>
      <c r="RCP2" s="87"/>
      <c r="RCR2" s="87"/>
      <c r="RCT2" s="87"/>
      <c r="RCV2" s="87"/>
      <c r="RCX2" s="87"/>
      <c r="RCZ2" s="87"/>
      <c r="RDB2" s="87"/>
      <c r="RDD2" s="87"/>
      <c r="RDF2" s="87"/>
      <c r="RDH2" s="87"/>
      <c r="RDJ2" s="87"/>
      <c r="RDL2" s="87"/>
      <c r="RDN2" s="87"/>
      <c r="RDP2" s="87"/>
      <c r="RDR2" s="87"/>
      <c r="RDT2" s="87"/>
      <c r="RDV2" s="87"/>
      <c r="RDX2" s="87"/>
      <c r="RDZ2" s="87"/>
      <c r="REB2" s="87"/>
      <c r="RED2" s="87"/>
      <c r="REF2" s="87"/>
      <c r="REH2" s="87"/>
      <c r="REJ2" s="87"/>
      <c r="REL2" s="87"/>
      <c r="REN2" s="87"/>
      <c r="REP2" s="87"/>
      <c r="RER2" s="87"/>
      <c r="RET2" s="87"/>
      <c r="REV2" s="87"/>
      <c r="REX2" s="87"/>
      <c r="REZ2" s="87"/>
      <c r="RFB2" s="87"/>
      <c r="RFD2" s="87"/>
      <c r="RFF2" s="87"/>
      <c r="RFH2" s="87"/>
      <c r="RFJ2" s="87"/>
      <c r="RFL2" s="87"/>
      <c r="RFN2" s="87"/>
      <c r="RFP2" s="87"/>
      <c r="RFR2" s="87"/>
      <c r="RFT2" s="87"/>
      <c r="RFV2" s="87"/>
      <c r="RFX2" s="87"/>
      <c r="RFZ2" s="87"/>
      <c r="RGB2" s="87"/>
      <c r="RGD2" s="87"/>
      <c r="RGF2" s="87"/>
      <c r="RGH2" s="87"/>
      <c r="RGJ2" s="87"/>
      <c r="RGL2" s="87"/>
      <c r="RGN2" s="87"/>
      <c r="RGP2" s="87"/>
      <c r="RGR2" s="87"/>
      <c r="RGT2" s="87"/>
      <c r="RGV2" s="87"/>
      <c r="RGX2" s="87"/>
      <c r="RGZ2" s="87"/>
      <c r="RHB2" s="87"/>
      <c r="RHD2" s="87"/>
      <c r="RHF2" s="87"/>
      <c r="RHH2" s="87"/>
      <c r="RHJ2" s="87"/>
      <c r="RHL2" s="87"/>
      <c r="RHN2" s="87"/>
      <c r="RHP2" s="87"/>
      <c r="RHR2" s="87"/>
      <c r="RHT2" s="87"/>
      <c r="RHV2" s="87"/>
      <c r="RHX2" s="87"/>
      <c r="RHZ2" s="87"/>
      <c r="RIB2" s="87"/>
      <c r="RID2" s="87"/>
      <c r="RIF2" s="87"/>
      <c r="RIH2" s="87"/>
      <c r="RIJ2" s="87"/>
      <c r="RIL2" s="87"/>
      <c r="RIN2" s="87"/>
      <c r="RIP2" s="87"/>
      <c r="RIR2" s="87"/>
      <c r="RIT2" s="87"/>
      <c r="RIV2" s="87"/>
      <c r="RIX2" s="87"/>
      <c r="RIZ2" s="87"/>
      <c r="RJB2" s="87"/>
      <c r="RJD2" s="87"/>
      <c r="RJF2" s="87"/>
      <c r="RJH2" s="87"/>
      <c r="RJJ2" s="87"/>
      <c r="RJL2" s="87"/>
      <c r="RJN2" s="87"/>
      <c r="RJP2" s="87"/>
      <c r="RJR2" s="87"/>
      <c r="RJT2" s="87"/>
      <c r="RJV2" s="87"/>
      <c r="RJX2" s="87"/>
      <c r="RJZ2" s="87"/>
      <c r="RKB2" s="87"/>
      <c r="RKD2" s="87"/>
      <c r="RKF2" s="87"/>
      <c r="RKH2" s="87"/>
      <c r="RKJ2" s="87"/>
      <c r="RKL2" s="87"/>
      <c r="RKN2" s="87"/>
      <c r="RKP2" s="87"/>
      <c r="RKR2" s="87"/>
      <c r="RKT2" s="87"/>
      <c r="RKV2" s="87"/>
      <c r="RKX2" s="87"/>
      <c r="RKZ2" s="87"/>
      <c r="RLB2" s="87"/>
      <c r="RLD2" s="87"/>
      <c r="RLF2" s="87"/>
      <c r="RLH2" s="87"/>
      <c r="RLJ2" s="87"/>
      <c r="RLL2" s="87"/>
      <c r="RLN2" s="87"/>
      <c r="RLP2" s="87"/>
      <c r="RLR2" s="87"/>
      <c r="RLT2" s="87"/>
      <c r="RLV2" s="87"/>
      <c r="RLX2" s="87"/>
      <c r="RLZ2" s="87"/>
      <c r="RMB2" s="87"/>
      <c r="RMD2" s="87"/>
      <c r="RMF2" s="87"/>
      <c r="RMH2" s="87"/>
      <c r="RMJ2" s="87"/>
      <c r="RML2" s="87"/>
      <c r="RMN2" s="87"/>
      <c r="RMP2" s="87"/>
      <c r="RMR2" s="87"/>
      <c r="RMT2" s="87"/>
      <c r="RMV2" s="87"/>
      <c r="RMX2" s="87"/>
      <c r="RMZ2" s="87"/>
      <c r="RNB2" s="87"/>
      <c r="RND2" s="87"/>
      <c r="RNF2" s="87"/>
      <c r="RNH2" s="87"/>
      <c r="RNJ2" s="87"/>
      <c r="RNL2" s="87"/>
      <c r="RNN2" s="87"/>
      <c r="RNP2" s="87"/>
      <c r="RNR2" s="87"/>
      <c r="RNT2" s="87"/>
      <c r="RNV2" s="87"/>
      <c r="RNX2" s="87"/>
      <c r="RNZ2" s="87"/>
      <c r="ROB2" s="87"/>
      <c r="ROD2" s="87"/>
      <c r="ROF2" s="87"/>
      <c r="ROH2" s="87"/>
      <c r="ROJ2" s="87"/>
      <c r="ROL2" s="87"/>
      <c r="RON2" s="87"/>
      <c r="ROP2" s="87"/>
      <c r="ROR2" s="87"/>
      <c r="ROT2" s="87"/>
      <c r="ROV2" s="87"/>
      <c r="ROX2" s="87"/>
      <c r="ROZ2" s="87"/>
      <c r="RPB2" s="87"/>
      <c r="RPD2" s="87"/>
      <c r="RPF2" s="87"/>
      <c r="RPH2" s="87"/>
      <c r="RPJ2" s="87"/>
      <c r="RPL2" s="87"/>
      <c r="RPN2" s="87"/>
      <c r="RPP2" s="87"/>
      <c r="RPR2" s="87"/>
      <c r="RPT2" s="87"/>
      <c r="RPV2" s="87"/>
      <c r="RPX2" s="87"/>
      <c r="RPZ2" s="87"/>
      <c r="RQB2" s="87"/>
      <c r="RQD2" s="87"/>
      <c r="RQF2" s="87"/>
      <c r="RQH2" s="87"/>
      <c r="RQJ2" s="87"/>
      <c r="RQL2" s="87"/>
      <c r="RQN2" s="87"/>
      <c r="RQP2" s="87"/>
      <c r="RQR2" s="87"/>
      <c r="RQT2" s="87"/>
      <c r="RQV2" s="87"/>
      <c r="RQX2" s="87"/>
      <c r="RQZ2" s="87"/>
      <c r="RRB2" s="87"/>
      <c r="RRD2" s="87"/>
      <c r="RRF2" s="87"/>
      <c r="RRH2" s="87"/>
      <c r="RRJ2" s="87"/>
      <c r="RRL2" s="87"/>
      <c r="RRN2" s="87"/>
      <c r="RRP2" s="87"/>
      <c r="RRR2" s="87"/>
      <c r="RRT2" s="87"/>
      <c r="RRV2" s="87"/>
      <c r="RRX2" s="87"/>
      <c r="RRZ2" s="87"/>
      <c r="RSB2" s="87"/>
      <c r="RSD2" s="87"/>
      <c r="RSF2" s="87"/>
      <c r="RSH2" s="87"/>
      <c r="RSJ2" s="87"/>
      <c r="RSL2" s="87"/>
      <c r="RSN2" s="87"/>
      <c r="RSP2" s="87"/>
      <c r="RSR2" s="87"/>
      <c r="RST2" s="87"/>
      <c r="RSV2" s="87"/>
      <c r="RSX2" s="87"/>
      <c r="RSZ2" s="87"/>
      <c r="RTB2" s="87"/>
      <c r="RTD2" s="87"/>
      <c r="RTF2" s="87"/>
      <c r="RTH2" s="87"/>
      <c r="RTJ2" s="87"/>
      <c r="RTL2" s="87"/>
      <c r="RTN2" s="87"/>
      <c r="RTP2" s="87"/>
      <c r="RTR2" s="87"/>
      <c r="RTT2" s="87"/>
      <c r="RTV2" s="87"/>
      <c r="RTX2" s="87"/>
      <c r="RTZ2" s="87"/>
      <c r="RUB2" s="87"/>
      <c r="RUD2" s="87"/>
      <c r="RUF2" s="87"/>
      <c r="RUH2" s="87"/>
      <c r="RUJ2" s="87"/>
      <c r="RUL2" s="87"/>
      <c r="RUN2" s="87"/>
      <c r="RUP2" s="87"/>
      <c r="RUR2" s="87"/>
      <c r="RUT2" s="87"/>
      <c r="RUV2" s="87"/>
      <c r="RUX2" s="87"/>
      <c r="RUZ2" s="87"/>
      <c r="RVB2" s="87"/>
      <c r="RVD2" s="87"/>
      <c r="RVF2" s="87"/>
      <c r="RVH2" s="87"/>
      <c r="RVJ2" s="87"/>
      <c r="RVL2" s="87"/>
      <c r="RVN2" s="87"/>
      <c r="RVP2" s="87"/>
      <c r="RVR2" s="87"/>
      <c r="RVT2" s="87"/>
      <c r="RVV2" s="87"/>
      <c r="RVX2" s="87"/>
      <c r="RVZ2" s="87"/>
      <c r="RWB2" s="87"/>
      <c r="RWD2" s="87"/>
      <c r="RWF2" s="87"/>
      <c r="RWH2" s="87"/>
      <c r="RWJ2" s="87"/>
      <c r="RWL2" s="87"/>
      <c r="RWN2" s="87"/>
      <c r="RWP2" s="87"/>
      <c r="RWR2" s="87"/>
      <c r="RWT2" s="87"/>
      <c r="RWV2" s="87"/>
      <c r="RWX2" s="87"/>
      <c r="RWZ2" s="87"/>
      <c r="RXB2" s="87"/>
      <c r="RXD2" s="87"/>
      <c r="RXF2" s="87"/>
      <c r="RXH2" s="87"/>
      <c r="RXJ2" s="87"/>
      <c r="RXL2" s="87"/>
      <c r="RXN2" s="87"/>
      <c r="RXP2" s="87"/>
      <c r="RXR2" s="87"/>
      <c r="RXT2" s="87"/>
      <c r="RXV2" s="87"/>
      <c r="RXX2" s="87"/>
      <c r="RXZ2" s="87"/>
      <c r="RYB2" s="87"/>
      <c r="RYD2" s="87"/>
      <c r="RYF2" s="87"/>
      <c r="RYH2" s="87"/>
      <c r="RYJ2" s="87"/>
      <c r="RYL2" s="87"/>
      <c r="RYN2" s="87"/>
      <c r="RYP2" s="87"/>
      <c r="RYR2" s="87"/>
      <c r="RYT2" s="87"/>
      <c r="RYV2" s="87"/>
      <c r="RYX2" s="87"/>
      <c r="RYZ2" s="87"/>
      <c r="RZB2" s="87"/>
      <c r="RZD2" s="87"/>
      <c r="RZF2" s="87"/>
      <c r="RZH2" s="87"/>
      <c r="RZJ2" s="87"/>
      <c r="RZL2" s="87"/>
      <c r="RZN2" s="87"/>
      <c r="RZP2" s="87"/>
      <c r="RZR2" s="87"/>
      <c r="RZT2" s="87"/>
      <c r="RZV2" s="87"/>
      <c r="RZX2" s="87"/>
      <c r="RZZ2" s="87"/>
      <c r="SAB2" s="87"/>
      <c r="SAD2" s="87"/>
      <c r="SAF2" s="87"/>
      <c r="SAH2" s="87"/>
      <c r="SAJ2" s="87"/>
      <c r="SAL2" s="87"/>
      <c r="SAN2" s="87"/>
      <c r="SAP2" s="87"/>
      <c r="SAR2" s="87"/>
      <c r="SAT2" s="87"/>
      <c r="SAV2" s="87"/>
      <c r="SAX2" s="87"/>
      <c r="SAZ2" s="87"/>
      <c r="SBB2" s="87"/>
      <c r="SBD2" s="87"/>
      <c r="SBF2" s="87"/>
      <c r="SBH2" s="87"/>
      <c r="SBJ2" s="87"/>
      <c r="SBL2" s="87"/>
      <c r="SBN2" s="87"/>
      <c r="SBP2" s="87"/>
      <c r="SBR2" s="87"/>
      <c r="SBT2" s="87"/>
      <c r="SBV2" s="87"/>
      <c r="SBX2" s="87"/>
      <c r="SBZ2" s="87"/>
      <c r="SCB2" s="87"/>
      <c r="SCD2" s="87"/>
      <c r="SCF2" s="87"/>
      <c r="SCH2" s="87"/>
      <c r="SCJ2" s="87"/>
      <c r="SCL2" s="87"/>
      <c r="SCN2" s="87"/>
      <c r="SCP2" s="87"/>
      <c r="SCR2" s="87"/>
      <c r="SCT2" s="87"/>
      <c r="SCV2" s="87"/>
      <c r="SCX2" s="87"/>
      <c r="SCZ2" s="87"/>
      <c r="SDB2" s="87"/>
      <c r="SDD2" s="87"/>
      <c r="SDF2" s="87"/>
      <c r="SDH2" s="87"/>
      <c r="SDJ2" s="87"/>
      <c r="SDL2" s="87"/>
      <c r="SDN2" s="87"/>
      <c r="SDP2" s="87"/>
      <c r="SDR2" s="87"/>
      <c r="SDT2" s="87"/>
      <c r="SDV2" s="87"/>
      <c r="SDX2" s="87"/>
      <c r="SDZ2" s="87"/>
      <c r="SEB2" s="87"/>
      <c r="SED2" s="87"/>
      <c r="SEF2" s="87"/>
      <c r="SEH2" s="87"/>
      <c r="SEJ2" s="87"/>
      <c r="SEL2" s="87"/>
      <c r="SEN2" s="87"/>
      <c r="SEP2" s="87"/>
      <c r="SER2" s="87"/>
      <c r="SET2" s="87"/>
      <c r="SEV2" s="87"/>
      <c r="SEX2" s="87"/>
      <c r="SEZ2" s="87"/>
      <c r="SFB2" s="87"/>
      <c r="SFD2" s="87"/>
      <c r="SFF2" s="87"/>
      <c r="SFH2" s="87"/>
      <c r="SFJ2" s="87"/>
      <c r="SFL2" s="87"/>
      <c r="SFN2" s="87"/>
      <c r="SFP2" s="87"/>
      <c r="SFR2" s="87"/>
      <c r="SFT2" s="87"/>
      <c r="SFV2" s="87"/>
      <c r="SFX2" s="87"/>
      <c r="SFZ2" s="87"/>
      <c r="SGB2" s="87"/>
      <c r="SGD2" s="87"/>
      <c r="SGF2" s="87"/>
      <c r="SGH2" s="87"/>
      <c r="SGJ2" s="87"/>
      <c r="SGL2" s="87"/>
      <c r="SGN2" s="87"/>
      <c r="SGP2" s="87"/>
      <c r="SGR2" s="87"/>
      <c r="SGT2" s="87"/>
      <c r="SGV2" s="87"/>
      <c r="SGX2" s="87"/>
      <c r="SGZ2" s="87"/>
      <c r="SHB2" s="87"/>
      <c r="SHD2" s="87"/>
      <c r="SHF2" s="87"/>
      <c r="SHH2" s="87"/>
      <c r="SHJ2" s="87"/>
      <c r="SHL2" s="87"/>
      <c r="SHN2" s="87"/>
      <c r="SHP2" s="87"/>
      <c r="SHR2" s="87"/>
      <c r="SHT2" s="87"/>
      <c r="SHV2" s="87"/>
      <c r="SHX2" s="87"/>
      <c r="SHZ2" s="87"/>
      <c r="SIB2" s="87"/>
      <c r="SID2" s="87"/>
      <c r="SIF2" s="87"/>
      <c r="SIH2" s="87"/>
      <c r="SIJ2" s="87"/>
      <c r="SIL2" s="87"/>
      <c r="SIN2" s="87"/>
      <c r="SIP2" s="87"/>
      <c r="SIR2" s="87"/>
      <c r="SIT2" s="87"/>
      <c r="SIV2" s="87"/>
      <c r="SIX2" s="87"/>
      <c r="SIZ2" s="87"/>
      <c r="SJB2" s="87"/>
      <c r="SJD2" s="87"/>
      <c r="SJF2" s="87"/>
      <c r="SJH2" s="87"/>
      <c r="SJJ2" s="87"/>
      <c r="SJL2" s="87"/>
      <c r="SJN2" s="87"/>
      <c r="SJP2" s="87"/>
      <c r="SJR2" s="87"/>
      <c r="SJT2" s="87"/>
      <c r="SJV2" s="87"/>
      <c r="SJX2" s="87"/>
      <c r="SJZ2" s="87"/>
      <c r="SKB2" s="87"/>
      <c r="SKD2" s="87"/>
      <c r="SKF2" s="87"/>
      <c r="SKH2" s="87"/>
      <c r="SKJ2" s="87"/>
      <c r="SKL2" s="87"/>
      <c r="SKN2" s="87"/>
      <c r="SKP2" s="87"/>
      <c r="SKR2" s="87"/>
      <c r="SKT2" s="87"/>
      <c r="SKV2" s="87"/>
      <c r="SKX2" s="87"/>
      <c r="SKZ2" s="87"/>
      <c r="SLB2" s="87"/>
      <c r="SLD2" s="87"/>
      <c r="SLF2" s="87"/>
      <c r="SLH2" s="87"/>
      <c r="SLJ2" s="87"/>
      <c r="SLL2" s="87"/>
      <c r="SLN2" s="87"/>
      <c r="SLP2" s="87"/>
      <c r="SLR2" s="87"/>
      <c r="SLT2" s="87"/>
      <c r="SLV2" s="87"/>
      <c r="SLX2" s="87"/>
      <c r="SLZ2" s="87"/>
      <c r="SMB2" s="87"/>
      <c r="SMD2" s="87"/>
      <c r="SMF2" s="87"/>
      <c r="SMH2" s="87"/>
      <c r="SMJ2" s="87"/>
      <c r="SML2" s="87"/>
      <c r="SMN2" s="87"/>
      <c r="SMP2" s="87"/>
      <c r="SMR2" s="87"/>
      <c r="SMT2" s="87"/>
      <c r="SMV2" s="87"/>
      <c r="SMX2" s="87"/>
      <c r="SMZ2" s="87"/>
      <c r="SNB2" s="87"/>
      <c r="SND2" s="87"/>
      <c r="SNF2" s="87"/>
      <c r="SNH2" s="87"/>
      <c r="SNJ2" s="87"/>
      <c r="SNL2" s="87"/>
      <c r="SNN2" s="87"/>
      <c r="SNP2" s="87"/>
      <c r="SNR2" s="87"/>
      <c r="SNT2" s="87"/>
      <c r="SNV2" s="87"/>
      <c r="SNX2" s="87"/>
      <c r="SNZ2" s="87"/>
      <c r="SOB2" s="87"/>
      <c r="SOD2" s="87"/>
      <c r="SOF2" s="87"/>
      <c r="SOH2" s="87"/>
      <c r="SOJ2" s="87"/>
      <c r="SOL2" s="87"/>
      <c r="SON2" s="87"/>
      <c r="SOP2" s="87"/>
      <c r="SOR2" s="87"/>
      <c r="SOT2" s="87"/>
      <c r="SOV2" s="87"/>
      <c r="SOX2" s="87"/>
      <c r="SOZ2" s="87"/>
      <c r="SPB2" s="87"/>
      <c r="SPD2" s="87"/>
      <c r="SPF2" s="87"/>
      <c r="SPH2" s="87"/>
      <c r="SPJ2" s="87"/>
      <c r="SPL2" s="87"/>
      <c r="SPN2" s="87"/>
      <c r="SPP2" s="87"/>
      <c r="SPR2" s="87"/>
      <c r="SPT2" s="87"/>
      <c r="SPV2" s="87"/>
      <c r="SPX2" s="87"/>
      <c r="SPZ2" s="87"/>
      <c r="SQB2" s="87"/>
      <c r="SQD2" s="87"/>
      <c r="SQF2" s="87"/>
      <c r="SQH2" s="87"/>
      <c r="SQJ2" s="87"/>
      <c r="SQL2" s="87"/>
      <c r="SQN2" s="87"/>
      <c r="SQP2" s="87"/>
      <c r="SQR2" s="87"/>
      <c r="SQT2" s="87"/>
      <c r="SQV2" s="87"/>
      <c r="SQX2" s="87"/>
      <c r="SQZ2" s="87"/>
      <c r="SRB2" s="87"/>
      <c r="SRD2" s="87"/>
      <c r="SRF2" s="87"/>
      <c r="SRH2" s="87"/>
      <c r="SRJ2" s="87"/>
      <c r="SRL2" s="87"/>
      <c r="SRN2" s="87"/>
      <c r="SRP2" s="87"/>
      <c r="SRR2" s="87"/>
      <c r="SRT2" s="87"/>
      <c r="SRV2" s="87"/>
      <c r="SRX2" s="87"/>
      <c r="SRZ2" s="87"/>
      <c r="SSB2" s="87"/>
      <c r="SSD2" s="87"/>
      <c r="SSF2" s="87"/>
      <c r="SSH2" s="87"/>
      <c r="SSJ2" s="87"/>
      <c r="SSL2" s="87"/>
      <c r="SSN2" s="87"/>
      <c r="SSP2" s="87"/>
      <c r="SSR2" s="87"/>
      <c r="SST2" s="87"/>
      <c r="SSV2" s="87"/>
      <c r="SSX2" s="87"/>
      <c r="SSZ2" s="87"/>
      <c r="STB2" s="87"/>
      <c r="STD2" s="87"/>
      <c r="STF2" s="87"/>
      <c r="STH2" s="87"/>
      <c r="STJ2" s="87"/>
      <c r="STL2" s="87"/>
      <c r="STN2" s="87"/>
      <c r="STP2" s="87"/>
      <c r="STR2" s="87"/>
      <c r="STT2" s="87"/>
      <c r="STV2" s="87"/>
      <c r="STX2" s="87"/>
      <c r="STZ2" s="87"/>
      <c r="SUB2" s="87"/>
      <c r="SUD2" s="87"/>
      <c r="SUF2" s="87"/>
      <c r="SUH2" s="87"/>
      <c r="SUJ2" s="87"/>
      <c r="SUL2" s="87"/>
      <c r="SUN2" s="87"/>
      <c r="SUP2" s="87"/>
      <c r="SUR2" s="87"/>
      <c r="SUT2" s="87"/>
      <c r="SUV2" s="87"/>
      <c r="SUX2" s="87"/>
      <c r="SUZ2" s="87"/>
      <c r="SVB2" s="87"/>
      <c r="SVD2" s="87"/>
      <c r="SVF2" s="87"/>
      <c r="SVH2" s="87"/>
      <c r="SVJ2" s="87"/>
      <c r="SVL2" s="87"/>
      <c r="SVN2" s="87"/>
      <c r="SVP2" s="87"/>
      <c r="SVR2" s="87"/>
      <c r="SVT2" s="87"/>
      <c r="SVV2" s="87"/>
      <c r="SVX2" s="87"/>
      <c r="SVZ2" s="87"/>
      <c r="SWB2" s="87"/>
      <c r="SWD2" s="87"/>
      <c r="SWF2" s="87"/>
      <c r="SWH2" s="87"/>
      <c r="SWJ2" s="87"/>
      <c r="SWL2" s="87"/>
      <c r="SWN2" s="87"/>
      <c r="SWP2" s="87"/>
      <c r="SWR2" s="87"/>
      <c r="SWT2" s="87"/>
      <c r="SWV2" s="87"/>
      <c r="SWX2" s="87"/>
      <c r="SWZ2" s="87"/>
      <c r="SXB2" s="87"/>
      <c r="SXD2" s="87"/>
      <c r="SXF2" s="87"/>
      <c r="SXH2" s="87"/>
      <c r="SXJ2" s="87"/>
      <c r="SXL2" s="87"/>
      <c r="SXN2" s="87"/>
      <c r="SXP2" s="87"/>
      <c r="SXR2" s="87"/>
      <c r="SXT2" s="87"/>
      <c r="SXV2" s="87"/>
      <c r="SXX2" s="87"/>
      <c r="SXZ2" s="87"/>
      <c r="SYB2" s="87"/>
      <c r="SYD2" s="87"/>
      <c r="SYF2" s="87"/>
      <c r="SYH2" s="87"/>
      <c r="SYJ2" s="87"/>
      <c r="SYL2" s="87"/>
      <c r="SYN2" s="87"/>
      <c r="SYP2" s="87"/>
      <c r="SYR2" s="87"/>
      <c r="SYT2" s="87"/>
      <c r="SYV2" s="87"/>
      <c r="SYX2" s="87"/>
      <c r="SYZ2" s="87"/>
      <c r="SZB2" s="87"/>
      <c r="SZD2" s="87"/>
      <c r="SZF2" s="87"/>
      <c r="SZH2" s="87"/>
      <c r="SZJ2" s="87"/>
      <c r="SZL2" s="87"/>
      <c r="SZN2" s="87"/>
      <c r="SZP2" s="87"/>
      <c r="SZR2" s="87"/>
      <c r="SZT2" s="87"/>
      <c r="SZV2" s="87"/>
      <c r="SZX2" s="87"/>
      <c r="SZZ2" s="87"/>
      <c r="TAB2" s="87"/>
      <c r="TAD2" s="87"/>
      <c r="TAF2" s="87"/>
      <c r="TAH2" s="87"/>
      <c r="TAJ2" s="87"/>
      <c r="TAL2" s="87"/>
      <c r="TAN2" s="87"/>
      <c r="TAP2" s="87"/>
      <c r="TAR2" s="87"/>
      <c r="TAT2" s="87"/>
      <c r="TAV2" s="87"/>
      <c r="TAX2" s="87"/>
      <c r="TAZ2" s="87"/>
      <c r="TBB2" s="87"/>
      <c r="TBD2" s="87"/>
      <c r="TBF2" s="87"/>
      <c r="TBH2" s="87"/>
      <c r="TBJ2" s="87"/>
      <c r="TBL2" s="87"/>
      <c r="TBN2" s="87"/>
      <c r="TBP2" s="87"/>
      <c r="TBR2" s="87"/>
      <c r="TBT2" s="87"/>
      <c r="TBV2" s="87"/>
      <c r="TBX2" s="87"/>
      <c r="TBZ2" s="87"/>
      <c r="TCB2" s="87"/>
      <c r="TCD2" s="87"/>
      <c r="TCF2" s="87"/>
      <c r="TCH2" s="87"/>
      <c r="TCJ2" s="87"/>
      <c r="TCL2" s="87"/>
      <c r="TCN2" s="87"/>
      <c r="TCP2" s="87"/>
      <c r="TCR2" s="87"/>
      <c r="TCT2" s="87"/>
      <c r="TCV2" s="87"/>
      <c r="TCX2" s="87"/>
      <c r="TCZ2" s="87"/>
      <c r="TDB2" s="87"/>
      <c r="TDD2" s="87"/>
      <c r="TDF2" s="87"/>
      <c r="TDH2" s="87"/>
      <c r="TDJ2" s="87"/>
      <c r="TDL2" s="87"/>
      <c r="TDN2" s="87"/>
      <c r="TDP2" s="87"/>
      <c r="TDR2" s="87"/>
      <c r="TDT2" s="87"/>
      <c r="TDV2" s="87"/>
      <c r="TDX2" s="87"/>
      <c r="TDZ2" s="87"/>
      <c r="TEB2" s="87"/>
      <c r="TED2" s="87"/>
      <c r="TEF2" s="87"/>
      <c r="TEH2" s="87"/>
      <c r="TEJ2" s="87"/>
      <c r="TEL2" s="87"/>
      <c r="TEN2" s="87"/>
      <c r="TEP2" s="87"/>
      <c r="TER2" s="87"/>
      <c r="TET2" s="87"/>
      <c r="TEV2" s="87"/>
      <c r="TEX2" s="87"/>
      <c r="TEZ2" s="87"/>
      <c r="TFB2" s="87"/>
      <c r="TFD2" s="87"/>
      <c r="TFF2" s="87"/>
      <c r="TFH2" s="87"/>
      <c r="TFJ2" s="87"/>
      <c r="TFL2" s="87"/>
      <c r="TFN2" s="87"/>
      <c r="TFP2" s="87"/>
      <c r="TFR2" s="87"/>
      <c r="TFT2" s="87"/>
      <c r="TFV2" s="87"/>
      <c r="TFX2" s="87"/>
      <c r="TFZ2" s="87"/>
      <c r="TGB2" s="87"/>
      <c r="TGD2" s="87"/>
      <c r="TGF2" s="87"/>
      <c r="TGH2" s="87"/>
      <c r="TGJ2" s="87"/>
      <c r="TGL2" s="87"/>
      <c r="TGN2" s="87"/>
      <c r="TGP2" s="87"/>
      <c r="TGR2" s="87"/>
      <c r="TGT2" s="87"/>
      <c r="TGV2" s="87"/>
      <c r="TGX2" s="87"/>
      <c r="TGZ2" s="87"/>
      <c r="THB2" s="87"/>
      <c r="THD2" s="87"/>
      <c r="THF2" s="87"/>
      <c r="THH2" s="87"/>
      <c r="THJ2" s="87"/>
      <c r="THL2" s="87"/>
      <c r="THN2" s="87"/>
      <c r="THP2" s="87"/>
      <c r="THR2" s="87"/>
      <c r="THT2" s="87"/>
      <c r="THV2" s="87"/>
      <c r="THX2" s="87"/>
      <c r="THZ2" s="87"/>
      <c r="TIB2" s="87"/>
      <c r="TID2" s="87"/>
      <c r="TIF2" s="87"/>
      <c r="TIH2" s="87"/>
      <c r="TIJ2" s="87"/>
      <c r="TIL2" s="87"/>
      <c r="TIN2" s="87"/>
      <c r="TIP2" s="87"/>
      <c r="TIR2" s="87"/>
      <c r="TIT2" s="87"/>
      <c r="TIV2" s="87"/>
      <c r="TIX2" s="87"/>
      <c r="TIZ2" s="87"/>
      <c r="TJB2" s="87"/>
      <c r="TJD2" s="87"/>
      <c r="TJF2" s="87"/>
      <c r="TJH2" s="87"/>
      <c r="TJJ2" s="87"/>
      <c r="TJL2" s="87"/>
      <c r="TJN2" s="87"/>
      <c r="TJP2" s="87"/>
      <c r="TJR2" s="87"/>
      <c r="TJT2" s="87"/>
      <c r="TJV2" s="87"/>
      <c r="TJX2" s="87"/>
      <c r="TJZ2" s="87"/>
      <c r="TKB2" s="87"/>
      <c r="TKD2" s="87"/>
      <c r="TKF2" s="87"/>
      <c r="TKH2" s="87"/>
      <c r="TKJ2" s="87"/>
      <c r="TKL2" s="87"/>
      <c r="TKN2" s="87"/>
      <c r="TKP2" s="87"/>
      <c r="TKR2" s="87"/>
      <c r="TKT2" s="87"/>
      <c r="TKV2" s="87"/>
      <c r="TKX2" s="87"/>
      <c r="TKZ2" s="87"/>
      <c r="TLB2" s="87"/>
      <c r="TLD2" s="87"/>
      <c r="TLF2" s="87"/>
      <c r="TLH2" s="87"/>
      <c r="TLJ2" s="87"/>
      <c r="TLL2" s="87"/>
      <c r="TLN2" s="87"/>
      <c r="TLP2" s="87"/>
      <c r="TLR2" s="87"/>
      <c r="TLT2" s="87"/>
      <c r="TLV2" s="87"/>
      <c r="TLX2" s="87"/>
      <c r="TLZ2" s="87"/>
      <c r="TMB2" s="87"/>
      <c r="TMD2" s="87"/>
      <c r="TMF2" s="87"/>
      <c r="TMH2" s="87"/>
      <c r="TMJ2" s="87"/>
      <c r="TML2" s="87"/>
      <c r="TMN2" s="87"/>
      <c r="TMP2" s="87"/>
      <c r="TMR2" s="87"/>
      <c r="TMT2" s="87"/>
      <c r="TMV2" s="87"/>
      <c r="TMX2" s="87"/>
      <c r="TMZ2" s="87"/>
      <c r="TNB2" s="87"/>
      <c r="TND2" s="87"/>
      <c r="TNF2" s="87"/>
      <c r="TNH2" s="87"/>
      <c r="TNJ2" s="87"/>
      <c r="TNL2" s="87"/>
      <c r="TNN2" s="87"/>
      <c r="TNP2" s="87"/>
      <c r="TNR2" s="87"/>
      <c r="TNT2" s="87"/>
      <c r="TNV2" s="87"/>
      <c r="TNX2" s="87"/>
      <c r="TNZ2" s="87"/>
      <c r="TOB2" s="87"/>
      <c r="TOD2" s="87"/>
      <c r="TOF2" s="87"/>
      <c r="TOH2" s="87"/>
      <c r="TOJ2" s="87"/>
      <c r="TOL2" s="87"/>
      <c r="TON2" s="87"/>
      <c r="TOP2" s="87"/>
      <c r="TOR2" s="87"/>
      <c r="TOT2" s="87"/>
      <c r="TOV2" s="87"/>
      <c r="TOX2" s="87"/>
      <c r="TOZ2" s="87"/>
      <c r="TPB2" s="87"/>
      <c r="TPD2" s="87"/>
      <c r="TPF2" s="87"/>
      <c r="TPH2" s="87"/>
      <c r="TPJ2" s="87"/>
      <c r="TPL2" s="87"/>
      <c r="TPN2" s="87"/>
      <c r="TPP2" s="87"/>
      <c r="TPR2" s="87"/>
      <c r="TPT2" s="87"/>
      <c r="TPV2" s="87"/>
      <c r="TPX2" s="87"/>
      <c r="TPZ2" s="87"/>
      <c r="TQB2" s="87"/>
      <c r="TQD2" s="87"/>
      <c r="TQF2" s="87"/>
      <c r="TQH2" s="87"/>
      <c r="TQJ2" s="87"/>
      <c r="TQL2" s="87"/>
      <c r="TQN2" s="87"/>
      <c r="TQP2" s="87"/>
      <c r="TQR2" s="87"/>
      <c r="TQT2" s="87"/>
      <c r="TQV2" s="87"/>
      <c r="TQX2" s="87"/>
      <c r="TQZ2" s="87"/>
      <c r="TRB2" s="87"/>
      <c r="TRD2" s="87"/>
      <c r="TRF2" s="87"/>
      <c r="TRH2" s="87"/>
      <c r="TRJ2" s="87"/>
      <c r="TRL2" s="87"/>
      <c r="TRN2" s="87"/>
      <c r="TRP2" s="87"/>
      <c r="TRR2" s="87"/>
      <c r="TRT2" s="87"/>
      <c r="TRV2" s="87"/>
      <c r="TRX2" s="87"/>
      <c r="TRZ2" s="87"/>
      <c r="TSB2" s="87"/>
      <c r="TSD2" s="87"/>
      <c r="TSF2" s="87"/>
      <c r="TSH2" s="87"/>
      <c r="TSJ2" s="87"/>
      <c r="TSL2" s="87"/>
      <c r="TSN2" s="87"/>
      <c r="TSP2" s="87"/>
      <c r="TSR2" s="87"/>
      <c r="TST2" s="87"/>
      <c r="TSV2" s="87"/>
      <c r="TSX2" s="87"/>
      <c r="TSZ2" s="87"/>
      <c r="TTB2" s="87"/>
      <c r="TTD2" s="87"/>
      <c r="TTF2" s="87"/>
      <c r="TTH2" s="87"/>
      <c r="TTJ2" s="87"/>
      <c r="TTL2" s="87"/>
      <c r="TTN2" s="87"/>
      <c r="TTP2" s="87"/>
      <c r="TTR2" s="87"/>
      <c r="TTT2" s="87"/>
      <c r="TTV2" s="87"/>
      <c r="TTX2" s="87"/>
      <c r="TTZ2" s="87"/>
      <c r="TUB2" s="87"/>
      <c r="TUD2" s="87"/>
      <c r="TUF2" s="87"/>
      <c r="TUH2" s="87"/>
      <c r="TUJ2" s="87"/>
      <c r="TUL2" s="87"/>
      <c r="TUN2" s="87"/>
      <c r="TUP2" s="87"/>
      <c r="TUR2" s="87"/>
      <c r="TUT2" s="87"/>
      <c r="TUV2" s="87"/>
      <c r="TUX2" s="87"/>
      <c r="TUZ2" s="87"/>
      <c r="TVB2" s="87"/>
      <c r="TVD2" s="87"/>
      <c r="TVF2" s="87"/>
      <c r="TVH2" s="87"/>
      <c r="TVJ2" s="87"/>
      <c r="TVL2" s="87"/>
      <c r="TVN2" s="87"/>
      <c r="TVP2" s="87"/>
      <c r="TVR2" s="87"/>
      <c r="TVT2" s="87"/>
      <c r="TVV2" s="87"/>
      <c r="TVX2" s="87"/>
      <c r="TVZ2" s="87"/>
      <c r="TWB2" s="87"/>
      <c r="TWD2" s="87"/>
      <c r="TWF2" s="87"/>
      <c r="TWH2" s="87"/>
      <c r="TWJ2" s="87"/>
      <c r="TWL2" s="87"/>
      <c r="TWN2" s="87"/>
      <c r="TWP2" s="87"/>
      <c r="TWR2" s="87"/>
      <c r="TWT2" s="87"/>
      <c r="TWV2" s="87"/>
      <c r="TWX2" s="87"/>
      <c r="TWZ2" s="87"/>
      <c r="TXB2" s="87"/>
      <c r="TXD2" s="87"/>
      <c r="TXF2" s="87"/>
      <c r="TXH2" s="87"/>
      <c r="TXJ2" s="87"/>
      <c r="TXL2" s="87"/>
      <c r="TXN2" s="87"/>
      <c r="TXP2" s="87"/>
      <c r="TXR2" s="87"/>
      <c r="TXT2" s="87"/>
      <c r="TXV2" s="87"/>
      <c r="TXX2" s="87"/>
      <c r="TXZ2" s="87"/>
      <c r="TYB2" s="87"/>
      <c r="TYD2" s="87"/>
      <c r="TYF2" s="87"/>
      <c r="TYH2" s="87"/>
      <c r="TYJ2" s="87"/>
      <c r="TYL2" s="87"/>
      <c r="TYN2" s="87"/>
      <c r="TYP2" s="87"/>
      <c r="TYR2" s="87"/>
      <c r="TYT2" s="87"/>
      <c r="TYV2" s="87"/>
      <c r="TYX2" s="87"/>
      <c r="TYZ2" s="87"/>
      <c r="TZB2" s="87"/>
      <c r="TZD2" s="87"/>
      <c r="TZF2" s="87"/>
      <c r="TZH2" s="87"/>
      <c r="TZJ2" s="87"/>
      <c r="TZL2" s="87"/>
      <c r="TZN2" s="87"/>
      <c r="TZP2" s="87"/>
      <c r="TZR2" s="87"/>
      <c r="TZT2" s="87"/>
      <c r="TZV2" s="87"/>
      <c r="TZX2" s="87"/>
      <c r="TZZ2" s="87"/>
      <c r="UAB2" s="87"/>
      <c r="UAD2" s="87"/>
      <c r="UAF2" s="87"/>
      <c r="UAH2" s="87"/>
      <c r="UAJ2" s="87"/>
      <c r="UAL2" s="87"/>
      <c r="UAN2" s="87"/>
      <c r="UAP2" s="87"/>
      <c r="UAR2" s="87"/>
      <c r="UAT2" s="87"/>
      <c r="UAV2" s="87"/>
      <c r="UAX2" s="87"/>
      <c r="UAZ2" s="87"/>
      <c r="UBB2" s="87"/>
      <c r="UBD2" s="87"/>
      <c r="UBF2" s="87"/>
      <c r="UBH2" s="87"/>
      <c r="UBJ2" s="87"/>
      <c r="UBL2" s="87"/>
      <c r="UBN2" s="87"/>
      <c r="UBP2" s="87"/>
      <c r="UBR2" s="87"/>
      <c r="UBT2" s="87"/>
      <c r="UBV2" s="87"/>
      <c r="UBX2" s="87"/>
      <c r="UBZ2" s="87"/>
      <c r="UCB2" s="87"/>
      <c r="UCD2" s="87"/>
      <c r="UCF2" s="87"/>
      <c r="UCH2" s="87"/>
      <c r="UCJ2" s="87"/>
      <c r="UCL2" s="87"/>
      <c r="UCN2" s="87"/>
      <c r="UCP2" s="87"/>
      <c r="UCR2" s="87"/>
      <c r="UCT2" s="87"/>
      <c r="UCV2" s="87"/>
      <c r="UCX2" s="87"/>
      <c r="UCZ2" s="87"/>
      <c r="UDB2" s="87"/>
      <c r="UDD2" s="87"/>
      <c r="UDF2" s="87"/>
      <c r="UDH2" s="87"/>
      <c r="UDJ2" s="87"/>
      <c r="UDL2" s="87"/>
      <c r="UDN2" s="87"/>
      <c r="UDP2" s="87"/>
      <c r="UDR2" s="87"/>
      <c r="UDT2" s="87"/>
      <c r="UDV2" s="87"/>
      <c r="UDX2" s="87"/>
      <c r="UDZ2" s="87"/>
      <c r="UEB2" s="87"/>
      <c r="UED2" s="87"/>
      <c r="UEF2" s="87"/>
      <c r="UEH2" s="87"/>
      <c r="UEJ2" s="87"/>
      <c r="UEL2" s="87"/>
      <c r="UEN2" s="87"/>
      <c r="UEP2" s="87"/>
      <c r="UER2" s="87"/>
      <c r="UET2" s="87"/>
      <c r="UEV2" s="87"/>
      <c r="UEX2" s="87"/>
      <c r="UEZ2" s="87"/>
      <c r="UFB2" s="87"/>
      <c r="UFD2" s="87"/>
      <c r="UFF2" s="87"/>
      <c r="UFH2" s="87"/>
      <c r="UFJ2" s="87"/>
      <c r="UFL2" s="87"/>
      <c r="UFN2" s="87"/>
      <c r="UFP2" s="87"/>
      <c r="UFR2" s="87"/>
      <c r="UFT2" s="87"/>
      <c r="UFV2" s="87"/>
      <c r="UFX2" s="87"/>
      <c r="UFZ2" s="87"/>
      <c r="UGB2" s="87"/>
      <c r="UGD2" s="87"/>
      <c r="UGF2" s="87"/>
      <c r="UGH2" s="87"/>
      <c r="UGJ2" s="87"/>
      <c r="UGL2" s="87"/>
      <c r="UGN2" s="87"/>
      <c r="UGP2" s="87"/>
      <c r="UGR2" s="87"/>
      <c r="UGT2" s="87"/>
      <c r="UGV2" s="87"/>
      <c r="UGX2" s="87"/>
      <c r="UGZ2" s="87"/>
      <c r="UHB2" s="87"/>
      <c r="UHD2" s="87"/>
      <c r="UHF2" s="87"/>
      <c r="UHH2" s="87"/>
      <c r="UHJ2" s="87"/>
      <c r="UHL2" s="87"/>
      <c r="UHN2" s="87"/>
      <c r="UHP2" s="87"/>
      <c r="UHR2" s="87"/>
      <c r="UHT2" s="87"/>
      <c r="UHV2" s="87"/>
      <c r="UHX2" s="87"/>
      <c r="UHZ2" s="87"/>
      <c r="UIB2" s="87"/>
      <c r="UID2" s="87"/>
      <c r="UIF2" s="87"/>
      <c r="UIH2" s="87"/>
      <c r="UIJ2" s="87"/>
      <c r="UIL2" s="87"/>
      <c r="UIN2" s="87"/>
      <c r="UIP2" s="87"/>
      <c r="UIR2" s="87"/>
      <c r="UIT2" s="87"/>
      <c r="UIV2" s="87"/>
      <c r="UIX2" s="87"/>
      <c r="UIZ2" s="87"/>
      <c r="UJB2" s="87"/>
      <c r="UJD2" s="87"/>
      <c r="UJF2" s="87"/>
      <c r="UJH2" s="87"/>
      <c r="UJJ2" s="87"/>
      <c r="UJL2" s="87"/>
      <c r="UJN2" s="87"/>
      <c r="UJP2" s="87"/>
      <c r="UJR2" s="87"/>
      <c r="UJT2" s="87"/>
      <c r="UJV2" s="87"/>
      <c r="UJX2" s="87"/>
      <c r="UJZ2" s="87"/>
      <c r="UKB2" s="87"/>
      <c r="UKD2" s="87"/>
      <c r="UKF2" s="87"/>
      <c r="UKH2" s="87"/>
      <c r="UKJ2" s="87"/>
      <c r="UKL2" s="87"/>
      <c r="UKN2" s="87"/>
      <c r="UKP2" s="87"/>
      <c r="UKR2" s="87"/>
      <c r="UKT2" s="87"/>
      <c r="UKV2" s="87"/>
      <c r="UKX2" s="87"/>
      <c r="UKZ2" s="87"/>
      <c r="ULB2" s="87"/>
      <c r="ULD2" s="87"/>
      <c r="ULF2" s="87"/>
      <c r="ULH2" s="87"/>
      <c r="ULJ2" s="87"/>
      <c r="ULL2" s="87"/>
      <c r="ULN2" s="87"/>
      <c r="ULP2" s="87"/>
      <c r="ULR2" s="87"/>
      <c r="ULT2" s="87"/>
      <c r="ULV2" s="87"/>
      <c r="ULX2" s="87"/>
      <c r="ULZ2" s="87"/>
      <c r="UMB2" s="87"/>
      <c r="UMD2" s="87"/>
      <c r="UMF2" s="87"/>
      <c r="UMH2" s="87"/>
      <c r="UMJ2" s="87"/>
      <c r="UML2" s="87"/>
      <c r="UMN2" s="87"/>
      <c r="UMP2" s="87"/>
      <c r="UMR2" s="87"/>
      <c r="UMT2" s="87"/>
      <c r="UMV2" s="87"/>
      <c r="UMX2" s="87"/>
      <c r="UMZ2" s="87"/>
      <c r="UNB2" s="87"/>
      <c r="UND2" s="87"/>
      <c r="UNF2" s="87"/>
      <c r="UNH2" s="87"/>
      <c r="UNJ2" s="87"/>
      <c r="UNL2" s="87"/>
      <c r="UNN2" s="87"/>
      <c r="UNP2" s="87"/>
      <c r="UNR2" s="87"/>
      <c r="UNT2" s="87"/>
      <c r="UNV2" s="87"/>
      <c r="UNX2" s="87"/>
      <c r="UNZ2" s="87"/>
      <c r="UOB2" s="87"/>
      <c r="UOD2" s="87"/>
      <c r="UOF2" s="87"/>
      <c r="UOH2" s="87"/>
      <c r="UOJ2" s="87"/>
      <c r="UOL2" s="87"/>
      <c r="UON2" s="87"/>
      <c r="UOP2" s="87"/>
      <c r="UOR2" s="87"/>
      <c r="UOT2" s="87"/>
      <c r="UOV2" s="87"/>
      <c r="UOX2" s="87"/>
      <c r="UOZ2" s="87"/>
      <c r="UPB2" s="87"/>
      <c r="UPD2" s="87"/>
      <c r="UPF2" s="87"/>
      <c r="UPH2" s="87"/>
      <c r="UPJ2" s="87"/>
      <c r="UPL2" s="87"/>
      <c r="UPN2" s="87"/>
      <c r="UPP2" s="87"/>
      <c r="UPR2" s="87"/>
      <c r="UPT2" s="87"/>
      <c r="UPV2" s="87"/>
      <c r="UPX2" s="87"/>
      <c r="UPZ2" s="87"/>
      <c r="UQB2" s="87"/>
      <c r="UQD2" s="87"/>
      <c r="UQF2" s="87"/>
      <c r="UQH2" s="87"/>
      <c r="UQJ2" s="87"/>
      <c r="UQL2" s="87"/>
      <c r="UQN2" s="87"/>
      <c r="UQP2" s="87"/>
      <c r="UQR2" s="87"/>
      <c r="UQT2" s="87"/>
      <c r="UQV2" s="87"/>
      <c r="UQX2" s="87"/>
      <c r="UQZ2" s="87"/>
      <c r="URB2" s="87"/>
      <c r="URD2" s="87"/>
      <c r="URF2" s="87"/>
      <c r="URH2" s="87"/>
      <c r="URJ2" s="87"/>
      <c r="URL2" s="87"/>
      <c r="URN2" s="87"/>
      <c r="URP2" s="87"/>
      <c r="URR2" s="87"/>
      <c r="URT2" s="87"/>
      <c r="URV2" s="87"/>
      <c r="URX2" s="87"/>
      <c r="URZ2" s="87"/>
      <c r="USB2" s="87"/>
      <c r="USD2" s="87"/>
      <c r="USF2" s="87"/>
      <c r="USH2" s="87"/>
      <c r="USJ2" s="87"/>
      <c r="USL2" s="87"/>
      <c r="USN2" s="87"/>
      <c r="USP2" s="87"/>
      <c r="USR2" s="87"/>
      <c r="UST2" s="87"/>
      <c r="USV2" s="87"/>
      <c r="USX2" s="87"/>
      <c r="USZ2" s="87"/>
      <c r="UTB2" s="87"/>
      <c r="UTD2" s="87"/>
      <c r="UTF2" s="87"/>
      <c r="UTH2" s="87"/>
      <c r="UTJ2" s="87"/>
      <c r="UTL2" s="87"/>
      <c r="UTN2" s="87"/>
      <c r="UTP2" s="87"/>
      <c r="UTR2" s="87"/>
      <c r="UTT2" s="87"/>
      <c r="UTV2" s="87"/>
      <c r="UTX2" s="87"/>
      <c r="UTZ2" s="87"/>
      <c r="UUB2" s="87"/>
      <c r="UUD2" s="87"/>
      <c r="UUF2" s="87"/>
      <c r="UUH2" s="87"/>
      <c r="UUJ2" s="87"/>
      <c r="UUL2" s="87"/>
      <c r="UUN2" s="87"/>
      <c r="UUP2" s="87"/>
      <c r="UUR2" s="87"/>
      <c r="UUT2" s="87"/>
      <c r="UUV2" s="87"/>
      <c r="UUX2" s="87"/>
      <c r="UUZ2" s="87"/>
      <c r="UVB2" s="87"/>
      <c r="UVD2" s="87"/>
      <c r="UVF2" s="87"/>
      <c r="UVH2" s="87"/>
      <c r="UVJ2" s="87"/>
      <c r="UVL2" s="87"/>
      <c r="UVN2" s="87"/>
      <c r="UVP2" s="87"/>
      <c r="UVR2" s="87"/>
      <c r="UVT2" s="87"/>
      <c r="UVV2" s="87"/>
      <c r="UVX2" s="87"/>
      <c r="UVZ2" s="87"/>
      <c r="UWB2" s="87"/>
      <c r="UWD2" s="87"/>
      <c r="UWF2" s="87"/>
      <c r="UWH2" s="87"/>
      <c r="UWJ2" s="87"/>
      <c r="UWL2" s="87"/>
      <c r="UWN2" s="87"/>
      <c r="UWP2" s="87"/>
      <c r="UWR2" s="87"/>
      <c r="UWT2" s="87"/>
      <c r="UWV2" s="87"/>
      <c r="UWX2" s="87"/>
      <c r="UWZ2" s="87"/>
      <c r="UXB2" s="87"/>
      <c r="UXD2" s="87"/>
      <c r="UXF2" s="87"/>
      <c r="UXH2" s="87"/>
      <c r="UXJ2" s="87"/>
      <c r="UXL2" s="87"/>
      <c r="UXN2" s="87"/>
      <c r="UXP2" s="87"/>
      <c r="UXR2" s="87"/>
      <c r="UXT2" s="87"/>
      <c r="UXV2" s="87"/>
      <c r="UXX2" s="87"/>
      <c r="UXZ2" s="87"/>
      <c r="UYB2" s="87"/>
      <c r="UYD2" s="87"/>
      <c r="UYF2" s="87"/>
      <c r="UYH2" s="87"/>
      <c r="UYJ2" s="87"/>
      <c r="UYL2" s="87"/>
      <c r="UYN2" s="87"/>
      <c r="UYP2" s="87"/>
      <c r="UYR2" s="87"/>
      <c r="UYT2" s="87"/>
      <c r="UYV2" s="87"/>
      <c r="UYX2" s="87"/>
      <c r="UYZ2" s="87"/>
      <c r="UZB2" s="87"/>
      <c r="UZD2" s="87"/>
      <c r="UZF2" s="87"/>
      <c r="UZH2" s="87"/>
      <c r="UZJ2" s="87"/>
      <c r="UZL2" s="87"/>
      <c r="UZN2" s="87"/>
      <c r="UZP2" s="87"/>
      <c r="UZR2" s="87"/>
      <c r="UZT2" s="87"/>
      <c r="UZV2" s="87"/>
      <c r="UZX2" s="87"/>
      <c r="UZZ2" s="87"/>
      <c r="VAB2" s="87"/>
      <c r="VAD2" s="87"/>
      <c r="VAF2" s="87"/>
      <c r="VAH2" s="87"/>
      <c r="VAJ2" s="87"/>
      <c r="VAL2" s="87"/>
      <c r="VAN2" s="87"/>
      <c r="VAP2" s="87"/>
      <c r="VAR2" s="87"/>
      <c r="VAT2" s="87"/>
      <c r="VAV2" s="87"/>
      <c r="VAX2" s="87"/>
      <c r="VAZ2" s="87"/>
      <c r="VBB2" s="87"/>
      <c r="VBD2" s="87"/>
      <c r="VBF2" s="87"/>
      <c r="VBH2" s="87"/>
      <c r="VBJ2" s="87"/>
      <c r="VBL2" s="87"/>
      <c r="VBN2" s="87"/>
      <c r="VBP2" s="87"/>
      <c r="VBR2" s="87"/>
      <c r="VBT2" s="87"/>
      <c r="VBV2" s="87"/>
      <c r="VBX2" s="87"/>
      <c r="VBZ2" s="87"/>
      <c r="VCB2" s="87"/>
      <c r="VCD2" s="87"/>
      <c r="VCF2" s="87"/>
      <c r="VCH2" s="87"/>
      <c r="VCJ2" s="87"/>
      <c r="VCL2" s="87"/>
      <c r="VCN2" s="87"/>
      <c r="VCP2" s="87"/>
      <c r="VCR2" s="87"/>
      <c r="VCT2" s="87"/>
      <c r="VCV2" s="87"/>
      <c r="VCX2" s="87"/>
      <c r="VCZ2" s="87"/>
      <c r="VDB2" s="87"/>
      <c r="VDD2" s="87"/>
      <c r="VDF2" s="87"/>
      <c r="VDH2" s="87"/>
      <c r="VDJ2" s="87"/>
      <c r="VDL2" s="87"/>
      <c r="VDN2" s="87"/>
      <c r="VDP2" s="87"/>
      <c r="VDR2" s="87"/>
      <c r="VDT2" s="87"/>
      <c r="VDV2" s="87"/>
      <c r="VDX2" s="87"/>
      <c r="VDZ2" s="87"/>
      <c r="VEB2" s="87"/>
      <c r="VED2" s="87"/>
      <c r="VEF2" s="87"/>
      <c r="VEH2" s="87"/>
      <c r="VEJ2" s="87"/>
      <c r="VEL2" s="87"/>
      <c r="VEN2" s="87"/>
      <c r="VEP2" s="87"/>
      <c r="VER2" s="87"/>
      <c r="VET2" s="87"/>
      <c r="VEV2" s="87"/>
      <c r="VEX2" s="87"/>
      <c r="VEZ2" s="87"/>
      <c r="VFB2" s="87"/>
      <c r="VFD2" s="87"/>
      <c r="VFF2" s="87"/>
      <c r="VFH2" s="87"/>
      <c r="VFJ2" s="87"/>
      <c r="VFL2" s="87"/>
      <c r="VFN2" s="87"/>
      <c r="VFP2" s="87"/>
      <c r="VFR2" s="87"/>
      <c r="VFT2" s="87"/>
      <c r="VFV2" s="87"/>
      <c r="VFX2" s="87"/>
      <c r="VFZ2" s="87"/>
      <c r="VGB2" s="87"/>
      <c r="VGD2" s="87"/>
      <c r="VGF2" s="87"/>
      <c r="VGH2" s="87"/>
      <c r="VGJ2" s="87"/>
      <c r="VGL2" s="87"/>
      <c r="VGN2" s="87"/>
      <c r="VGP2" s="87"/>
      <c r="VGR2" s="87"/>
      <c r="VGT2" s="87"/>
      <c r="VGV2" s="87"/>
      <c r="VGX2" s="87"/>
      <c r="VGZ2" s="87"/>
      <c r="VHB2" s="87"/>
      <c r="VHD2" s="87"/>
      <c r="VHF2" s="87"/>
      <c r="VHH2" s="87"/>
      <c r="VHJ2" s="87"/>
      <c r="VHL2" s="87"/>
      <c r="VHN2" s="87"/>
      <c r="VHP2" s="87"/>
      <c r="VHR2" s="87"/>
      <c r="VHT2" s="87"/>
      <c r="VHV2" s="87"/>
      <c r="VHX2" s="87"/>
      <c r="VHZ2" s="87"/>
      <c r="VIB2" s="87"/>
      <c r="VID2" s="87"/>
      <c r="VIF2" s="87"/>
      <c r="VIH2" s="87"/>
      <c r="VIJ2" s="87"/>
      <c r="VIL2" s="87"/>
      <c r="VIN2" s="87"/>
      <c r="VIP2" s="87"/>
      <c r="VIR2" s="87"/>
      <c r="VIT2" s="87"/>
      <c r="VIV2" s="87"/>
      <c r="VIX2" s="87"/>
      <c r="VIZ2" s="87"/>
      <c r="VJB2" s="87"/>
      <c r="VJD2" s="87"/>
      <c r="VJF2" s="87"/>
      <c r="VJH2" s="87"/>
      <c r="VJJ2" s="87"/>
      <c r="VJL2" s="87"/>
      <c r="VJN2" s="87"/>
      <c r="VJP2" s="87"/>
      <c r="VJR2" s="87"/>
      <c r="VJT2" s="87"/>
      <c r="VJV2" s="87"/>
      <c r="VJX2" s="87"/>
      <c r="VJZ2" s="87"/>
      <c r="VKB2" s="87"/>
      <c r="VKD2" s="87"/>
      <c r="VKF2" s="87"/>
      <c r="VKH2" s="87"/>
      <c r="VKJ2" s="87"/>
      <c r="VKL2" s="87"/>
      <c r="VKN2" s="87"/>
      <c r="VKP2" s="87"/>
      <c r="VKR2" s="87"/>
      <c r="VKT2" s="87"/>
      <c r="VKV2" s="87"/>
      <c r="VKX2" s="87"/>
      <c r="VKZ2" s="87"/>
      <c r="VLB2" s="87"/>
      <c r="VLD2" s="87"/>
      <c r="VLF2" s="87"/>
      <c r="VLH2" s="87"/>
      <c r="VLJ2" s="87"/>
      <c r="VLL2" s="87"/>
      <c r="VLN2" s="87"/>
      <c r="VLP2" s="87"/>
      <c r="VLR2" s="87"/>
      <c r="VLT2" s="87"/>
      <c r="VLV2" s="87"/>
      <c r="VLX2" s="87"/>
      <c r="VLZ2" s="87"/>
      <c r="VMB2" s="87"/>
      <c r="VMD2" s="87"/>
      <c r="VMF2" s="87"/>
      <c r="VMH2" s="87"/>
      <c r="VMJ2" s="87"/>
      <c r="VML2" s="87"/>
      <c r="VMN2" s="87"/>
      <c r="VMP2" s="87"/>
      <c r="VMR2" s="87"/>
      <c r="VMT2" s="87"/>
      <c r="VMV2" s="87"/>
      <c r="VMX2" s="87"/>
      <c r="VMZ2" s="87"/>
      <c r="VNB2" s="87"/>
      <c r="VND2" s="87"/>
      <c r="VNF2" s="87"/>
      <c r="VNH2" s="87"/>
      <c r="VNJ2" s="87"/>
      <c r="VNL2" s="87"/>
      <c r="VNN2" s="87"/>
      <c r="VNP2" s="87"/>
      <c r="VNR2" s="87"/>
      <c r="VNT2" s="87"/>
      <c r="VNV2" s="87"/>
      <c r="VNX2" s="87"/>
      <c r="VNZ2" s="87"/>
      <c r="VOB2" s="87"/>
      <c r="VOD2" s="87"/>
      <c r="VOF2" s="87"/>
      <c r="VOH2" s="87"/>
      <c r="VOJ2" s="87"/>
      <c r="VOL2" s="87"/>
      <c r="VON2" s="87"/>
      <c r="VOP2" s="87"/>
      <c r="VOR2" s="87"/>
      <c r="VOT2" s="87"/>
      <c r="VOV2" s="87"/>
      <c r="VOX2" s="87"/>
      <c r="VOZ2" s="87"/>
      <c r="VPB2" s="87"/>
      <c r="VPD2" s="87"/>
      <c r="VPF2" s="87"/>
      <c r="VPH2" s="87"/>
      <c r="VPJ2" s="87"/>
      <c r="VPL2" s="87"/>
      <c r="VPN2" s="87"/>
      <c r="VPP2" s="87"/>
      <c r="VPR2" s="87"/>
      <c r="VPT2" s="87"/>
      <c r="VPV2" s="87"/>
      <c r="VPX2" s="87"/>
      <c r="VPZ2" s="87"/>
      <c r="VQB2" s="87"/>
      <c r="VQD2" s="87"/>
      <c r="VQF2" s="87"/>
      <c r="VQH2" s="87"/>
      <c r="VQJ2" s="87"/>
      <c r="VQL2" s="87"/>
      <c r="VQN2" s="87"/>
      <c r="VQP2" s="87"/>
      <c r="VQR2" s="87"/>
      <c r="VQT2" s="87"/>
      <c r="VQV2" s="87"/>
      <c r="VQX2" s="87"/>
      <c r="VQZ2" s="87"/>
      <c r="VRB2" s="87"/>
      <c r="VRD2" s="87"/>
      <c r="VRF2" s="87"/>
      <c r="VRH2" s="87"/>
      <c r="VRJ2" s="87"/>
      <c r="VRL2" s="87"/>
      <c r="VRN2" s="87"/>
      <c r="VRP2" s="87"/>
      <c r="VRR2" s="87"/>
      <c r="VRT2" s="87"/>
      <c r="VRV2" s="87"/>
      <c r="VRX2" s="87"/>
      <c r="VRZ2" s="87"/>
      <c r="VSB2" s="87"/>
      <c r="VSD2" s="87"/>
      <c r="VSF2" s="87"/>
      <c r="VSH2" s="87"/>
      <c r="VSJ2" s="87"/>
      <c r="VSL2" s="87"/>
      <c r="VSN2" s="87"/>
      <c r="VSP2" s="87"/>
      <c r="VSR2" s="87"/>
      <c r="VST2" s="87"/>
      <c r="VSV2" s="87"/>
      <c r="VSX2" s="87"/>
      <c r="VSZ2" s="87"/>
      <c r="VTB2" s="87"/>
      <c r="VTD2" s="87"/>
      <c r="VTF2" s="87"/>
      <c r="VTH2" s="87"/>
      <c r="VTJ2" s="87"/>
      <c r="VTL2" s="87"/>
      <c r="VTN2" s="87"/>
      <c r="VTP2" s="87"/>
      <c r="VTR2" s="87"/>
      <c r="VTT2" s="87"/>
      <c r="VTV2" s="87"/>
      <c r="VTX2" s="87"/>
      <c r="VTZ2" s="87"/>
      <c r="VUB2" s="87"/>
      <c r="VUD2" s="87"/>
      <c r="VUF2" s="87"/>
      <c r="VUH2" s="87"/>
      <c r="VUJ2" s="87"/>
      <c r="VUL2" s="87"/>
      <c r="VUN2" s="87"/>
      <c r="VUP2" s="87"/>
      <c r="VUR2" s="87"/>
      <c r="VUT2" s="87"/>
      <c r="VUV2" s="87"/>
      <c r="VUX2" s="87"/>
      <c r="VUZ2" s="87"/>
      <c r="VVB2" s="87"/>
      <c r="VVD2" s="87"/>
      <c r="VVF2" s="87"/>
      <c r="VVH2" s="87"/>
      <c r="VVJ2" s="87"/>
      <c r="VVL2" s="87"/>
      <c r="VVN2" s="87"/>
      <c r="VVP2" s="87"/>
      <c r="VVR2" s="87"/>
      <c r="VVT2" s="87"/>
      <c r="VVV2" s="87"/>
      <c r="VVX2" s="87"/>
      <c r="VVZ2" s="87"/>
      <c r="VWB2" s="87"/>
      <c r="VWD2" s="87"/>
      <c r="VWF2" s="87"/>
      <c r="VWH2" s="87"/>
      <c r="VWJ2" s="87"/>
      <c r="VWL2" s="87"/>
      <c r="VWN2" s="87"/>
      <c r="VWP2" s="87"/>
      <c r="VWR2" s="87"/>
      <c r="VWT2" s="87"/>
      <c r="VWV2" s="87"/>
      <c r="VWX2" s="87"/>
      <c r="VWZ2" s="87"/>
      <c r="VXB2" s="87"/>
      <c r="VXD2" s="87"/>
      <c r="VXF2" s="87"/>
      <c r="VXH2" s="87"/>
      <c r="VXJ2" s="87"/>
      <c r="VXL2" s="87"/>
      <c r="VXN2" s="87"/>
      <c r="VXP2" s="87"/>
      <c r="VXR2" s="87"/>
      <c r="VXT2" s="87"/>
      <c r="VXV2" s="87"/>
      <c r="VXX2" s="87"/>
      <c r="VXZ2" s="87"/>
      <c r="VYB2" s="87"/>
      <c r="VYD2" s="87"/>
      <c r="VYF2" s="87"/>
      <c r="VYH2" s="87"/>
      <c r="VYJ2" s="87"/>
      <c r="VYL2" s="87"/>
      <c r="VYN2" s="87"/>
      <c r="VYP2" s="87"/>
      <c r="VYR2" s="87"/>
      <c r="VYT2" s="87"/>
      <c r="VYV2" s="87"/>
      <c r="VYX2" s="87"/>
      <c r="VYZ2" s="87"/>
      <c r="VZB2" s="87"/>
      <c r="VZD2" s="87"/>
      <c r="VZF2" s="87"/>
      <c r="VZH2" s="87"/>
      <c r="VZJ2" s="87"/>
      <c r="VZL2" s="87"/>
      <c r="VZN2" s="87"/>
      <c r="VZP2" s="87"/>
      <c r="VZR2" s="87"/>
      <c r="VZT2" s="87"/>
      <c r="VZV2" s="87"/>
      <c r="VZX2" s="87"/>
      <c r="VZZ2" s="87"/>
      <c r="WAB2" s="87"/>
      <c r="WAD2" s="87"/>
      <c r="WAF2" s="87"/>
      <c r="WAH2" s="87"/>
      <c r="WAJ2" s="87"/>
      <c r="WAL2" s="87"/>
      <c r="WAN2" s="87"/>
      <c r="WAP2" s="87"/>
      <c r="WAR2" s="87"/>
      <c r="WAT2" s="87"/>
      <c r="WAV2" s="87"/>
      <c r="WAX2" s="87"/>
      <c r="WAZ2" s="87"/>
      <c r="WBB2" s="87"/>
      <c r="WBD2" s="87"/>
      <c r="WBF2" s="87"/>
      <c r="WBH2" s="87"/>
      <c r="WBJ2" s="87"/>
      <c r="WBL2" s="87"/>
      <c r="WBN2" s="87"/>
      <c r="WBP2" s="87"/>
      <c r="WBR2" s="87"/>
      <c r="WBT2" s="87"/>
      <c r="WBV2" s="87"/>
      <c r="WBX2" s="87"/>
      <c r="WBZ2" s="87"/>
      <c r="WCB2" s="87"/>
      <c r="WCD2" s="87"/>
      <c r="WCF2" s="87"/>
      <c r="WCH2" s="87"/>
      <c r="WCJ2" s="87"/>
      <c r="WCL2" s="87"/>
      <c r="WCN2" s="87"/>
      <c r="WCP2" s="87"/>
      <c r="WCR2" s="87"/>
      <c r="WCT2" s="87"/>
      <c r="WCV2" s="87"/>
      <c r="WCX2" s="87"/>
      <c r="WCZ2" s="87"/>
      <c r="WDB2" s="87"/>
      <c r="WDD2" s="87"/>
      <c r="WDF2" s="87"/>
      <c r="WDH2" s="87"/>
      <c r="WDJ2" s="87"/>
      <c r="WDL2" s="87"/>
      <c r="WDN2" s="87"/>
      <c r="WDP2" s="87"/>
      <c r="WDR2" s="87"/>
      <c r="WDT2" s="87"/>
      <c r="WDV2" s="87"/>
      <c r="WDX2" s="87"/>
      <c r="WDZ2" s="87"/>
      <c r="WEB2" s="87"/>
      <c r="WED2" s="87"/>
      <c r="WEF2" s="87"/>
      <c r="WEH2" s="87"/>
      <c r="WEJ2" s="87"/>
      <c r="WEL2" s="87"/>
      <c r="WEN2" s="87"/>
      <c r="WEP2" s="87"/>
      <c r="WER2" s="87"/>
      <c r="WET2" s="87"/>
      <c r="WEV2" s="87"/>
      <c r="WEX2" s="87"/>
      <c r="WEZ2" s="87"/>
      <c r="WFB2" s="87"/>
      <c r="WFD2" s="87"/>
      <c r="WFF2" s="87"/>
      <c r="WFH2" s="87"/>
      <c r="WFJ2" s="87"/>
      <c r="WFL2" s="87"/>
      <c r="WFN2" s="87"/>
      <c r="WFP2" s="87"/>
      <c r="WFR2" s="87"/>
      <c r="WFT2" s="87"/>
      <c r="WFV2" s="87"/>
      <c r="WFX2" s="87"/>
      <c r="WFZ2" s="87"/>
      <c r="WGB2" s="87"/>
      <c r="WGD2" s="87"/>
      <c r="WGF2" s="87"/>
      <c r="WGH2" s="87"/>
      <c r="WGJ2" s="87"/>
      <c r="WGL2" s="87"/>
      <c r="WGN2" s="87"/>
      <c r="WGP2" s="87"/>
      <c r="WGR2" s="87"/>
      <c r="WGT2" s="87"/>
      <c r="WGV2" s="87"/>
      <c r="WGX2" s="87"/>
      <c r="WGZ2" s="87"/>
      <c r="WHB2" s="87"/>
      <c r="WHD2" s="87"/>
      <c r="WHF2" s="87"/>
      <c r="WHH2" s="87"/>
      <c r="WHJ2" s="87"/>
      <c r="WHL2" s="87"/>
      <c r="WHN2" s="87"/>
      <c r="WHP2" s="87"/>
      <c r="WHR2" s="87"/>
      <c r="WHT2" s="87"/>
      <c r="WHV2" s="87"/>
      <c r="WHX2" s="87"/>
      <c r="WHZ2" s="87"/>
      <c r="WIB2" s="87"/>
      <c r="WID2" s="87"/>
      <c r="WIF2" s="87"/>
      <c r="WIH2" s="87"/>
      <c r="WIJ2" s="87"/>
      <c r="WIL2" s="87"/>
      <c r="WIN2" s="87"/>
      <c r="WIP2" s="87"/>
      <c r="WIR2" s="87"/>
      <c r="WIT2" s="87"/>
      <c r="WIV2" s="87"/>
      <c r="WIX2" s="87"/>
      <c r="WIZ2" s="87"/>
      <c r="WJB2" s="87"/>
      <c r="WJD2" s="87"/>
      <c r="WJF2" s="87"/>
      <c r="WJH2" s="87"/>
      <c r="WJJ2" s="87"/>
      <c r="WJL2" s="87"/>
      <c r="WJN2" s="87"/>
      <c r="WJP2" s="87"/>
      <c r="WJR2" s="87"/>
      <c r="WJT2" s="87"/>
      <c r="WJV2" s="87"/>
      <c r="WJX2" s="87"/>
      <c r="WJZ2" s="87"/>
      <c r="WKB2" s="87"/>
      <c r="WKD2" s="87"/>
      <c r="WKF2" s="87"/>
      <c r="WKH2" s="87"/>
      <c r="WKJ2" s="87"/>
      <c r="WKL2" s="87"/>
      <c r="WKN2" s="87"/>
      <c r="WKP2" s="87"/>
      <c r="WKR2" s="87"/>
      <c r="WKT2" s="87"/>
      <c r="WKV2" s="87"/>
      <c r="WKX2" s="87"/>
      <c r="WKZ2" s="87"/>
      <c r="WLB2" s="87"/>
      <c r="WLD2" s="87"/>
      <c r="WLF2" s="87"/>
      <c r="WLH2" s="87"/>
      <c r="WLJ2" s="87"/>
      <c r="WLL2" s="87"/>
      <c r="WLN2" s="87"/>
      <c r="WLP2" s="87"/>
      <c r="WLR2" s="87"/>
      <c r="WLT2" s="87"/>
      <c r="WLV2" s="87"/>
      <c r="WLX2" s="87"/>
      <c r="WLZ2" s="87"/>
      <c r="WMB2" s="87"/>
      <c r="WMD2" s="87"/>
      <c r="WMF2" s="87"/>
      <c r="WMH2" s="87"/>
      <c r="WMJ2" s="87"/>
      <c r="WML2" s="87"/>
      <c r="WMN2" s="87"/>
      <c r="WMP2" s="87"/>
      <c r="WMR2" s="87"/>
      <c r="WMT2" s="87"/>
      <c r="WMV2" s="87"/>
      <c r="WMX2" s="87"/>
      <c r="WMZ2" s="87"/>
      <c r="WNB2" s="87"/>
      <c r="WND2" s="87"/>
      <c r="WNF2" s="87"/>
      <c r="WNH2" s="87"/>
      <c r="WNJ2" s="87"/>
      <c r="WNL2" s="87"/>
      <c r="WNN2" s="87"/>
      <c r="WNP2" s="87"/>
      <c r="WNR2" s="87"/>
      <c r="WNT2" s="87"/>
      <c r="WNV2" s="87"/>
      <c r="WNX2" s="87"/>
      <c r="WNZ2" s="87"/>
      <c r="WOB2" s="87"/>
      <c r="WOD2" s="87"/>
      <c r="WOF2" s="87"/>
      <c r="WOH2" s="87"/>
      <c r="WOJ2" s="87"/>
      <c r="WOL2" s="87"/>
      <c r="WON2" s="87"/>
      <c r="WOP2" s="87"/>
      <c r="WOR2" s="87"/>
      <c r="WOT2" s="87"/>
      <c r="WOV2" s="87"/>
      <c r="WOX2" s="87"/>
      <c r="WOZ2" s="87"/>
      <c r="WPB2" s="87"/>
      <c r="WPD2" s="87"/>
      <c r="WPF2" s="87"/>
      <c r="WPH2" s="87"/>
      <c r="WPJ2" s="87"/>
      <c r="WPL2" s="87"/>
      <c r="WPN2" s="87"/>
      <c r="WPP2" s="87"/>
      <c r="WPR2" s="87"/>
      <c r="WPT2" s="87"/>
      <c r="WPV2" s="87"/>
      <c r="WPX2" s="87"/>
      <c r="WPZ2" s="87"/>
      <c r="WQB2" s="87"/>
      <c r="WQD2" s="87"/>
      <c r="WQF2" s="87"/>
      <c r="WQH2" s="87"/>
      <c r="WQJ2" s="87"/>
      <c r="WQL2" s="87"/>
      <c r="WQN2" s="87"/>
      <c r="WQP2" s="87"/>
      <c r="WQR2" s="87"/>
      <c r="WQT2" s="87"/>
      <c r="WQV2" s="87"/>
      <c r="WQX2" s="87"/>
      <c r="WQZ2" s="87"/>
      <c r="WRB2" s="87"/>
      <c r="WRD2" s="87"/>
      <c r="WRF2" s="87"/>
      <c r="WRH2" s="87"/>
      <c r="WRJ2" s="87"/>
      <c r="WRL2" s="87"/>
      <c r="WRN2" s="87"/>
      <c r="WRP2" s="87"/>
      <c r="WRR2" s="87"/>
      <c r="WRT2" s="87"/>
      <c r="WRV2" s="87"/>
      <c r="WRX2" s="87"/>
      <c r="WRZ2" s="87"/>
      <c r="WSB2" s="87"/>
      <c r="WSD2" s="87"/>
      <c r="WSF2" s="87"/>
      <c r="WSH2" s="87"/>
      <c r="WSJ2" s="87"/>
      <c r="WSL2" s="87"/>
      <c r="WSN2" s="87"/>
      <c r="WSP2" s="87"/>
      <c r="WSR2" s="87"/>
      <c r="WST2" s="87"/>
      <c r="WSV2" s="87"/>
      <c r="WSX2" s="87"/>
      <c r="WSZ2" s="87"/>
      <c r="WTB2" s="87"/>
      <c r="WTD2" s="87"/>
      <c r="WTF2" s="87"/>
      <c r="WTH2" s="87"/>
      <c r="WTJ2" s="87"/>
      <c r="WTL2" s="87"/>
      <c r="WTN2" s="87"/>
      <c r="WTP2" s="87"/>
      <c r="WTR2" s="87"/>
      <c r="WTT2" s="87"/>
      <c r="WTV2" s="87"/>
      <c r="WTX2" s="87"/>
      <c r="WTZ2" s="87"/>
      <c r="WUB2" s="87"/>
      <c r="WUD2" s="87"/>
      <c r="WUF2" s="87"/>
      <c r="WUH2" s="87"/>
      <c r="WUJ2" s="87"/>
      <c r="WUL2" s="87"/>
      <c r="WUN2" s="87"/>
      <c r="WUP2" s="87"/>
      <c r="WUR2" s="87"/>
      <c r="WUT2" s="87"/>
      <c r="WUV2" s="87"/>
      <c r="WUX2" s="87"/>
      <c r="WUZ2" s="87"/>
      <c r="WVB2" s="87"/>
      <c r="WVD2" s="87"/>
      <c r="WVF2" s="87"/>
      <c r="WVH2" s="87"/>
      <c r="WVJ2" s="87"/>
      <c r="WVL2" s="87"/>
      <c r="WVN2" s="87"/>
      <c r="WVP2" s="87"/>
      <c r="WVR2" s="87"/>
      <c r="WVT2" s="87"/>
      <c r="WVV2" s="87"/>
      <c r="WVX2" s="87"/>
      <c r="WVZ2" s="87"/>
      <c r="WWB2" s="87"/>
      <c r="WWD2" s="87"/>
      <c r="WWF2" s="87"/>
      <c r="WWH2" s="87"/>
      <c r="WWJ2" s="87"/>
      <c r="WWL2" s="87"/>
      <c r="WWN2" s="87"/>
      <c r="WWP2" s="87"/>
      <c r="WWR2" s="87"/>
      <c r="WWT2" s="87"/>
      <c r="WWV2" s="87"/>
      <c r="WWX2" s="87"/>
      <c r="WWZ2" s="87"/>
      <c r="WXB2" s="87"/>
      <c r="WXD2" s="87"/>
      <c r="WXF2" s="87"/>
      <c r="WXH2" s="87"/>
      <c r="WXJ2" s="87"/>
      <c r="WXL2" s="87"/>
      <c r="WXN2" s="87"/>
      <c r="WXP2" s="87"/>
      <c r="WXR2" s="87"/>
      <c r="WXT2" s="87"/>
      <c r="WXV2" s="87"/>
      <c r="WXX2" s="87"/>
      <c r="WXZ2" s="87"/>
      <c r="WYB2" s="87"/>
      <c r="WYD2" s="87"/>
      <c r="WYF2" s="87"/>
      <c r="WYH2" s="87"/>
      <c r="WYJ2" s="87"/>
      <c r="WYL2" s="87"/>
      <c r="WYN2" s="87"/>
      <c r="WYP2" s="87"/>
      <c r="WYR2" s="87"/>
      <c r="WYT2" s="87"/>
      <c r="WYV2" s="87"/>
      <c r="WYX2" s="87"/>
      <c r="WYZ2" s="87"/>
      <c r="WZB2" s="87"/>
      <c r="WZD2" s="87"/>
      <c r="WZF2" s="87"/>
      <c r="WZH2" s="87"/>
      <c r="WZJ2" s="87"/>
      <c r="WZL2" s="87"/>
      <c r="WZN2" s="87"/>
      <c r="WZP2" s="87"/>
      <c r="WZR2" s="87"/>
      <c r="WZT2" s="87"/>
      <c r="WZV2" s="87"/>
      <c r="WZX2" s="87"/>
      <c r="WZZ2" s="87"/>
      <c r="XAB2" s="87"/>
      <c r="XAD2" s="87"/>
      <c r="XAF2" s="87"/>
      <c r="XAH2" s="87"/>
      <c r="XAJ2" s="87"/>
      <c r="XAL2" s="87"/>
      <c r="XAN2" s="87"/>
      <c r="XAP2" s="87"/>
      <c r="XAR2" s="87"/>
      <c r="XAT2" s="87"/>
      <c r="XAV2" s="87"/>
      <c r="XAX2" s="87"/>
      <c r="XAZ2" s="87"/>
      <c r="XBB2" s="87"/>
      <c r="XBD2" s="87"/>
      <c r="XBF2" s="87"/>
      <c r="XBH2" s="87"/>
      <c r="XBJ2" s="87"/>
      <c r="XBL2" s="87"/>
      <c r="XBN2" s="87"/>
      <c r="XBP2" s="87"/>
      <c r="XBR2" s="87"/>
      <c r="XBT2" s="87"/>
      <c r="XBV2" s="87"/>
      <c r="XBX2" s="87"/>
      <c r="XBZ2" s="87"/>
      <c r="XCB2" s="87"/>
      <c r="XCD2" s="87"/>
      <c r="XCF2" s="87"/>
      <c r="XCH2" s="87"/>
      <c r="XCJ2" s="87"/>
      <c r="XCL2" s="87"/>
      <c r="XCN2" s="87"/>
      <c r="XCP2" s="87"/>
      <c r="XCR2" s="87"/>
      <c r="XCT2" s="87"/>
      <c r="XCV2" s="87"/>
      <c r="XCX2" s="87"/>
      <c r="XCZ2" s="87"/>
      <c r="XDB2" s="87"/>
      <c r="XDD2" s="87"/>
      <c r="XDF2" s="87"/>
      <c r="XDH2" s="87"/>
      <c r="XDJ2" s="87"/>
      <c r="XDL2" s="87"/>
      <c r="XDN2" s="87"/>
      <c r="XDP2" s="87"/>
      <c r="XDR2" s="87"/>
      <c r="XDT2" s="87"/>
      <c r="XDV2" s="87"/>
      <c r="XDX2" s="87"/>
      <c r="XDZ2" s="87"/>
      <c r="XEB2" s="87"/>
      <c r="XED2" s="87"/>
      <c r="XEF2" s="87"/>
      <c r="XEH2" s="87"/>
      <c r="XEJ2" s="87"/>
      <c r="XEL2" s="87"/>
      <c r="XEN2" s="87"/>
      <c r="XEP2" s="87"/>
      <c r="XER2" s="87"/>
      <c r="XET2" s="87"/>
      <c r="XEV2" s="87"/>
      <c r="XEX2" s="87"/>
      <c r="XEZ2" s="87"/>
      <c r="XFB2" s="87"/>
      <c r="XFD2" s="87"/>
    </row>
    <row r="3" spans="1:16384" x14ac:dyDescent="0.25">
      <c r="A3" s="95" t="s">
        <v>514</v>
      </c>
      <c r="B3" s="95"/>
      <c r="C3" s="95"/>
      <c r="D3" s="95"/>
      <c r="E3" s="95"/>
      <c r="F3" s="95"/>
      <c r="G3" s="95"/>
      <c r="H3" s="95"/>
    </row>
    <row r="4" spans="1:16384" x14ac:dyDescent="0.25">
      <c r="A4" s="95" t="s">
        <v>515</v>
      </c>
      <c r="B4" s="95"/>
      <c r="C4" s="95"/>
      <c r="D4" s="95"/>
      <c r="E4" s="95"/>
      <c r="F4" s="95"/>
      <c r="G4" s="95"/>
      <c r="H4" s="95"/>
    </row>
    <row r="5" spans="1:16384" x14ac:dyDescent="0.25">
      <c r="A5" s="95" t="s">
        <v>649</v>
      </c>
      <c r="B5" s="95">
        <v>16</v>
      </c>
      <c r="C5" s="95" t="s">
        <v>460</v>
      </c>
      <c r="D5" s="95"/>
      <c r="E5" s="95"/>
      <c r="F5" s="95"/>
      <c r="G5" s="95"/>
      <c r="H5" s="95"/>
    </row>
    <row r="6" spans="1:16384" x14ac:dyDescent="0.25">
      <c r="A6" s="95" t="s">
        <v>650</v>
      </c>
      <c r="B6" s="95">
        <v>5</v>
      </c>
      <c r="C6" s="95" t="s">
        <v>651</v>
      </c>
      <c r="D6" s="95"/>
      <c r="E6" s="95"/>
      <c r="F6" s="95"/>
      <c r="G6" s="95"/>
      <c r="H6" s="95"/>
    </row>
    <row r="7" spans="1:16384" x14ac:dyDescent="0.25">
      <c r="A7" s="95" t="s">
        <v>713</v>
      </c>
      <c r="B7" s="95">
        <f>2*B6</f>
        <v>10</v>
      </c>
      <c r="C7" s="95" t="s">
        <v>714</v>
      </c>
      <c r="D7" s="95"/>
      <c r="E7" s="95"/>
      <c r="F7" s="95"/>
      <c r="G7" s="95"/>
      <c r="H7" s="95"/>
    </row>
    <row r="8" spans="1:16384" x14ac:dyDescent="0.25">
      <c r="A8" s="95" t="s">
        <v>516</v>
      </c>
      <c r="B8" s="113">
        <f>B5*B6</f>
        <v>80</v>
      </c>
      <c r="C8" s="95" t="s">
        <v>460</v>
      </c>
      <c r="D8" s="103"/>
      <c r="E8" s="95"/>
      <c r="F8" s="95"/>
      <c r="G8" s="95"/>
      <c r="H8" s="95"/>
    </row>
    <row r="9" spans="1:16384" x14ac:dyDescent="0.25">
      <c r="A9" s="97" t="s">
        <v>517</v>
      </c>
      <c r="B9" s="97">
        <f>SUM(B10:B13)</f>
        <v>47</v>
      </c>
      <c r="C9" s="97" t="s">
        <v>462</v>
      </c>
      <c r="D9" s="97"/>
      <c r="E9" s="95"/>
      <c r="F9" s="95"/>
      <c r="G9" s="95"/>
      <c r="H9" s="95"/>
    </row>
    <row r="10" spans="1:16384" x14ac:dyDescent="0.25">
      <c r="A10" s="109" t="s">
        <v>518</v>
      </c>
      <c r="B10" s="114">
        <v>27</v>
      </c>
      <c r="C10" s="114" t="s">
        <v>462</v>
      </c>
      <c r="D10" s="97"/>
      <c r="E10" s="95"/>
      <c r="F10" s="95"/>
      <c r="G10" s="95"/>
      <c r="H10" s="95"/>
    </row>
    <row r="11" spans="1:16384" x14ac:dyDescent="0.25">
      <c r="A11" s="109" t="s">
        <v>481</v>
      </c>
      <c r="B11" s="114">
        <v>2</v>
      </c>
      <c r="C11" s="114" t="s">
        <v>462</v>
      </c>
      <c r="D11" s="97"/>
      <c r="E11" s="95"/>
      <c r="F11" s="95"/>
      <c r="G11" s="95"/>
      <c r="H11" s="95"/>
    </row>
    <row r="12" spans="1:16384" x14ac:dyDescent="0.25">
      <c r="A12" s="109" t="s">
        <v>482</v>
      </c>
      <c r="B12" s="114">
        <v>15</v>
      </c>
      <c r="C12" s="114" t="s">
        <v>462</v>
      </c>
      <c r="D12" s="114"/>
      <c r="E12" s="114"/>
      <c r="F12" s="114"/>
      <c r="G12" s="114"/>
      <c r="H12" s="114"/>
    </row>
    <row r="13" spans="1:16384" x14ac:dyDescent="0.25">
      <c r="A13" s="109" t="s">
        <v>519</v>
      </c>
      <c r="B13" s="114">
        <v>3</v>
      </c>
      <c r="C13" s="114" t="s">
        <v>462</v>
      </c>
      <c r="D13" s="114"/>
      <c r="E13" s="114"/>
      <c r="F13" s="114"/>
      <c r="G13" s="114"/>
      <c r="H13" s="114"/>
    </row>
    <row r="14" spans="1:16384" x14ac:dyDescent="0.25">
      <c r="A14" s="108" t="s">
        <v>520</v>
      </c>
      <c r="B14" s="97">
        <f>B9*B8</f>
        <v>3760</v>
      </c>
      <c r="C14" s="97" t="s">
        <v>207</v>
      </c>
      <c r="D14" s="114"/>
      <c r="E14" s="114"/>
      <c r="F14" s="114"/>
      <c r="G14" s="114"/>
      <c r="H14" s="114"/>
    </row>
    <row r="15" spans="1:16384" x14ac:dyDescent="0.25">
      <c r="A15" s="108"/>
      <c r="B15" s="97"/>
      <c r="C15" s="97"/>
      <c r="D15" s="114"/>
      <c r="E15" s="114"/>
      <c r="F15" s="114"/>
      <c r="G15" s="114"/>
      <c r="H15" s="114"/>
    </row>
    <row r="16" spans="1:16384" x14ac:dyDescent="0.25">
      <c r="A16" s="108" t="s">
        <v>521</v>
      </c>
      <c r="B16" s="97"/>
      <c r="C16" s="97"/>
      <c r="D16" s="114"/>
      <c r="E16" s="114"/>
      <c r="F16" s="114"/>
      <c r="G16" s="114"/>
      <c r="H16" s="114"/>
    </row>
    <row r="17" spans="1:8" x14ac:dyDescent="0.25">
      <c r="A17" s="97" t="s">
        <v>524</v>
      </c>
      <c r="B17" s="97">
        <f>ROUND(B8/2,0)</f>
        <v>40</v>
      </c>
      <c r="C17" s="97"/>
      <c r="D17" s="114"/>
      <c r="E17" s="114"/>
      <c r="F17" s="114"/>
      <c r="G17" s="114"/>
      <c r="H17" s="114"/>
    </row>
    <row r="18" spans="1:8" x14ac:dyDescent="0.25">
      <c r="A18" s="97" t="s">
        <v>525</v>
      </c>
      <c r="B18" s="97">
        <f>PV!B51</f>
        <v>415</v>
      </c>
      <c r="C18" s="97" t="s">
        <v>526</v>
      </c>
      <c r="D18" s="114"/>
      <c r="E18" s="114"/>
      <c r="F18" s="114"/>
      <c r="G18" s="114"/>
      <c r="H18" s="114"/>
    </row>
    <row r="19" spans="1:8" x14ac:dyDescent="0.25">
      <c r="A19" s="97" t="s">
        <v>522</v>
      </c>
      <c r="B19" s="97">
        <f>B18*B17</f>
        <v>16600</v>
      </c>
      <c r="C19" s="97" t="s">
        <v>526</v>
      </c>
      <c r="D19" s="114"/>
      <c r="E19" s="114"/>
      <c r="F19" s="114"/>
      <c r="G19" s="114"/>
      <c r="H19" s="114"/>
    </row>
    <row r="20" spans="1:8" x14ac:dyDescent="0.25">
      <c r="A20" s="97" t="s">
        <v>531</v>
      </c>
      <c r="B20" s="97">
        <f>PV!$B$67</f>
        <v>2.0399999999999996</v>
      </c>
      <c r="C20" s="97" t="s">
        <v>296</v>
      </c>
      <c r="D20" s="114"/>
      <c r="E20" s="114"/>
      <c r="F20" s="114"/>
      <c r="G20" s="114"/>
      <c r="H20" s="114"/>
    </row>
    <row r="21" spans="1:8" x14ac:dyDescent="0.25">
      <c r="A21" s="108" t="s">
        <v>521</v>
      </c>
      <c r="B21" s="97">
        <f>B20*B19</f>
        <v>33863.999999999993</v>
      </c>
      <c r="C21" s="97" t="s">
        <v>207</v>
      </c>
      <c r="D21" s="114"/>
      <c r="E21" s="114"/>
      <c r="F21" s="114"/>
      <c r="G21" s="114"/>
      <c r="H21" s="114"/>
    </row>
    <row r="22" spans="1:8" x14ac:dyDescent="0.25">
      <c r="A22" s="108"/>
      <c r="B22" s="97"/>
      <c r="C22" s="97"/>
      <c r="D22" s="114"/>
      <c r="E22" s="114"/>
      <c r="F22" s="114"/>
      <c r="G22" s="114"/>
      <c r="H22" s="114"/>
    </row>
    <row r="23" spans="1:8" x14ac:dyDescent="0.25">
      <c r="A23" s="105" t="s">
        <v>532</v>
      </c>
      <c r="B23" s="118">
        <f>B21-B14</f>
        <v>30103.999999999993</v>
      </c>
      <c r="C23" s="97" t="s">
        <v>207</v>
      </c>
      <c r="D23" s="114"/>
      <c r="E23" s="114"/>
      <c r="F23" s="114"/>
      <c r="G23" s="114"/>
      <c r="H23" s="114"/>
    </row>
    <row r="24" spans="1:8" ht="15.75" x14ac:dyDescent="0.25">
      <c r="A24" s="115"/>
      <c r="B24" s="117"/>
      <c r="C24" s="116"/>
      <c r="D24" s="114"/>
      <c r="E24" s="114"/>
      <c r="F24" s="114"/>
      <c r="G24" s="114"/>
      <c r="H24" s="114"/>
    </row>
    <row r="25" spans="1:8" ht="15.75" x14ac:dyDescent="0.25">
      <c r="A25" s="120" t="s">
        <v>510</v>
      </c>
      <c r="B25" s="117"/>
      <c r="C25" s="116"/>
      <c r="D25" s="114"/>
      <c r="E25" s="114"/>
      <c r="F25" s="114"/>
      <c r="G25" s="114"/>
      <c r="H25" s="114"/>
    </row>
    <row r="26" spans="1:8" x14ac:dyDescent="0.25">
      <c r="A26" s="114" t="s">
        <v>533</v>
      </c>
      <c r="B26" s="114"/>
      <c r="C26" s="114"/>
      <c r="D26" s="114"/>
      <c r="E26" s="114"/>
      <c r="F26" s="114"/>
      <c r="G26" s="114"/>
      <c r="H26" s="114"/>
    </row>
    <row r="27" spans="1:8" x14ac:dyDescent="0.25">
      <c r="A27" s="109" t="s">
        <v>706</v>
      </c>
      <c r="B27" s="97">
        <f>ROUND(B19/5000,0)*24</f>
        <v>72</v>
      </c>
      <c r="C27" s="114"/>
      <c r="D27" s="114"/>
      <c r="E27" s="114"/>
      <c r="F27" s="114"/>
      <c r="G27" s="114"/>
      <c r="H27" s="114"/>
    </row>
    <row r="28" spans="1:8" x14ac:dyDescent="0.25">
      <c r="A28" s="109" t="s">
        <v>534</v>
      </c>
      <c r="B28" s="121">
        <f>PV!B37+(PV!B38+PV!B39)/2+((B27/24)*PV!B23*(1+PV!B27)*(1+PV!B28))/South_Facade_PV_5S!B19</f>
        <v>1.488243373493976</v>
      </c>
      <c r="C28" s="97" t="s">
        <v>296</v>
      </c>
      <c r="D28" s="114" t="s">
        <v>652</v>
      </c>
      <c r="E28" s="114"/>
      <c r="F28" s="114" t="s">
        <v>536</v>
      </c>
      <c r="G28" s="114"/>
      <c r="H28" s="114"/>
    </row>
    <row r="29" spans="1:8" x14ac:dyDescent="0.25">
      <c r="A29" s="109" t="s">
        <v>535</v>
      </c>
      <c r="B29" s="112">
        <f>PV!B20*(1+PV!B27)*(1+PV!B28)+(PV!B38+PV!B39)/2</f>
        <v>0.40472000000000002</v>
      </c>
      <c r="C29" s="97" t="s">
        <v>296</v>
      </c>
      <c r="D29" s="114"/>
      <c r="E29" s="114"/>
      <c r="F29" s="114" t="s">
        <v>536</v>
      </c>
      <c r="G29" s="114"/>
      <c r="H29" s="114"/>
    </row>
    <row r="32" spans="1:8" x14ac:dyDescent="0.25">
      <c r="B32" s="7"/>
    </row>
    <row r="33" spans="1:2" x14ac:dyDescent="0.25">
      <c r="B33" s="7"/>
    </row>
    <row r="34" spans="1:2" x14ac:dyDescent="0.25">
      <c r="B34" s="7"/>
    </row>
    <row r="35" spans="1:2" x14ac:dyDescent="0.25">
      <c r="B35" s="7"/>
    </row>
    <row r="36" spans="1:2" x14ac:dyDescent="0.25">
      <c r="B36" s="7"/>
    </row>
    <row r="41" spans="1:2" x14ac:dyDescent="0.25">
      <c r="A41" s="35"/>
    </row>
    <row r="55" spans="2:4" x14ac:dyDescent="0.25">
      <c r="B55" s="36"/>
      <c r="D55" s="36"/>
    </row>
    <row r="56" spans="2:4" x14ac:dyDescent="0.25">
      <c r="B56" s="36"/>
      <c r="D56" s="36"/>
    </row>
    <row r="57" spans="2:4" x14ac:dyDescent="0.25">
      <c r="B57" s="36"/>
      <c r="D57" s="36"/>
    </row>
    <row r="58" spans="2:4" x14ac:dyDescent="0.25">
      <c r="B58" s="36"/>
      <c r="D58" s="36"/>
    </row>
    <row r="59" spans="2:4" x14ac:dyDescent="0.25">
      <c r="B59" s="36"/>
      <c r="D59" s="36"/>
    </row>
    <row r="66" spans="1:2" x14ac:dyDescent="0.25">
      <c r="A66" s="39"/>
    </row>
    <row r="67" spans="1:2" x14ac:dyDescent="0.25">
      <c r="A67" s="39"/>
    </row>
    <row r="68" spans="1:2" x14ac:dyDescent="0.25">
      <c r="A68" s="39"/>
    </row>
    <row r="69" spans="1:2" x14ac:dyDescent="0.25">
      <c r="A69" s="39"/>
    </row>
    <row r="70" spans="1:2" x14ac:dyDescent="0.25">
      <c r="A70" s="39"/>
    </row>
    <row r="71" spans="1:2" x14ac:dyDescent="0.25">
      <c r="A71" s="39"/>
    </row>
    <row r="72" spans="1:2" x14ac:dyDescent="0.25">
      <c r="A72" s="39"/>
    </row>
    <row r="73" spans="1:2" x14ac:dyDescent="0.25">
      <c r="A73" s="39"/>
    </row>
    <row r="74" spans="1:2" x14ac:dyDescent="0.25">
      <c r="A74" s="39"/>
    </row>
    <row r="75" spans="1:2" x14ac:dyDescent="0.25">
      <c r="A75" s="39"/>
    </row>
    <row r="76" spans="1:2" x14ac:dyDescent="0.25">
      <c r="A76" s="39"/>
    </row>
    <row r="77" spans="1:2" x14ac:dyDescent="0.25">
      <c r="A77" s="39"/>
    </row>
    <row r="79" spans="1:2" x14ac:dyDescent="0.25">
      <c r="A79" s="35"/>
      <c r="B79" s="41"/>
    </row>
    <row r="80" spans="1:2" x14ac:dyDescent="0.25">
      <c r="A80" s="35"/>
      <c r="B80" s="36"/>
    </row>
    <row r="87" spans="1:5" x14ac:dyDescent="0.25">
      <c r="A87" s="48"/>
      <c r="B87" s="48"/>
      <c r="C87" s="48"/>
      <c r="D87" s="48"/>
      <c r="E87" s="48"/>
    </row>
    <row r="88" spans="1:5" x14ac:dyDescent="0.25">
      <c r="A88" s="48"/>
      <c r="B88" s="49"/>
      <c r="C88" s="49"/>
      <c r="D88" s="49"/>
      <c r="E88" s="49"/>
    </row>
    <row r="89" spans="1:5" x14ac:dyDescent="0.25">
      <c r="A89" s="48"/>
      <c r="B89" s="50"/>
      <c r="C89" s="50"/>
      <c r="D89" s="50"/>
      <c r="E89" s="50"/>
    </row>
    <row r="90" spans="1:5" x14ac:dyDescent="0.25">
      <c r="A90" s="48"/>
      <c r="B90" s="50"/>
      <c r="C90" s="50"/>
      <c r="D90" s="50"/>
      <c r="E90" s="50"/>
    </row>
    <row r="91" spans="1:5" x14ac:dyDescent="0.25">
      <c r="A91" s="48"/>
      <c r="B91" s="50"/>
      <c r="C91" s="50"/>
      <c r="D91" s="50"/>
      <c r="E91" s="50"/>
    </row>
    <row r="92" spans="1:5" x14ac:dyDescent="0.25">
      <c r="A92" s="48"/>
      <c r="B92" s="50"/>
      <c r="C92" s="50"/>
      <c r="D92" s="50"/>
      <c r="E92" s="50"/>
    </row>
    <row r="93" spans="1:5" x14ac:dyDescent="0.25">
      <c r="A93" s="48"/>
      <c r="B93" s="50"/>
      <c r="C93" s="50"/>
      <c r="D93" s="50"/>
      <c r="E93" s="50"/>
    </row>
    <row r="94" spans="1:5" x14ac:dyDescent="0.25">
      <c r="A94" s="48"/>
      <c r="B94" s="50"/>
      <c r="C94" s="50"/>
      <c r="D94" s="50"/>
      <c r="E94" s="50"/>
    </row>
    <row r="95" spans="1:5" x14ac:dyDescent="0.25">
      <c r="A95" s="51"/>
      <c r="B95" s="52"/>
      <c r="C95" s="52"/>
      <c r="D95" s="52"/>
      <c r="E95" s="52"/>
    </row>
    <row r="96" spans="1:5" x14ac:dyDescent="0.25">
      <c r="B96" s="40"/>
      <c r="C96" s="40"/>
      <c r="D96" s="40"/>
      <c r="E96" s="40"/>
    </row>
    <row r="97" spans="1:5" x14ac:dyDescent="0.25">
      <c r="B97" s="36"/>
      <c r="C97" s="36"/>
      <c r="D97" s="36"/>
      <c r="E97" s="36"/>
    </row>
    <row r="98" spans="1:5" x14ac:dyDescent="0.25">
      <c r="B98" s="40"/>
      <c r="C98" s="40"/>
      <c r="D98" s="40"/>
      <c r="E98" s="40"/>
    </row>
    <row r="99" spans="1:5" x14ac:dyDescent="0.25">
      <c r="B99" s="40"/>
      <c r="C99" s="40"/>
      <c r="D99" s="40"/>
      <c r="E99" s="40"/>
    </row>
    <row r="100" spans="1:5" x14ac:dyDescent="0.25">
      <c r="B100" s="40"/>
      <c r="C100" s="40"/>
      <c r="D100" s="40"/>
      <c r="E100" s="40"/>
    </row>
    <row r="101" spans="1:5" x14ac:dyDescent="0.25">
      <c r="A101" s="22"/>
      <c r="B101" s="53"/>
      <c r="C101" s="53"/>
      <c r="D101" s="53"/>
      <c r="E101" s="53"/>
    </row>
    <row r="102" spans="1:5" x14ac:dyDescent="0.25">
      <c r="B102" s="40"/>
      <c r="C102" s="40"/>
    </row>
    <row r="104" spans="1:5" x14ac:dyDescent="0.25">
      <c r="A104" s="7"/>
    </row>
    <row r="105" spans="1:5" x14ac:dyDescent="0.25">
      <c r="A105" s="32"/>
    </row>
    <row r="106" spans="1:5" x14ac:dyDescent="0.25">
      <c r="A106" s="32"/>
    </row>
  </sheetData>
  <hyperlinks>
    <hyperlink ref="A3" location="'Summary sheet'!A1" display="Link to summary sheet" xr:uid="{00000000-0004-0000-10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FD106"/>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0.28515625" customWidth="1"/>
    <col min="5" max="5" width="19.42578125" customWidth="1"/>
    <col min="6" max="6" width="20.140625" customWidth="1"/>
    <col min="7" max="7" width="29.7109375" customWidth="1"/>
    <col min="8" max="8" width="27.28515625" customWidth="1"/>
    <col min="9" max="9" width="26.140625" customWidth="1"/>
    <col min="10" max="10" width="26.28515625" customWidth="1"/>
    <col min="11" max="11" width="26.140625" customWidth="1"/>
    <col min="12" max="12" width="24.42578125" customWidth="1"/>
    <col min="13" max="13" width="31.5703125" customWidth="1"/>
    <col min="14" max="14" width="34.140625" customWidth="1"/>
    <col min="15" max="15" width="34.140625" bestFit="1" customWidth="1"/>
    <col min="16" max="16" width="11.5703125" customWidth="1"/>
  </cols>
  <sheetData>
    <row r="1" spans="1:16384" x14ac:dyDescent="0.25">
      <c r="A1" s="8" t="s">
        <v>83</v>
      </c>
      <c r="B1" s="9" t="s">
        <v>861</v>
      </c>
      <c r="C1" s="8"/>
      <c r="D1" s="9"/>
      <c r="E1" s="8"/>
      <c r="F1" s="9"/>
      <c r="G1" s="8"/>
      <c r="H1" s="9"/>
      <c r="I1" s="8"/>
      <c r="J1" s="9"/>
      <c r="K1" s="8"/>
      <c r="L1" s="9"/>
      <c r="M1" s="8"/>
      <c r="N1" s="9"/>
      <c r="O1" s="8"/>
      <c r="P1" s="9"/>
      <c r="Q1" s="8"/>
      <c r="R1" s="9"/>
      <c r="S1" s="8"/>
      <c r="T1" s="9"/>
      <c r="U1" s="8"/>
      <c r="V1" s="9"/>
      <c r="W1" s="8"/>
      <c r="X1" s="9"/>
      <c r="Y1" s="8"/>
      <c r="Z1" s="9"/>
      <c r="AA1" s="8"/>
      <c r="AB1" s="9"/>
      <c r="AC1" s="8"/>
      <c r="AD1" s="9"/>
      <c r="AE1" s="8"/>
      <c r="AF1" s="9"/>
      <c r="AG1" s="8"/>
      <c r="AH1" s="9"/>
      <c r="AI1" s="8"/>
      <c r="AJ1" s="9"/>
      <c r="AK1" s="8"/>
      <c r="AL1" s="9"/>
      <c r="AM1" s="8"/>
      <c r="AN1" s="9"/>
      <c r="AO1" s="8"/>
      <c r="AP1" s="9"/>
      <c r="AQ1" s="8"/>
      <c r="AR1" s="9"/>
      <c r="AS1" s="8"/>
      <c r="AT1" s="9"/>
      <c r="AU1" s="8"/>
      <c r="AV1" s="9"/>
      <c r="AW1" s="8"/>
      <c r="AX1" s="9"/>
      <c r="AY1" s="8"/>
      <c r="AZ1" s="9"/>
      <c r="BA1" s="8"/>
      <c r="BB1" s="9"/>
      <c r="BC1" s="8"/>
      <c r="BD1" s="9"/>
      <c r="BE1" s="8"/>
      <c r="BF1" s="9"/>
      <c r="BG1" s="8"/>
      <c r="BH1" s="9"/>
      <c r="BI1" s="8"/>
      <c r="BJ1" s="9"/>
      <c r="BK1" s="8"/>
      <c r="BL1" s="9"/>
      <c r="BM1" s="8"/>
      <c r="BN1" s="9"/>
      <c r="BO1" s="8"/>
      <c r="BP1" s="9"/>
      <c r="BQ1" s="8"/>
      <c r="BR1" s="9"/>
      <c r="BS1" s="8"/>
      <c r="BT1" s="9"/>
      <c r="BU1" s="8"/>
      <c r="BV1" s="9"/>
      <c r="BW1" s="8"/>
      <c r="BX1" s="9"/>
      <c r="BY1" s="8"/>
      <c r="BZ1" s="9"/>
      <c r="CA1" s="8"/>
      <c r="CB1" s="9"/>
      <c r="CC1" s="8"/>
      <c r="CD1" s="9"/>
      <c r="CE1" s="8"/>
      <c r="CF1" s="9"/>
      <c r="CG1" s="8"/>
      <c r="CH1" s="9"/>
      <c r="CI1" s="8"/>
      <c r="CJ1" s="9"/>
      <c r="CK1" s="8"/>
      <c r="CL1" s="9"/>
      <c r="CM1" s="8"/>
      <c r="CN1" s="9"/>
      <c r="CO1" s="8"/>
      <c r="CP1" s="9"/>
      <c r="CQ1" s="8"/>
      <c r="CR1" s="9"/>
      <c r="CS1" s="8"/>
      <c r="CT1" s="9"/>
      <c r="CU1" s="8"/>
      <c r="CV1" s="9"/>
      <c r="CW1" s="8"/>
      <c r="CX1" s="9"/>
      <c r="CY1" s="8"/>
      <c r="CZ1" s="9"/>
      <c r="DA1" s="8"/>
      <c r="DB1" s="9"/>
      <c r="DC1" s="8"/>
      <c r="DD1" s="9"/>
      <c r="DE1" s="8"/>
      <c r="DF1" s="9"/>
      <c r="DG1" s="8"/>
      <c r="DH1" s="9"/>
      <c r="DI1" s="8"/>
      <c r="DJ1" s="9"/>
      <c r="DK1" s="8"/>
      <c r="DL1" s="9"/>
      <c r="DM1" s="8"/>
      <c r="DN1" s="9"/>
      <c r="DO1" s="8"/>
      <c r="DP1" s="9"/>
      <c r="DQ1" s="8"/>
      <c r="DR1" s="9"/>
      <c r="DS1" s="8"/>
      <c r="DT1" s="9"/>
      <c r="DU1" s="8"/>
      <c r="DV1" s="9"/>
      <c r="DW1" s="8"/>
      <c r="DX1" s="9"/>
      <c r="DY1" s="8"/>
      <c r="DZ1" s="9"/>
      <c r="EA1" s="8"/>
      <c r="EB1" s="9"/>
      <c r="EC1" s="8"/>
      <c r="ED1" s="9"/>
      <c r="EE1" s="8"/>
      <c r="EF1" s="9"/>
      <c r="EG1" s="8"/>
      <c r="EH1" s="9"/>
      <c r="EI1" s="8"/>
      <c r="EJ1" s="9"/>
      <c r="EK1" s="8"/>
      <c r="EL1" s="9"/>
      <c r="EM1" s="8"/>
      <c r="EN1" s="9"/>
      <c r="EO1" s="8"/>
      <c r="EP1" s="9"/>
      <c r="EQ1" s="8"/>
      <c r="ER1" s="9"/>
      <c r="ES1" s="8"/>
      <c r="ET1" s="9"/>
      <c r="EU1" s="8"/>
      <c r="EV1" s="9"/>
      <c r="EW1" s="8"/>
      <c r="EX1" s="9"/>
      <c r="EY1" s="8"/>
      <c r="EZ1" s="9"/>
      <c r="FA1" s="8"/>
      <c r="FB1" s="9"/>
      <c r="FC1" s="8"/>
      <c r="FD1" s="9"/>
      <c r="FE1" s="8"/>
      <c r="FF1" s="9"/>
      <c r="FG1" s="8"/>
      <c r="FH1" s="9"/>
      <c r="FI1" s="8"/>
      <c r="FJ1" s="9"/>
      <c r="FK1" s="8"/>
      <c r="FL1" s="9"/>
      <c r="FM1" s="8"/>
      <c r="FN1" s="9"/>
      <c r="FO1" s="8"/>
      <c r="FP1" s="9"/>
      <c r="FQ1" s="8"/>
      <c r="FR1" s="9"/>
      <c r="FS1" s="8"/>
      <c r="FT1" s="9"/>
      <c r="FU1" s="8"/>
      <c r="FV1" s="9"/>
      <c r="FW1" s="8"/>
      <c r="FX1" s="9"/>
      <c r="FY1" s="8"/>
      <c r="FZ1" s="9"/>
      <c r="GA1" s="8"/>
      <c r="GB1" s="9"/>
      <c r="GC1" s="8"/>
      <c r="GD1" s="9"/>
      <c r="GE1" s="8"/>
      <c r="GF1" s="9"/>
      <c r="GG1" s="8"/>
      <c r="GH1" s="9"/>
      <c r="GI1" s="8"/>
      <c r="GJ1" s="9"/>
      <c r="GK1" s="8"/>
      <c r="GL1" s="9"/>
      <c r="GM1" s="8"/>
      <c r="GN1" s="9"/>
      <c r="GO1" s="8"/>
      <c r="GP1" s="9"/>
      <c r="GQ1" s="8"/>
      <c r="GR1" s="9"/>
      <c r="GS1" s="8"/>
      <c r="GT1" s="9"/>
      <c r="GU1" s="8"/>
      <c r="GV1" s="9"/>
      <c r="GW1" s="8"/>
      <c r="GX1" s="9"/>
      <c r="GY1" s="8"/>
      <c r="GZ1" s="9"/>
      <c r="HA1" s="8"/>
      <c r="HB1" s="9"/>
      <c r="HC1" s="8"/>
      <c r="HD1" s="9"/>
      <c r="HE1" s="8"/>
      <c r="HF1" s="9"/>
      <c r="HG1" s="8"/>
      <c r="HH1" s="9"/>
      <c r="HI1" s="8"/>
      <c r="HJ1" s="9"/>
      <c r="HK1" s="8"/>
      <c r="HL1" s="9"/>
      <c r="HM1" s="8"/>
      <c r="HN1" s="9"/>
      <c r="HO1" s="8"/>
      <c r="HP1" s="9"/>
      <c r="HQ1" s="8"/>
      <c r="HR1" s="9"/>
      <c r="HS1" s="8"/>
      <c r="HT1" s="9"/>
      <c r="HU1" s="8"/>
      <c r="HV1" s="9"/>
      <c r="HW1" s="8"/>
      <c r="HX1" s="9"/>
      <c r="HY1" s="8"/>
      <c r="HZ1" s="9"/>
      <c r="IA1" s="8"/>
      <c r="IB1" s="9"/>
      <c r="IC1" s="8"/>
      <c r="ID1" s="9"/>
      <c r="IE1" s="8"/>
      <c r="IF1" s="9"/>
      <c r="IG1" s="8"/>
      <c r="IH1" s="9"/>
      <c r="II1" s="8"/>
      <c r="IJ1" s="9"/>
      <c r="IK1" s="8"/>
      <c r="IL1" s="9"/>
      <c r="IM1" s="8"/>
      <c r="IN1" s="9"/>
      <c r="IO1" s="8"/>
      <c r="IP1" s="9"/>
      <c r="IQ1" s="8"/>
      <c r="IR1" s="9"/>
      <c r="IS1" s="8"/>
      <c r="IT1" s="9"/>
      <c r="IU1" s="8"/>
      <c r="IV1" s="9"/>
      <c r="IW1" s="8"/>
      <c r="IX1" s="9"/>
      <c r="IY1" s="8"/>
      <c r="IZ1" s="9"/>
      <c r="JA1" s="8"/>
      <c r="JB1" s="9"/>
      <c r="JC1" s="8"/>
      <c r="JD1" s="9"/>
      <c r="JE1" s="8"/>
      <c r="JF1" s="9"/>
      <c r="JG1" s="8"/>
      <c r="JH1" s="9"/>
      <c r="JI1" s="8"/>
      <c r="JJ1" s="9"/>
      <c r="JK1" s="8"/>
      <c r="JL1" s="9"/>
      <c r="JM1" s="8"/>
      <c r="JN1" s="9"/>
      <c r="JO1" s="8"/>
      <c r="JP1" s="9"/>
      <c r="JQ1" s="8"/>
      <c r="JR1" s="9"/>
      <c r="JS1" s="8"/>
      <c r="JT1" s="9"/>
      <c r="JU1" s="8"/>
      <c r="JV1" s="9"/>
      <c r="JW1" s="8"/>
      <c r="JX1" s="9"/>
      <c r="JY1" s="8"/>
      <c r="JZ1" s="9"/>
      <c r="KA1" s="8"/>
      <c r="KB1" s="9"/>
      <c r="KC1" s="8"/>
      <c r="KD1" s="9"/>
      <c r="KE1" s="8"/>
      <c r="KF1" s="9"/>
      <c r="KG1" s="8"/>
      <c r="KH1" s="9"/>
      <c r="KI1" s="8"/>
      <c r="KJ1" s="9"/>
      <c r="KK1" s="8"/>
      <c r="KL1" s="9"/>
      <c r="KM1" s="8"/>
      <c r="KN1" s="9"/>
      <c r="KO1" s="8"/>
      <c r="KP1" s="9"/>
      <c r="KQ1" s="8"/>
      <c r="KR1" s="9"/>
      <c r="KS1" s="8"/>
      <c r="KT1" s="9"/>
      <c r="KU1" s="8"/>
      <c r="KV1" s="9"/>
      <c r="KW1" s="8"/>
      <c r="KX1" s="9"/>
      <c r="KY1" s="8"/>
      <c r="KZ1" s="9"/>
      <c r="LA1" s="8"/>
      <c r="LB1" s="9"/>
      <c r="LC1" s="8"/>
      <c r="LD1" s="9"/>
      <c r="LE1" s="8"/>
      <c r="LF1" s="9"/>
      <c r="LG1" s="8"/>
      <c r="LH1" s="9"/>
      <c r="LI1" s="8"/>
      <c r="LJ1" s="9"/>
      <c r="LK1" s="8"/>
      <c r="LL1" s="9"/>
      <c r="LM1" s="8"/>
      <c r="LN1" s="9"/>
      <c r="LO1" s="8"/>
      <c r="LP1" s="9"/>
      <c r="LQ1" s="8"/>
      <c r="LR1" s="9"/>
      <c r="LS1" s="8"/>
      <c r="LT1" s="9"/>
      <c r="LU1" s="8"/>
      <c r="LV1" s="9"/>
      <c r="LW1" s="8"/>
      <c r="LX1" s="9"/>
      <c r="LY1" s="8"/>
      <c r="LZ1" s="9"/>
      <c r="MA1" s="8"/>
      <c r="MB1" s="9"/>
      <c r="MC1" s="8"/>
      <c r="MD1" s="9"/>
      <c r="ME1" s="8"/>
      <c r="MF1" s="9"/>
      <c r="MG1" s="8"/>
      <c r="MH1" s="9"/>
      <c r="MI1" s="8"/>
      <c r="MJ1" s="9"/>
      <c r="MK1" s="8"/>
      <c r="ML1" s="9"/>
      <c r="MM1" s="8"/>
      <c r="MN1" s="9"/>
      <c r="MO1" s="8"/>
      <c r="MP1" s="9"/>
      <c r="MQ1" s="8"/>
      <c r="MR1" s="9"/>
      <c r="MS1" s="8"/>
      <c r="MT1" s="9"/>
      <c r="MU1" s="8"/>
      <c r="MV1" s="9"/>
      <c r="MW1" s="8"/>
      <c r="MX1" s="9"/>
      <c r="MY1" s="8"/>
      <c r="MZ1" s="9"/>
      <c r="NA1" s="8"/>
      <c r="NB1" s="9"/>
      <c r="NC1" s="8"/>
      <c r="ND1" s="9"/>
      <c r="NE1" s="8"/>
      <c r="NF1" s="9"/>
      <c r="NG1" s="8"/>
      <c r="NH1" s="9"/>
      <c r="NI1" s="8"/>
      <c r="NJ1" s="9"/>
      <c r="NK1" s="8"/>
      <c r="NL1" s="9"/>
      <c r="NM1" s="8"/>
      <c r="NN1" s="9"/>
      <c r="NO1" s="8"/>
      <c r="NP1" s="9"/>
      <c r="NQ1" s="8"/>
      <c r="NR1" s="9"/>
      <c r="NS1" s="8"/>
      <c r="NT1" s="9"/>
      <c r="NU1" s="8"/>
      <c r="NV1" s="9"/>
      <c r="NW1" s="8"/>
      <c r="NX1" s="9"/>
      <c r="NY1" s="8"/>
      <c r="NZ1" s="9"/>
      <c r="OA1" s="8"/>
      <c r="OB1" s="9"/>
      <c r="OC1" s="8"/>
      <c r="OD1" s="9"/>
      <c r="OE1" s="8"/>
      <c r="OF1" s="9"/>
      <c r="OG1" s="8"/>
      <c r="OH1" s="9"/>
      <c r="OI1" s="8"/>
      <c r="OJ1" s="9"/>
      <c r="OK1" s="8"/>
      <c r="OL1" s="9"/>
      <c r="OM1" s="8"/>
      <c r="ON1" s="9"/>
      <c r="OO1" s="8"/>
      <c r="OP1" s="9"/>
      <c r="OQ1" s="8"/>
      <c r="OR1" s="9"/>
      <c r="OS1" s="8"/>
      <c r="OT1" s="9"/>
      <c r="OU1" s="8"/>
      <c r="OV1" s="9"/>
      <c r="OW1" s="8"/>
      <c r="OX1" s="9"/>
      <c r="OY1" s="8"/>
      <c r="OZ1" s="9"/>
      <c r="PA1" s="8"/>
      <c r="PB1" s="9"/>
      <c r="PC1" s="8"/>
      <c r="PD1" s="9"/>
      <c r="PE1" s="8"/>
      <c r="PF1" s="9"/>
      <c r="PG1" s="8"/>
      <c r="PH1" s="9"/>
      <c r="PI1" s="8"/>
      <c r="PJ1" s="9"/>
      <c r="PK1" s="8"/>
      <c r="PL1" s="9"/>
      <c r="PM1" s="8"/>
      <c r="PN1" s="9"/>
      <c r="PO1" s="8"/>
      <c r="PP1" s="9"/>
      <c r="PQ1" s="8"/>
      <c r="PR1" s="9"/>
      <c r="PS1" s="8"/>
      <c r="PT1" s="9"/>
      <c r="PU1" s="8"/>
      <c r="PV1" s="9"/>
      <c r="PW1" s="8"/>
      <c r="PX1" s="9"/>
      <c r="PY1" s="8"/>
      <c r="PZ1" s="9"/>
      <c r="QA1" s="8"/>
      <c r="QB1" s="9"/>
      <c r="QC1" s="8"/>
      <c r="QD1" s="9"/>
      <c r="QE1" s="8"/>
      <c r="QF1" s="9"/>
      <c r="QG1" s="8"/>
      <c r="QH1" s="9"/>
      <c r="QI1" s="8"/>
      <c r="QJ1" s="9"/>
      <c r="QK1" s="8"/>
      <c r="QL1" s="9"/>
      <c r="QM1" s="8"/>
      <c r="QN1" s="9"/>
      <c r="QO1" s="8"/>
      <c r="QP1" s="9"/>
      <c r="QQ1" s="8"/>
      <c r="QR1" s="9"/>
      <c r="QS1" s="8"/>
      <c r="QT1" s="9"/>
      <c r="QU1" s="8"/>
      <c r="QV1" s="9"/>
      <c r="QW1" s="8"/>
      <c r="QX1" s="9"/>
      <c r="QY1" s="8"/>
      <c r="QZ1" s="9"/>
      <c r="RA1" s="8"/>
      <c r="RB1" s="9"/>
      <c r="RC1" s="8"/>
      <c r="RD1" s="9"/>
      <c r="RE1" s="8"/>
      <c r="RF1" s="9"/>
      <c r="RG1" s="8"/>
      <c r="RH1" s="9"/>
      <c r="RI1" s="8"/>
      <c r="RJ1" s="9"/>
      <c r="RK1" s="8"/>
      <c r="RL1" s="9"/>
      <c r="RM1" s="8"/>
      <c r="RN1" s="9"/>
      <c r="RO1" s="8"/>
      <c r="RP1" s="9"/>
      <c r="RQ1" s="8"/>
      <c r="RR1" s="9"/>
      <c r="RS1" s="8"/>
      <c r="RT1" s="9"/>
      <c r="RU1" s="8"/>
      <c r="RV1" s="9"/>
      <c r="RW1" s="8"/>
      <c r="RX1" s="9"/>
      <c r="RY1" s="8"/>
      <c r="RZ1" s="9"/>
      <c r="SA1" s="8"/>
      <c r="SB1" s="9"/>
      <c r="SC1" s="8"/>
      <c r="SD1" s="9"/>
      <c r="SE1" s="8"/>
      <c r="SF1" s="9"/>
      <c r="SG1" s="8"/>
      <c r="SH1" s="9"/>
      <c r="SI1" s="8"/>
      <c r="SJ1" s="9"/>
      <c r="SK1" s="8"/>
      <c r="SL1" s="9"/>
      <c r="SM1" s="8"/>
      <c r="SN1" s="9"/>
      <c r="SO1" s="8"/>
      <c r="SP1" s="9"/>
      <c r="SQ1" s="8"/>
      <c r="SR1" s="9"/>
      <c r="SS1" s="8"/>
      <c r="ST1" s="9"/>
      <c r="SU1" s="8"/>
      <c r="SV1" s="9"/>
      <c r="SW1" s="8"/>
      <c r="SX1" s="9"/>
      <c r="SY1" s="8"/>
      <c r="SZ1" s="9"/>
      <c r="TA1" s="8"/>
      <c r="TB1" s="9"/>
      <c r="TC1" s="8"/>
      <c r="TD1" s="9"/>
      <c r="TE1" s="8"/>
      <c r="TF1" s="9"/>
      <c r="TG1" s="8"/>
      <c r="TH1" s="9"/>
      <c r="TI1" s="8"/>
      <c r="TJ1" s="9"/>
      <c r="TK1" s="8"/>
      <c r="TL1" s="9"/>
      <c r="TM1" s="8"/>
      <c r="TN1" s="9"/>
      <c r="TO1" s="8"/>
      <c r="TP1" s="9"/>
      <c r="TQ1" s="8"/>
      <c r="TR1" s="9"/>
      <c r="TS1" s="8"/>
      <c r="TT1" s="9"/>
      <c r="TU1" s="8"/>
      <c r="TV1" s="9"/>
      <c r="TW1" s="8"/>
      <c r="TX1" s="9"/>
      <c r="TY1" s="8"/>
      <c r="TZ1" s="9"/>
      <c r="UA1" s="8"/>
      <c r="UB1" s="9"/>
      <c r="UC1" s="8"/>
      <c r="UD1" s="9"/>
      <c r="UE1" s="8"/>
      <c r="UF1" s="9"/>
      <c r="UG1" s="8"/>
      <c r="UH1" s="9"/>
      <c r="UI1" s="8"/>
      <c r="UJ1" s="9"/>
      <c r="UK1" s="8"/>
      <c r="UL1" s="9"/>
      <c r="UM1" s="8"/>
      <c r="UN1" s="9"/>
      <c r="UO1" s="8"/>
      <c r="UP1" s="9"/>
      <c r="UQ1" s="8"/>
      <c r="UR1" s="9"/>
      <c r="US1" s="8"/>
      <c r="UT1" s="9"/>
      <c r="UU1" s="8"/>
      <c r="UV1" s="9"/>
      <c r="UW1" s="8"/>
      <c r="UX1" s="9"/>
      <c r="UY1" s="8"/>
      <c r="UZ1" s="9"/>
      <c r="VA1" s="8"/>
      <c r="VB1" s="9"/>
      <c r="VC1" s="8"/>
      <c r="VD1" s="9"/>
      <c r="VE1" s="8"/>
      <c r="VF1" s="9"/>
      <c r="VG1" s="8"/>
      <c r="VH1" s="9"/>
      <c r="VI1" s="8"/>
      <c r="VJ1" s="9"/>
      <c r="VK1" s="8"/>
      <c r="VL1" s="9"/>
      <c r="VM1" s="8"/>
      <c r="VN1" s="9"/>
      <c r="VO1" s="8"/>
      <c r="VP1" s="9"/>
      <c r="VQ1" s="8"/>
      <c r="VR1" s="9"/>
      <c r="VS1" s="8"/>
      <c r="VT1" s="9"/>
      <c r="VU1" s="8"/>
      <c r="VV1" s="9"/>
      <c r="VW1" s="8"/>
      <c r="VX1" s="9"/>
      <c r="VY1" s="8"/>
      <c r="VZ1" s="9"/>
      <c r="WA1" s="8"/>
      <c r="WB1" s="9"/>
      <c r="WC1" s="8"/>
      <c r="WD1" s="9"/>
      <c r="WE1" s="8"/>
      <c r="WF1" s="9"/>
      <c r="WG1" s="8"/>
      <c r="WH1" s="9"/>
      <c r="WI1" s="8"/>
      <c r="WJ1" s="9"/>
      <c r="WK1" s="8"/>
      <c r="WL1" s="9"/>
      <c r="WM1" s="8"/>
      <c r="WN1" s="9"/>
      <c r="WO1" s="8"/>
      <c r="WP1" s="9"/>
      <c r="WQ1" s="8"/>
      <c r="WR1" s="9"/>
      <c r="WS1" s="8"/>
      <c r="WT1" s="9"/>
      <c r="WU1" s="8"/>
      <c r="WV1" s="9"/>
      <c r="WW1" s="8"/>
      <c r="WX1" s="9"/>
      <c r="WY1" s="8"/>
      <c r="WZ1" s="9"/>
      <c r="XA1" s="8"/>
      <c r="XB1" s="9"/>
      <c r="XC1" s="8"/>
      <c r="XD1" s="9"/>
      <c r="XE1" s="8"/>
      <c r="XF1" s="9"/>
      <c r="XG1" s="8"/>
      <c r="XH1" s="9"/>
      <c r="XI1" s="8"/>
      <c r="XJ1" s="9"/>
      <c r="XK1" s="8"/>
      <c r="XL1" s="9"/>
      <c r="XM1" s="8"/>
      <c r="XN1" s="9"/>
      <c r="XO1" s="8"/>
      <c r="XP1" s="9"/>
      <c r="XQ1" s="8"/>
      <c r="XR1" s="9"/>
      <c r="XS1" s="8"/>
      <c r="XT1" s="9"/>
      <c r="XU1" s="8"/>
      <c r="XV1" s="9"/>
      <c r="XW1" s="8"/>
      <c r="XX1" s="9"/>
      <c r="XY1" s="8"/>
      <c r="XZ1" s="9"/>
      <c r="YA1" s="8"/>
      <c r="YB1" s="9"/>
      <c r="YC1" s="8"/>
      <c r="YD1" s="9"/>
      <c r="YE1" s="8"/>
      <c r="YF1" s="9"/>
      <c r="YG1" s="8"/>
      <c r="YH1" s="9"/>
      <c r="YI1" s="8"/>
      <c r="YJ1" s="9"/>
      <c r="YK1" s="8"/>
      <c r="YL1" s="9"/>
      <c r="YM1" s="8"/>
      <c r="YN1" s="9"/>
      <c r="YO1" s="8"/>
      <c r="YP1" s="9"/>
      <c r="YQ1" s="8"/>
      <c r="YR1" s="9"/>
      <c r="YS1" s="8"/>
      <c r="YT1" s="9"/>
      <c r="YU1" s="8"/>
      <c r="YV1" s="9"/>
      <c r="YW1" s="8"/>
      <c r="YX1" s="9"/>
      <c r="YY1" s="8"/>
      <c r="YZ1" s="9"/>
      <c r="ZA1" s="8"/>
      <c r="ZB1" s="9"/>
      <c r="ZC1" s="8"/>
      <c r="ZD1" s="9"/>
      <c r="ZE1" s="8"/>
      <c r="ZF1" s="9"/>
      <c r="ZG1" s="8"/>
      <c r="ZH1" s="9"/>
      <c r="ZI1" s="8"/>
      <c r="ZJ1" s="9"/>
      <c r="ZK1" s="8"/>
      <c r="ZL1" s="9"/>
      <c r="ZM1" s="8"/>
      <c r="ZN1" s="9"/>
      <c r="ZO1" s="8"/>
      <c r="ZP1" s="9"/>
      <c r="ZQ1" s="8"/>
      <c r="ZR1" s="9"/>
      <c r="ZS1" s="8"/>
      <c r="ZT1" s="9"/>
      <c r="ZU1" s="8"/>
      <c r="ZV1" s="9"/>
      <c r="ZW1" s="8"/>
      <c r="ZX1" s="9"/>
      <c r="ZY1" s="8"/>
      <c r="ZZ1" s="9"/>
      <c r="AAA1" s="8"/>
      <c r="AAB1" s="9"/>
      <c r="AAC1" s="8"/>
      <c r="AAD1" s="9"/>
      <c r="AAE1" s="8"/>
      <c r="AAF1" s="9"/>
      <c r="AAG1" s="8"/>
      <c r="AAH1" s="9"/>
      <c r="AAI1" s="8"/>
      <c r="AAJ1" s="9"/>
      <c r="AAK1" s="8"/>
      <c r="AAL1" s="9"/>
      <c r="AAM1" s="8"/>
      <c r="AAN1" s="9"/>
      <c r="AAO1" s="8"/>
      <c r="AAP1" s="9"/>
      <c r="AAQ1" s="8"/>
      <c r="AAR1" s="9"/>
      <c r="AAS1" s="8"/>
      <c r="AAT1" s="9"/>
      <c r="AAU1" s="8"/>
      <c r="AAV1" s="9"/>
      <c r="AAW1" s="8"/>
      <c r="AAX1" s="9"/>
      <c r="AAY1" s="8"/>
      <c r="AAZ1" s="9"/>
      <c r="ABA1" s="8"/>
      <c r="ABB1" s="9"/>
      <c r="ABC1" s="8"/>
      <c r="ABD1" s="9"/>
      <c r="ABE1" s="8"/>
      <c r="ABF1" s="9"/>
      <c r="ABG1" s="8"/>
      <c r="ABH1" s="9"/>
      <c r="ABI1" s="8"/>
      <c r="ABJ1" s="9"/>
      <c r="ABK1" s="8"/>
      <c r="ABL1" s="9"/>
      <c r="ABM1" s="8"/>
      <c r="ABN1" s="9"/>
      <c r="ABO1" s="8"/>
      <c r="ABP1" s="9"/>
      <c r="ABQ1" s="8"/>
      <c r="ABR1" s="9"/>
      <c r="ABS1" s="8"/>
      <c r="ABT1" s="9"/>
      <c r="ABU1" s="8"/>
      <c r="ABV1" s="9"/>
      <c r="ABW1" s="8"/>
      <c r="ABX1" s="9"/>
      <c r="ABY1" s="8"/>
      <c r="ABZ1" s="9"/>
      <c r="ACA1" s="8"/>
      <c r="ACB1" s="9"/>
      <c r="ACC1" s="8"/>
      <c r="ACD1" s="9"/>
      <c r="ACE1" s="8"/>
      <c r="ACF1" s="9"/>
      <c r="ACG1" s="8"/>
      <c r="ACH1" s="9"/>
      <c r="ACI1" s="8"/>
      <c r="ACJ1" s="9"/>
      <c r="ACK1" s="8"/>
      <c r="ACL1" s="9"/>
      <c r="ACM1" s="8"/>
      <c r="ACN1" s="9"/>
      <c r="ACO1" s="8"/>
      <c r="ACP1" s="9"/>
      <c r="ACQ1" s="8"/>
      <c r="ACR1" s="9"/>
      <c r="ACS1" s="8"/>
      <c r="ACT1" s="9"/>
      <c r="ACU1" s="8"/>
      <c r="ACV1" s="9"/>
      <c r="ACW1" s="8"/>
      <c r="ACX1" s="9"/>
      <c r="ACY1" s="8"/>
      <c r="ACZ1" s="9"/>
      <c r="ADA1" s="8"/>
      <c r="ADB1" s="9"/>
      <c r="ADC1" s="8"/>
      <c r="ADD1" s="9"/>
      <c r="ADE1" s="8"/>
      <c r="ADF1" s="9"/>
      <c r="ADG1" s="8"/>
      <c r="ADH1" s="9"/>
      <c r="ADI1" s="8"/>
      <c r="ADJ1" s="9"/>
      <c r="ADK1" s="8"/>
      <c r="ADL1" s="9"/>
      <c r="ADM1" s="8"/>
      <c r="ADN1" s="9"/>
      <c r="ADO1" s="8"/>
      <c r="ADP1" s="9"/>
      <c r="ADQ1" s="8"/>
      <c r="ADR1" s="9"/>
      <c r="ADS1" s="8"/>
      <c r="ADT1" s="9"/>
      <c r="ADU1" s="8"/>
      <c r="ADV1" s="9"/>
      <c r="ADW1" s="8"/>
      <c r="ADX1" s="9"/>
      <c r="ADY1" s="8"/>
      <c r="ADZ1" s="9"/>
      <c r="AEA1" s="8"/>
      <c r="AEB1" s="9"/>
      <c r="AEC1" s="8"/>
      <c r="AED1" s="9"/>
      <c r="AEE1" s="8"/>
      <c r="AEF1" s="9"/>
      <c r="AEG1" s="8"/>
      <c r="AEH1" s="9"/>
      <c r="AEI1" s="8"/>
      <c r="AEJ1" s="9"/>
      <c r="AEK1" s="8"/>
      <c r="AEL1" s="9"/>
      <c r="AEM1" s="8"/>
      <c r="AEN1" s="9"/>
      <c r="AEO1" s="8"/>
      <c r="AEP1" s="9"/>
      <c r="AEQ1" s="8"/>
      <c r="AER1" s="9"/>
      <c r="AES1" s="8"/>
      <c r="AET1" s="9"/>
      <c r="AEU1" s="8"/>
      <c r="AEV1" s="9"/>
      <c r="AEW1" s="8"/>
      <c r="AEX1" s="9"/>
      <c r="AEY1" s="8"/>
      <c r="AEZ1" s="9"/>
      <c r="AFA1" s="8"/>
      <c r="AFB1" s="9"/>
      <c r="AFC1" s="8"/>
      <c r="AFD1" s="9"/>
      <c r="AFE1" s="8"/>
      <c r="AFF1" s="9"/>
      <c r="AFG1" s="8"/>
      <c r="AFH1" s="9"/>
      <c r="AFI1" s="8"/>
      <c r="AFJ1" s="9"/>
      <c r="AFK1" s="8"/>
      <c r="AFL1" s="9"/>
      <c r="AFM1" s="8"/>
      <c r="AFN1" s="9"/>
      <c r="AFO1" s="8"/>
      <c r="AFP1" s="9"/>
      <c r="AFQ1" s="8"/>
      <c r="AFR1" s="9"/>
      <c r="AFS1" s="8"/>
      <c r="AFT1" s="9"/>
      <c r="AFU1" s="8"/>
      <c r="AFV1" s="9"/>
      <c r="AFW1" s="8"/>
      <c r="AFX1" s="9"/>
      <c r="AFY1" s="8"/>
      <c r="AFZ1" s="9"/>
      <c r="AGA1" s="8"/>
      <c r="AGB1" s="9"/>
      <c r="AGC1" s="8"/>
      <c r="AGD1" s="9"/>
      <c r="AGE1" s="8"/>
      <c r="AGF1" s="9"/>
      <c r="AGG1" s="8"/>
      <c r="AGH1" s="9"/>
      <c r="AGI1" s="8"/>
      <c r="AGJ1" s="9"/>
      <c r="AGK1" s="8"/>
      <c r="AGL1" s="9"/>
      <c r="AGM1" s="8"/>
      <c r="AGN1" s="9"/>
      <c r="AGO1" s="8"/>
      <c r="AGP1" s="9"/>
      <c r="AGQ1" s="8"/>
      <c r="AGR1" s="9"/>
      <c r="AGS1" s="8"/>
      <c r="AGT1" s="9"/>
      <c r="AGU1" s="8"/>
      <c r="AGV1" s="9"/>
      <c r="AGW1" s="8"/>
      <c r="AGX1" s="9"/>
      <c r="AGY1" s="8"/>
      <c r="AGZ1" s="9"/>
      <c r="AHA1" s="8"/>
      <c r="AHB1" s="9"/>
      <c r="AHC1" s="8"/>
      <c r="AHD1" s="9"/>
      <c r="AHE1" s="8"/>
      <c r="AHF1" s="9"/>
      <c r="AHG1" s="8"/>
      <c r="AHH1" s="9"/>
      <c r="AHI1" s="8"/>
      <c r="AHJ1" s="9"/>
      <c r="AHK1" s="8"/>
      <c r="AHL1" s="9"/>
      <c r="AHM1" s="8"/>
      <c r="AHN1" s="9"/>
      <c r="AHO1" s="8"/>
      <c r="AHP1" s="9"/>
      <c r="AHQ1" s="8"/>
      <c r="AHR1" s="9"/>
      <c r="AHS1" s="8"/>
      <c r="AHT1" s="9"/>
      <c r="AHU1" s="8"/>
      <c r="AHV1" s="9"/>
      <c r="AHW1" s="8"/>
      <c r="AHX1" s="9"/>
      <c r="AHY1" s="8"/>
      <c r="AHZ1" s="9"/>
      <c r="AIA1" s="8"/>
      <c r="AIB1" s="9"/>
      <c r="AIC1" s="8"/>
      <c r="AID1" s="9"/>
      <c r="AIE1" s="8"/>
      <c r="AIF1" s="9"/>
      <c r="AIG1" s="8"/>
      <c r="AIH1" s="9"/>
      <c r="AII1" s="8"/>
      <c r="AIJ1" s="9"/>
      <c r="AIK1" s="8"/>
      <c r="AIL1" s="9"/>
      <c r="AIM1" s="8"/>
      <c r="AIN1" s="9"/>
      <c r="AIO1" s="8"/>
      <c r="AIP1" s="9"/>
      <c r="AIQ1" s="8"/>
      <c r="AIR1" s="9"/>
      <c r="AIS1" s="8"/>
      <c r="AIT1" s="9"/>
      <c r="AIU1" s="8"/>
      <c r="AIV1" s="9"/>
      <c r="AIW1" s="8"/>
      <c r="AIX1" s="9"/>
      <c r="AIY1" s="8"/>
      <c r="AIZ1" s="9"/>
      <c r="AJA1" s="8"/>
      <c r="AJB1" s="9"/>
      <c r="AJC1" s="8"/>
      <c r="AJD1" s="9"/>
      <c r="AJE1" s="8"/>
      <c r="AJF1" s="9"/>
      <c r="AJG1" s="8"/>
      <c r="AJH1" s="9"/>
      <c r="AJI1" s="8"/>
      <c r="AJJ1" s="9"/>
      <c r="AJK1" s="8"/>
      <c r="AJL1" s="9"/>
      <c r="AJM1" s="8"/>
      <c r="AJN1" s="9"/>
      <c r="AJO1" s="8"/>
      <c r="AJP1" s="9"/>
      <c r="AJQ1" s="8"/>
      <c r="AJR1" s="9"/>
      <c r="AJS1" s="8"/>
      <c r="AJT1" s="9"/>
      <c r="AJU1" s="8"/>
      <c r="AJV1" s="9"/>
      <c r="AJW1" s="8"/>
      <c r="AJX1" s="9"/>
      <c r="AJY1" s="8"/>
      <c r="AJZ1" s="9"/>
      <c r="AKA1" s="8"/>
      <c r="AKB1" s="9"/>
      <c r="AKC1" s="8"/>
      <c r="AKD1" s="9"/>
      <c r="AKE1" s="8"/>
      <c r="AKF1" s="9"/>
      <c r="AKG1" s="8"/>
      <c r="AKH1" s="9"/>
      <c r="AKI1" s="8"/>
      <c r="AKJ1" s="9"/>
      <c r="AKK1" s="8"/>
      <c r="AKL1" s="9"/>
      <c r="AKM1" s="8"/>
      <c r="AKN1" s="9"/>
      <c r="AKO1" s="8"/>
      <c r="AKP1" s="9"/>
      <c r="AKQ1" s="8"/>
      <c r="AKR1" s="9"/>
      <c r="AKS1" s="8"/>
      <c r="AKT1" s="9"/>
      <c r="AKU1" s="8"/>
      <c r="AKV1" s="9"/>
      <c r="AKW1" s="8"/>
      <c r="AKX1" s="9"/>
      <c r="AKY1" s="8"/>
      <c r="AKZ1" s="9"/>
      <c r="ALA1" s="8"/>
      <c r="ALB1" s="9"/>
      <c r="ALC1" s="8"/>
      <c r="ALD1" s="9"/>
      <c r="ALE1" s="8"/>
      <c r="ALF1" s="9"/>
      <c r="ALG1" s="8"/>
      <c r="ALH1" s="9"/>
      <c r="ALI1" s="8"/>
      <c r="ALJ1" s="9"/>
      <c r="ALK1" s="8"/>
      <c r="ALL1" s="9"/>
      <c r="ALM1" s="8"/>
      <c r="ALN1" s="9"/>
      <c r="ALO1" s="8"/>
      <c r="ALP1" s="9"/>
      <c r="ALQ1" s="8"/>
      <c r="ALR1" s="9"/>
      <c r="ALS1" s="8"/>
      <c r="ALT1" s="9"/>
      <c r="ALU1" s="8"/>
      <c r="ALV1" s="9"/>
      <c r="ALW1" s="8"/>
      <c r="ALX1" s="9"/>
      <c r="ALY1" s="8"/>
      <c r="ALZ1" s="9"/>
      <c r="AMA1" s="8"/>
      <c r="AMB1" s="9"/>
      <c r="AMC1" s="8"/>
      <c r="AMD1" s="9"/>
      <c r="AME1" s="8"/>
      <c r="AMF1" s="9"/>
      <c r="AMG1" s="8"/>
      <c r="AMH1" s="9"/>
      <c r="AMI1" s="8"/>
      <c r="AMJ1" s="9"/>
      <c r="AMK1" s="8"/>
      <c r="AML1" s="9"/>
      <c r="AMM1" s="8"/>
      <c r="AMN1" s="9"/>
      <c r="AMO1" s="8"/>
      <c r="AMP1" s="9"/>
      <c r="AMQ1" s="8"/>
      <c r="AMR1" s="9"/>
      <c r="AMS1" s="8"/>
      <c r="AMT1" s="9"/>
      <c r="AMU1" s="8"/>
      <c r="AMV1" s="9"/>
      <c r="AMW1" s="8"/>
      <c r="AMX1" s="9"/>
      <c r="AMY1" s="8"/>
      <c r="AMZ1" s="9"/>
      <c r="ANA1" s="8"/>
      <c r="ANB1" s="9"/>
      <c r="ANC1" s="8"/>
      <c r="AND1" s="9"/>
      <c r="ANE1" s="8"/>
      <c r="ANF1" s="9"/>
      <c r="ANG1" s="8"/>
      <c r="ANH1" s="9"/>
      <c r="ANI1" s="8"/>
      <c r="ANJ1" s="9"/>
      <c r="ANK1" s="8"/>
      <c r="ANL1" s="9"/>
      <c r="ANM1" s="8"/>
      <c r="ANN1" s="9"/>
      <c r="ANO1" s="8"/>
      <c r="ANP1" s="9"/>
      <c r="ANQ1" s="8"/>
      <c r="ANR1" s="9"/>
      <c r="ANS1" s="8"/>
      <c r="ANT1" s="9"/>
      <c r="ANU1" s="8"/>
      <c r="ANV1" s="9"/>
      <c r="ANW1" s="8"/>
      <c r="ANX1" s="9"/>
      <c r="ANY1" s="8"/>
      <c r="ANZ1" s="9"/>
      <c r="AOA1" s="8"/>
      <c r="AOB1" s="9"/>
      <c r="AOC1" s="8"/>
      <c r="AOD1" s="9"/>
      <c r="AOE1" s="8"/>
      <c r="AOF1" s="9"/>
      <c r="AOG1" s="8"/>
      <c r="AOH1" s="9"/>
      <c r="AOI1" s="8"/>
      <c r="AOJ1" s="9"/>
      <c r="AOK1" s="8"/>
      <c r="AOL1" s="9"/>
      <c r="AOM1" s="8"/>
      <c r="AON1" s="9"/>
      <c r="AOO1" s="8"/>
      <c r="AOP1" s="9"/>
      <c r="AOQ1" s="8"/>
      <c r="AOR1" s="9"/>
      <c r="AOS1" s="8"/>
      <c r="AOT1" s="9"/>
      <c r="AOU1" s="8"/>
      <c r="AOV1" s="9"/>
      <c r="AOW1" s="8"/>
      <c r="AOX1" s="9"/>
      <c r="AOY1" s="8"/>
      <c r="AOZ1" s="9"/>
      <c r="APA1" s="8"/>
      <c r="APB1" s="9"/>
      <c r="APC1" s="8"/>
      <c r="APD1" s="9"/>
      <c r="APE1" s="8"/>
      <c r="APF1" s="9"/>
      <c r="APG1" s="8"/>
      <c r="APH1" s="9"/>
      <c r="API1" s="8"/>
      <c r="APJ1" s="9"/>
      <c r="APK1" s="8"/>
      <c r="APL1" s="9"/>
      <c r="APM1" s="8"/>
      <c r="APN1" s="9"/>
      <c r="APO1" s="8"/>
      <c r="APP1" s="9"/>
      <c r="APQ1" s="8"/>
      <c r="APR1" s="9"/>
      <c r="APS1" s="8"/>
      <c r="APT1" s="9"/>
      <c r="APU1" s="8"/>
      <c r="APV1" s="9"/>
      <c r="APW1" s="8"/>
      <c r="APX1" s="9"/>
      <c r="APY1" s="8"/>
      <c r="APZ1" s="9"/>
      <c r="AQA1" s="8"/>
      <c r="AQB1" s="9"/>
      <c r="AQC1" s="8"/>
      <c r="AQD1" s="9"/>
      <c r="AQE1" s="8"/>
      <c r="AQF1" s="9"/>
      <c r="AQG1" s="8"/>
      <c r="AQH1" s="9"/>
      <c r="AQI1" s="8"/>
      <c r="AQJ1" s="9"/>
      <c r="AQK1" s="8"/>
      <c r="AQL1" s="9"/>
      <c r="AQM1" s="8"/>
      <c r="AQN1" s="9"/>
      <c r="AQO1" s="8"/>
      <c r="AQP1" s="9"/>
      <c r="AQQ1" s="8"/>
      <c r="AQR1" s="9"/>
      <c r="AQS1" s="8"/>
      <c r="AQT1" s="9"/>
      <c r="AQU1" s="8"/>
      <c r="AQV1" s="9"/>
      <c r="AQW1" s="8"/>
      <c r="AQX1" s="9"/>
      <c r="AQY1" s="8"/>
      <c r="AQZ1" s="9"/>
      <c r="ARA1" s="8"/>
      <c r="ARB1" s="9"/>
      <c r="ARC1" s="8"/>
      <c r="ARD1" s="9"/>
      <c r="ARE1" s="8"/>
      <c r="ARF1" s="9"/>
      <c r="ARG1" s="8"/>
      <c r="ARH1" s="9"/>
      <c r="ARI1" s="8"/>
      <c r="ARJ1" s="9"/>
      <c r="ARK1" s="8"/>
      <c r="ARL1" s="9"/>
      <c r="ARM1" s="8"/>
      <c r="ARN1" s="9"/>
      <c r="ARO1" s="8"/>
      <c r="ARP1" s="9"/>
      <c r="ARQ1" s="8"/>
      <c r="ARR1" s="9"/>
      <c r="ARS1" s="8"/>
      <c r="ART1" s="9"/>
      <c r="ARU1" s="8"/>
      <c r="ARV1" s="9"/>
      <c r="ARW1" s="8"/>
      <c r="ARX1" s="9"/>
      <c r="ARY1" s="8"/>
      <c r="ARZ1" s="9"/>
      <c r="ASA1" s="8"/>
      <c r="ASB1" s="9"/>
      <c r="ASC1" s="8"/>
      <c r="ASD1" s="9"/>
      <c r="ASE1" s="8"/>
      <c r="ASF1" s="9"/>
      <c r="ASG1" s="8"/>
      <c r="ASH1" s="9"/>
      <c r="ASI1" s="8"/>
      <c r="ASJ1" s="9"/>
      <c r="ASK1" s="8"/>
      <c r="ASL1" s="9"/>
      <c r="ASM1" s="8"/>
      <c r="ASN1" s="9"/>
      <c r="ASO1" s="8"/>
      <c r="ASP1" s="9"/>
      <c r="ASQ1" s="8"/>
      <c r="ASR1" s="9"/>
      <c r="ASS1" s="8"/>
      <c r="AST1" s="9"/>
      <c r="ASU1" s="8"/>
      <c r="ASV1" s="9"/>
      <c r="ASW1" s="8"/>
      <c r="ASX1" s="9"/>
      <c r="ASY1" s="8"/>
      <c r="ASZ1" s="9"/>
      <c r="ATA1" s="8"/>
      <c r="ATB1" s="9"/>
      <c r="ATC1" s="8"/>
      <c r="ATD1" s="9"/>
      <c r="ATE1" s="8"/>
      <c r="ATF1" s="9"/>
      <c r="ATG1" s="8"/>
      <c r="ATH1" s="9"/>
      <c r="ATI1" s="8"/>
      <c r="ATJ1" s="9"/>
      <c r="ATK1" s="8"/>
      <c r="ATL1" s="9"/>
      <c r="ATM1" s="8"/>
      <c r="ATN1" s="9"/>
      <c r="ATO1" s="8"/>
      <c r="ATP1" s="9"/>
      <c r="ATQ1" s="8"/>
      <c r="ATR1" s="9"/>
      <c r="ATS1" s="8"/>
      <c r="ATT1" s="9"/>
      <c r="ATU1" s="8"/>
      <c r="ATV1" s="9"/>
      <c r="ATW1" s="8"/>
      <c r="ATX1" s="9"/>
      <c r="ATY1" s="8"/>
      <c r="ATZ1" s="9"/>
      <c r="AUA1" s="8"/>
      <c r="AUB1" s="9"/>
      <c r="AUC1" s="8"/>
      <c r="AUD1" s="9"/>
      <c r="AUE1" s="8"/>
      <c r="AUF1" s="9"/>
      <c r="AUG1" s="8"/>
      <c r="AUH1" s="9"/>
      <c r="AUI1" s="8"/>
      <c r="AUJ1" s="9"/>
      <c r="AUK1" s="8"/>
      <c r="AUL1" s="9"/>
      <c r="AUM1" s="8"/>
      <c r="AUN1" s="9"/>
      <c r="AUO1" s="8"/>
      <c r="AUP1" s="9"/>
      <c r="AUQ1" s="8"/>
      <c r="AUR1" s="9"/>
      <c r="AUS1" s="8"/>
      <c r="AUT1" s="9"/>
      <c r="AUU1" s="8"/>
      <c r="AUV1" s="9"/>
      <c r="AUW1" s="8"/>
      <c r="AUX1" s="9"/>
      <c r="AUY1" s="8"/>
      <c r="AUZ1" s="9"/>
      <c r="AVA1" s="8"/>
      <c r="AVB1" s="9"/>
      <c r="AVC1" s="8"/>
      <c r="AVD1" s="9"/>
      <c r="AVE1" s="8"/>
      <c r="AVF1" s="9"/>
      <c r="AVG1" s="8"/>
      <c r="AVH1" s="9"/>
      <c r="AVI1" s="8"/>
      <c r="AVJ1" s="9"/>
      <c r="AVK1" s="8"/>
      <c r="AVL1" s="9"/>
      <c r="AVM1" s="8"/>
      <c r="AVN1" s="9"/>
      <c r="AVO1" s="8"/>
      <c r="AVP1" s="9"/>
      <c r="AVQ1" s="8"/>
      <c r="AVR1" s="9"/>
      <c r="AVS1" s="8"/>
      <c r="AVT1" s="9"/>
      <c r="AVU1" s="8"/>
      <c r="AVV1" s="9"/>
      <c r="AVW1" s="8"/>
      <c r="AVX1" s="9"/>
      <c r="AVY1" s="8"/>
      <c r="AVZ1" s="9"/>
      <c r="AWA1" s="8"/>
      <c r="AWB1" s="9"/>
      <c r="AWC1" s="8"/>
      <c r="AWD1" s="9"/>
      <c r="AWE1" s="8"/>
      <c r="AWF1" s="9"/>
      <c r="AWG1" s="8"/>
      <c r="AWH1" s="9"/>
      <c r="AWI1" s="8"/>
      <c r="AWJ1" s="9"/>
      <c r="AWK1" s="8"/>
      <c r="AWL1" s="9"/>
      <c r="AWM1" s="8"/>
      <c r="AWN1" s="9"/>
      <c r="AWO1" s="8"/>
      <c r="AWP1" s="9"/>
      <c r="AWQ1" s="8"/>
      <c r="AWR1" s="9"/>
      <c r="AWS1" s="8"/>
      <c r="AWT1" s="9"/>
      <c r="AWU1" s="8"/>
      <c r="AWV1" s="9"/>
      <c r="AWW1" s="8"/>
      <c r="AWX1" s="9"/>
      <c r="AWY1" s="8"/>
      <c r="AWZ1" s="9"/>
      <c r="AXA1" s="8"/>
      <c r="AXB1" s="9"/>
      <c r="AXC1" s="8"/>
      <c r="AXD1" s="9"/>
      <c r="AXE1" s="8"/>
      <c r="AXF1" s="9"/>
      <c r="AXG1" s="8"/>
      <c r="AXH1" s="9"/>
      <c r="AXI1" s="8"/>
      <c r="AXJ1" s="9"/>
      <c r="AXK1" s="8"/>
      <c r="AXL1" s="9"/>
      <c r="AXM1" s="8"/>
      <c r="AXN1" s="9"/>
      <c r="AXO1" s="8"/>
      <c r="AXP1" s="9"/>
      <c r="AXQ1" s="8"/>
      <c r="AXR1" s="9"/>
      <c r="AXS1" s="8"/>
      <c r="AXT1" s="9"/>
      <c r="AXU1" s="8"/>
      <c r="AXV1" s="9"/>
      <c r="AXW1" s="8"/>
      <c r="AXX1" s="9"/>
      <c r="AXY1" s="8"/>
      <c r="AXZ1" s="9"/>
      <c r="AYA1" s="8"/>
      <c r="AYB1" s="9"/>
      <c r="AYC1" s="8"/>
      <c r="AYD1" s="9"/>
      <c r="AYE1" s="8"/>
      <c r="AYF1" s="9"/>
      <c r="AYG1" s="8"/>
      <c r="AYH1" s="9"/>
      <c r="AYI1" s="8"/>
      <c r="AYJ1" s="9"/>
      <c r="AYK1" s="8"/>
      <c r="AYL1" s="9"/>
      <c r="AYM1" s="8"/>
      <c r="AYN1" s="9"/>
      <c r="AYO1" s="8"/>
      <c r="AYP1" s="9"/>
      <c r="AYQ1" s="8"/>
      <c r="AYR1" s="9"/>
      <c r="AYS1" s="8"/>
      <c r="AYT1" s="9"/>
      <c r="AYU1" s="8"/>
      <c r="AYV1" s="9"/>
      <c r="AYW1" s="8"/>
      <c r="AYX1" s="9"/>
      <c r="AYY1" s="8"/>
      <c r="AYZ1" s="9"/>
      <c r="AZA1" s="8"/>
      <c r="AZB1" s="9"/>
      <c r="AZC1" s="8"/>
      <c r="AZD1" s="9"/>
      <c r="AZE1" s="8"/>
      <c r="AZF1" s="9"/>
      <c r="AZG1" s="8"/>
      <c r="AZH1" s="9"/>
      <c r="AZI1" s="8"/>
      <c r="AZJ1" s="9"/>
      <c r="AZK1" s="8"/>
      <c r="AZL1" s="9"/>
      <c r="AZM1" s="8"/>
      <c r="AZN1" s="9"/>
      <c r="AZO1" s="8"/>
      <c r="AZP1" s="9"/>
      <c r="AZQ1" s="8"/>
      <c r="AZR1" s="9"/>
      <c r="AZS1" s="8"/>
      <c r="AZT1" s="9"/>
      <c r="AZU1" s="8"/>
      <c r="AZV1" s="9"/>
      <c r="AZW1" s="8"/>
      <c r="AZX1" s="9"/>
      <c r="AZY1" s="8"/>
      <c r="AZZ1" s="9"/>
      <c r="BAA1" s="8"/>
      <c r="BAB1" s="9"/>
      <c r="BAC1" s="8"/>
      <c r="BAD1" s="9"/>
      <c r="BAE1" s="8"/>
      <c r="BAF1" s="9"/>
      <c r="BAG1" s="8"/>
      <c r="BAH1" s="9"/>
      <c r="BAI1" s="8"/>
      <c r="BAJ1" s="9"/>
      <c r="BAK1" s="8"/>
      <c r="BAL1" s="9"/>
      <c r="BAM1" s="8"/>
      <c r="BAN1" s="9"/>
      <c r="BAO1" s="8"/>
      <c r="BAP1" s="9"/>
      <c r="BAQ1" s="8"/>
      <c r="BAR1" s="9"/>
      <c r="BAS1" s="8"/>
      <c r="BAT1" s="9"/>
      <c r="BAU1" s="8"/>
      <c r="BAV1" s="9"/>
      <c r="BAW1" s="8"/>
      <c r="BAX1" s="9"/>
      <c r="BAY1" s="8"/>
      <c r="BAZ1" s="9"/>
      <c r="BBA1" s="8"/>
      <c r="BBB1" s="9"/>
      <c r="BBC1" s="8"/>
      <c r="BBD1" s="9"/>
      <c r="BBE1" s="8"/>
      <c r="BBF1" s="9"/>
      <c r="BBG1" s="8"/>
      <c r="BBH1" s="9"/>
      <c r="BBI1" s="8"/>
      <c r="BBJ1" s="9"/>
      <c r="BBK1" s="8"/>
      <c r="BBL1" s="9"/>
      <c r="BBM1" s="8"/>
      <c r="BBN1" s="9"/>
      <c r="BBO1" s="8"/>
      <c r="BBP1" s="9"/>
      <c r="BBQ1" s="8"/>
      <c r="BBR1" s="9"/>
      <c r="BBS1" s="8"/>
      <c r="BBT1" s="9"/>
      <c r="BBU1" s="8"/>
      <c r="BBV1" s="9"/>
      <c r="BBW1" s="8"/>
      <c r="BBX1" s="9"/>
      <c r="BBY1" s="8"/>
      <c r="BBZ1" s="9"/>
      <c r="BCA1" s="8"/>
      <c r="BCB1" s="9"/>
      <c r="BCC1" s="8"/>
      <c r="BCD1" s="9"/>
      <c r="BCE1" s="8"/>
      <c r="BCF1" s="9"/>
      <c r="BCG1" s="8"/>
      <c r="BCH1" s="9"/>
      <c r="BCI1" s="8"/>
      <c r="BCJ1" s="9"/>
      <c r="BCK1" s="8"/>
      <c r="BCL1" s="9"/>
      <c r="BCM1" s="8"/>
      <c r="BCN1" s="9"/>
      <c r="BCO1" s="8"/>
      <c r="BCP1" s="9"/>
      <c r="BCQ1" s="8"/>
      <c r="BCR1" s="9"/>
      <c r="BCS1" s="8"/>
      <c r="BCT1" s="9"/>
      <c r="BCU1" s="8"/>
      <c r="BCV1" s="9"/>
      <c r="BCW1" s="8"/>
      <c r="BCX1" s="9"/>
      <c r="BCY1" s="8"/>
      <c r="BCZ1" s="9"/>
      <c r="BDA1" s="8"/>
      <c r="BDB1" s="9"/>
      <c r="BDC1" s="8"/>
      <c r="BDD1" s="9"/>
      <c r="BDE1" s="8"/>
      <c r="BDF1" s="9"/>
      <c r="BDG1" s="8"/>
      <c r="BDH1" s="9"/>
      <c r="BDI1" s="8"/>
      <c r="BDJ1" s="9"/>
      <c r="BDK1" s="8"/>
      <c r="BDL1" s="9"/>
      <c r="BDM1" s="8"/>
      <c r="BDN1" s="9"/>
      <c r="BDO1" s="8"/>
      <c r="BDP1" s="9"/>
      <c r="BDQ1" s="8"/>
      <c r="BDR1" s="9"/>
      <c r="BDS1" s="8"/>
      <c r="BDT1" s="9"/>
      <c r="BDU1" s="8"/>
      <c r="BDV1" s="9"/>
      <c r="BDW1" s="8"/>
      <c r="BDX1" s="9"/>
      <c r="BDY1" s="8"/>
      <c r="BDZ1" s="9"/>
      <c r="BEA1" s="8"/>
      <c r="BEB1" s="9"/>
      <c r="BEC1" s="8"/>
      <c r="BED1" s="9"/>
      <c r="BEE1" s="8"/>
      <c r="BEF1" s="9"/>
      <c r="BEG1" s="8"/>
      <c r="BEH1" s="9"/>
      <c r="BEI1" s="8"/>
      <c r="BEJ1" s="9"/>
      <c r="BEK1" s="8"/>
      <c r="BEL1" s="9"/>
      <c r="BEM1" s="8"/>
      <c r="BEN1" s="9"/>
      <c r="BEO1" s="8"/>
      <c r="BEP1" s="9"/>
      <c r="BEQ1" s="8"/>
      <c r="BER1" s="9"/>
      <c r="BES1" s="8"/>
      <c r="BET1" s="9"/>
      <c r="BEU1" s="8"/>
      <c r="BEV1" s="9"/>
      <c r="BEW1" s="8"/>
      <c r="BEX1" s="9"/>
      <c r="BEY1" s="8"/>
      <c r="BEZ1" s="9"/>
      <c r="BFA1" s="8"/>
      <c r="BFB1" s="9"/>
      <c r="BFC1" s="8"/>
      <c r="BFD1" s="9"/>
      <c r="BFE1" s="8"/>
      <c r="BFF1" s="9"/>
      <c r="BFG1" s="8"/>
      <c r="BFH1" s="9"/>
      <c r="BFI1" s="8"/>
      <c r="BFJ1" s="9"/>
      <c r="BFK1" s="8"/>
      <c r="BFL1" s="9"/>
      <c r="BFM1" s="8"/>
      <c r="BFN1" s="9"/>
      <c r="BFO1" s="8"/>
      <c r="BFP1" s="9"/>
      <c r="BFQ1" s="8"/>
      <c r="BFR1" s="9"/>
      <c r="BFS1" s="8"/>
      <c r="BFT1" s="9"/>
      <c r="BFU1" s="8"/>
      <c r="BFV1" s="9"/>
      <c r="BFW1" s="8"/>
      <c r="BFX1" s="9"/>
      <c r="BFY1" s="8"/>
      <c r="BFZ1" s="9"/>
      <c r="BGA1" s="8"/>
      <c r="BGB1" s="9"/>
      <c r="BGC1" s="8"/>
      <c r="BGD1" s="9"/>
      <c r="BGE1" s="8"/>
      <c r="BGF1" s="9"/>
      <c r="BGG1" s="8"/>
      <c r="BGH1" s="9"/>
      <c r="BGI1" s="8"/>
      <c r="BGJ1" s="9"/>
      <c r="BGK1" s="8"/>
      <c r="BGL1" s="9"/>
      <c r="BGM1" s="8"/>
      <c r="BGN1" s="9"/>
      <c r="BGO1" s="8"/>
      <c r="BGP1" s="9"/>
      <c r="BGQ1" s="8"/>
      <c r="BGR1" s="9"/>
      <c r="BGS1" s="8"/>
      <c r="BGT1" s="9"/>
      <c r="BGU1" s="8"/>
      <c r="BGV1" s="9"/>
      <c r="BGW1" s="8"/>
      <c r="BGX1" s="9"/>
      <c r="BGY1" s="8"/>
      <c r="BGZ1" s="9"/>
      <c r="BHA1" s="8"/>
      <c r="BHB1" s="9"/>
      <c r="BHC1" s="8"/>
      <c r="BHD1" s="9"/>
      <c r="BHE1" s="8"/>
      <c r="BHF1" s="9"/>
      <c r="BHG1" s="8"/>
      <c r="BHH1" s="9"/>
      <c r="BHI1" s="8"/>
      <c r="BHJ1" s="9"/>
      <c r="BHK1" s="8"/>
      <c r="BHL1" s="9"/>
      <c r="BHM1" s="8"/>
      <c r="BHN1" s="9"/>
      <c r="BHO1" s="8"/>
      <c r="BHP1" s="9"/>
      <c r="BHQ1" s="8"/>
      <c r="BHR1" s="9"/>
      <c r="BHS1" s="8"/>
      <c r="BHT1" s="9"/>
      <c r="BHU1" s="8"/>
      <c r="BHV1" s="9"/>
      <c r="BHW1" s="8"/>
      <c r="BHX1" s="9"/>
      <c r="BHY1" s="8"/>
      <c r="BHZ1" s="9"/>
      <c r="BIA1" s="8"/>
      <c r="BIB1" s="9"/>
      <c r="BIC1" s="8"/>
      <c r="BID1" s="9"/>
      <c r="BIE1" s="8"/>
      <c r="BIF1" s="9"/>
      <c r="BIG1" s="8"/>
      <c r="BIH1" s="9"/>
      <c r="BII1" s="8"/>
      <c r="BIJ1" s="9"/>
      <c r="BIK1" s="8"/>
      <c r="BIL1" s="9"/>
      <c r="BIM1" s="8"/>
      <c r="BIN1" s="9"/>
      <c r="BIO1" s="8"/>
      <c r="BIP1" s="9"/>
      <c r="BIQ1" s="8"/>
      <c r="BIR1" s="9"/>
      <c r="BIS1" s="8"/>
      <c r="BIT1" s="9"/>
      <c r="BIU1" s="8"/>
      <c r="BIV1" s="9"/>
      <c r="BIW1" s="8"/>
      <c r="BIX1" s="9"/>
      <c r="BIY1" s="8"/>
      <c r="BIZ1" s="9"/>
      <c r="BJA1" s="8"/>
      <c r="BJB1" s="9"/>
      <c r="BJC1" s="8"/>
      <c r="BJD1" s="9"/>
      <c r="BJE1" s="8"/>
      <c r="BJF1" s="9"/>
      <c r="BJG1" s="8"/>
      <c r="BJH1" s="9"/>
      <c r="BJI1" s="8"/>
      <c r="BJJ1" s="9"/>
      <c r="BJK1" s="8"/>
      <c r="BJL1" s="9"/>
      <c r="BJM1" s="8"/>
      <c r="BJN1" s="9"/>
      <c r="BJO1" s="8"/>
      <c r="BJP1" s="9"/>
      <c r="BJQ1" s="8"/>
      <c r="BJR1" s="9"/>
      <c r="BJS1" s="8"/>
      <c r="BJT1" s="9"/>
      <c r="BJU1" s="8"/>
      <c r="BJV1" s="9"/>
      <c r="BJW1" s="8"/>
      <c r="BJX1" s="9"/>
      <c r="BJY1" s="8"/>
      <c r="BJZ1" s="9"/>
      <c r="BKA1" s="8"/>
      <c r="BKB1" s="9"/>
      <c r="BKC1" s="8"/>
      <c r="BKD1" s="9"/>
      <c r="BKE1" s="8"/>
      <c r="BKF1" s="9"/>
      <c r="BKG1" s="8"/>
      <c r="BKH1" s="9"/>
      <c r="BKI1" s="8"/>
      <c r="BKJ1" s="9"/>
      <c r="BKK1" s="8"/>
      <c r="BKL1" s="9"/>
      <c r="BKM1" s="8"/>
      <c r="BKN1" s="9"/>
      <c r="BKO1" s="8"/>
      <c r="BKP1" s="9"/>
      <c r="BKQ1" s="8"/>
      <c r="BKR1" s="9"/>
      <c r="BKS1" s="8"/>
      <c r="BKT1" s="9"/>
      <c r="BKU1" s="8"/>
      <c r="BKV1" s="9"/>
      <c r="BKW1" s="8"/>
      <c r="BKX1" s="9"/>
      <c r="BKY1" s="8"/>
      <c r="BKZ1" s="9"/>
      <c r="BLA1" s="8"/>
      <c r="BLB1" s="9"/>
      <c r="BLC1" s="8"/>
      <c r="BLD1" s="9"/>
      <c r="BLE1" s="8"/>
      <c r="BLF1" s="9"/>
      <c r="BLG1" s="8"/>
      <c r="BLH1" s="9"/>
      <c r="BLI1" s="8"/>
      <c r="BLJ1" s="9"/>
      <c r="BLK1" s="8"/>
      <c r="BLL1" s="9"/>
      <c r="BLM1" s="8"/>
      <c r="BLN1" s="9"/>
      <c r="BLO1" s="8"/>
      <c r="BLP1" s="9"/>
      <c r="BLQ1" s="8"/>
      <c r="BLR1" s="9"/>
      <c r="BLS1" s="8"/>
      <c r="BLT1" s="9"/>
      <c r="BLU1" s="8"/>
      <c r="BLV1" s="9"/>
      <c r="BLW1" s="8"/>
      <c r="BLX1" s="9"/>
      <c r="BLY1" s="8"/>
      <c r="BLZ1" s="9"/>
      <c r="BMA1" s="8"/>
      <c r="BMB1" s="9"/>
      <c r="BMC1" s="8"/>
      <c r="BMD1" s="9"/>
      <c r="BME1" s="8"/>
      <c r="BMF1" s="9"/>
      <c r="BMG1" s="8"/>
      <c r="BMH1" s="9"/>
      <c r="BMI1" s="8"/>
      <c r="BMJ1" s="9"/>
      <c r="BMK1" s="8"/>
      <c r="BML1" s="9"/>
      <c r="BMM1" s="8"/>
      <c r="BMN1" s="9"/>
      <c r="BMO1" s="8"/>
      <c r="BMP1" s="9"/>
      <c r="BMQ1" s="8"/>
      <c r="BMR1" s="9"/>
      <c r="BMS1" s="8"/>
      <c r="BMT1" s="9"/>
      <c r="BMU1" s="8"/>
      <c r="BMV1" s="9"/>
      <c r="BMW1" s="8"/>
      <c r="BMX1" s="9"/>
      <c r="BMY1" s="8"/>
      <c r="BMZ1" s="9"/>
      <c r="BNA1" s="8"/>
      <c r="BNB1" s="9"/>
      <c r="BNC1" s="8"/>
      <c r="BND1" s="9"/>
      <c r="BNE1" s="8"/>
      <c r="BNF1" s="9"/>
      <c r="BNG1" s="8"/>
      <c r="BNH1" s="9"/>
      <c r="BNI1" s="8"/>
      <c r="BNJ1" s="9"/>
      <c r="BNK1" s="8"/>
      <c r="BNL1" s="9"/>
      <c r="BNM1" s="8"/>
      <c r="BNN1" s="9"/>
      <c r="BNO1" s="8"/>
      <c r="BNP1" s="9"/>
      <c r="BNQ1" s="8"/>
      <c r="BNR1" s="9"/>
      <c r="BNS1" s="8"/>
      <c r="BNT1" s="9"/>
      <c r="BNU1" s="8"/>
      <c r="BNV1" s="9"/>
      <c r="BNW1" s="8"/>
      <c r="BNX1" s="9"/>
      <c r="BNY1" s="8"/>
      <c r="BNZ1" s="9"/>
      <c r="BOA1" s="8"/>
      <c r="BOB1" s="9"/>
      <c r="BOC1" s="8"/>
      <c r="BOD1" s="9"/>
      <c r="BOE1" s="8"/>
      <c r="BOF1" s="9"/>
      <c r="BOG1" s="8"/>
      <c r="BOH1" s="9"/>
      <c r="BOI1" s="8"/>
      <c r="BOJ1" s="9"/>
      <c r="BOK1" s="8"/>
      <c r="BOL1" s="9"/>
      <c r="BOM1" s="8"/>
      <c r="BON1" s="9"/>
      <c r="BOO1" s="8"/>
      <c r="BOP1" s="9"/>
      <c r="BOQ1" s="8"/>
      <c r="BOR1" s="9"/>
      <c r="BOS1" s="8"/>
      <c r="BOT1" s="9"/>
      <c r="BOU1" s="8"/>
      <c r="BOV1" s="9"/>
      <c r="BOW1" s="8"/>
      <c r="BOX1" s="9"/>
      <c r="BOY1" s="8"/>
      <c r="BOZ1" s="9"/>
      <c r="BPA1" s="8"/>
      <c r="BPB1" s="9"/>
      <c r="BPC1" s="8"/>
      <c r="BPD1" s="9"/>
      <c r="BPE1" s="8"/>
      <c r="BPF1" s="9"/>
      <c r="BPG1" s="8"/>
      <c r="BPH1" s="9"/>
      <c r="BPI1" s="8"/>
      <c r="BPJ1" s="9"/>
      <c r="BPK1" s="8"/>
      <c r="BPL1" s="9"/>
      <c r="BPM1" s="8"/>
      <c r="BPN1" s="9"/>
      <c r="BPO1" s="8"/>
      <c r="BPP1" s="9"/>
      <c r="BPQ1" s="8"/>
      <c r="BPR1" s="9"/>
      <c r="BPS1" s="8"/>
      <c r="BPT1" s="9"/>
      <c r="BPU1" s="8"/>
      <c r="BPV1" s="9"/>
      <c r="BPW1" s="8"/>
      <c r="BPX1" s="9"/>
      <c r="BPY1" s="8"/>
      <c r="BPZ1" s="9"/>
      <c r="BQA1" s="8"/>
      <c r="BQB1" s="9"/>
      <c r="BQC1" s="8"/>
      <c r="BQD1" s="9"/>
      <c r="BQE1" s="8"/>
      <c r="BQF1" s="9"/>
      <c r="BQG1" s="8"/>
      <c r="BQH1" s="9"/>
      <c r="BQI1" s="8"/>
      <c r="BQJ1" s="9"/>
      <c r="BQK1" s="8"/>
      <c r="BQL1" s="9"/>
      <c r="BQM1" s="8"/>
      <c r="BQN1" s="9"/>
      <c r="BQO1" s="8"/>
      <c r="BQP1" s="9"/>
      <c r="BQQ1" s="8"/>
      <c r="BQR1" s="9"/>
      <c r="BQS1" s="8"/>
      <c r="BQT1" s="9"/>
      <c r="BQU1" s="8"/>
      <c r="BQV1" s="9"/>
      <c r="BQW1" s="8"/>
      <c r="BQX1" s="9"/>
      <c r="BQY1" s="8"/>
      <c r="BQZ1" s="9"/>
      <c r="BRA1" s="8"/>
      <c r="BRB1" s="9"/>
      <c r="BRC1" s="8"/>
      <c r="BRD1" s="9"/>
      <c r="BRE1" s="8"/>
      <c r="BRF1" s="9"/>
      <c r="BRG1" s="8"/>
      <c r="BRH1" s="9"/>
      <c r="BRI1" s="8"/>
      <c r="BRJ1" s="9"/>
      <c r="BRK1" s="8"/>
      <c r="BRL1" s="9"/>
      <c r="BRM1" s="8"/>
      <c r="BRN1" s="9"/>
      <c r="BRO1" s="8"/>
      <c r="BRP1" s="9"/>
      <c r="BRQ1" s="8"/>
      <c r="BRR1" s="9"/>
      <c r="BRS1" s="8"/>
      <c r="BRT1" s="9"/>
      <c r="BRU1" s="8"/>
      <c r="BRV1" s="9"/>
      <c r="BRW1" s="8"/>
      <c r="BRX1" s="9"/>
      <c r="BRY1" s="8"/>
      <c r="BRZ1" s="9"/>
      <c r="BSA1" s="8"/>
      <c r="BSB1" s="9"/>
      <c r="BSC1" s="8"/>
      <c r="BSD1" s="9"/>
      <c r="BSE1" s="8"/>
      <c r="BSF1" s="9"/>
      <c r="BSG1" s="8"/>
      <c r="BSH1" s="9"/>
      <c r="BSI1" s="8"/>
      <c r="BSJ1" s="9"/>
      <c r="BSK1" s="8"/>
      <c r="BSL1" s="9"/>
      <c r="BSM1" s="8"/>
      <c r="BSN1" s="9"/>
      <c r="BSO1" s="8"/>
      <c r="BSP1" s="9"/>
      <c r="BSQ1" s="8"/>
      <c r="BSR1" s="9"/>
      <c r="BSS1" s="8"/>
      <c r="BST1" s="9"/>
      <c r="BSU1" s="8"/>
      <c r="BSV1" s="9"/>
      <c r="BSW1" s="8"/>
      <c r="BSX1" s="9"/>
      <c r="BSY1" s="8"/>
      <c r="BSZ1" s="9"/>
      <c r="BTA1" s="8"/>
      <c r="BTB1" s="9"/>
      <c r="BTC1" s="8"/>
      <c r="BTD1" s="9"/>
      <c r="BTE1" s="8"/>
      <c r="BTF1" s="9"/>
      <c r="BTG1" s="8"/>
      <c r="BTH1" s="9"/>
      <c r="BTI1" s="8"/>
      <c r="BTJ1" s="9"/>
      <c r="BTK1" s="8"/>
      <c r="BTL1" s="9"/>
      <c r="BTM1" s="8"/>
      <c r="BTN1" s="9"/>
      <c r="BTO1" s="8"/>
      <c r="BTP1" s="9"/>
      <c r="BTQ1" s="8"/>
      <c r="BTR1" s="9"/>
      <c r="BTS1" s="8"/>
      <c r="BTT1" s="9"/>
      <c r="BTU1" s="8"/>
      <c r="BTV1" s="9"/>
      <c r="BTW1" s="8"/>
      <c r="BTX1" s="9"/>
      <c r="BTY1" s="8"/>
      <c r="BTZ1" s="9"/>
      <c r="BUA1" s="8"/>
      <c r="BUB1" s="9"/>
      <c r="BUC1" s="8"/>
      <c r="BUD1" s="9"/>
      <c r="BUE1" s="8"/>
      <c r="BUF1" s="9"/>
      <c r="BUG1" s="8"/>
      <c r="BUH1" s="9"/>
      <c r="BUI1" s="8"/>
      <c r="BUJ1" s="9"/>
      <c r="BUK1" s="8"/>
      <c r="BUL1" s="9"/>
      <c r="BUM1" s="8"/>
      <c r="BUN1" s="9"/>
      <c r="BUO1" s="8"/>
      <c r="BUP1" s="9"/>
      <c r="BUQ1" s="8"/>
      <c r="BUR1" s="9"/>
      <c r="BUS1" s="8"/>
      <c r="BUT1" s="9"/>
      <c r="BUU1" s="8"/>
      <c r="BUV1" s="9"/>
      <c r="BUW1" s="8"/>
      <c r="BUX1" s="9"/>
      <c r="BUY1" s="8"/>
      <c r="BUZ1" s="9"/>
      <c r="BVA1" s="8"/>
      <c r="BVB1" s="9"/>
      <c r="BVC1" s="8"/>
      <c r="BVD1" s="9"/>
      <c r="BVE1" s="8"/>
      <c r="BVF1" s="9"/>
      <c r="BVG1" s="8"/>
      <c r="BVH1" s="9"/>
      <c r="BVI1" s="8"/>
      <c r="BVJ1" s="9"/>
      <c r="BVK1" s="8"/>
      <c r="BVL1" s="9"/>
      <c r="BVM1" s="8"/>
      <c r="BVN1" s="9"/>
      <c r="BVO1" s="8"/>
      <c r="BVP1" s="9"/>
      <c r="BVQ1" s="8"/>
      <c r="BVR1" s="9"/>
      <c r="BVS1" s="8"/>
      <c r="BVT1" s="9"/>
      <c r="BVU1" s="8"/>
      <c r="BVV1" s="9"/>
      <c r="BVW1" s="8"/>
      <c r="BVX1" s="9"/>
      <c r="BVY1" s="8"/>
      <c r="BVZ1" s="9"/>
      <c r="BWA1" s="8"/>
      <c r="BWB1" s="9"/>
      <c r="BWC1" s="8"/>
      <c r="BWD1" s="9"/>
      <c r="BWE1" s="8"/>
      <c r="BWF1" s="9"/>
      <c r="BWG1" s="8"/>
      <c r="BWH1" s="9"/>
      <c r="BWI1" s="8"/>
      <c r="BWJ1" s="9"/>
      <c r="BWK1" s="8"/>
      <c r="BWL1" s="9"/>
      <c r="BWM1" s="8"/>
      <c r="BWN1" s="9"/>
      <c r="BWO1" s="8"/>
      <c r="BWP1" s="9"/>
      <c r="BWQ1" s="8"/>
      <c r="BWR1" s="9"/>
      <c r="BWS1" s="8"/>
      <c r="BWT1" s="9"/>
      <c r="BWU1" s="8"/>
      <c r="BWV1" s="9"/>
      <c r="BWW1" s="8"/>
      <c r="BWX1" s="9"/>
      <c r="BWY1" s="8"/>
      <c r="BWZ1" s="9"/>
      <c r="BXA1" s="8"/>
      <c r="BXB1" s="9"/>
      <c r="BXC1" s="8"/>
      <c r="BXD1" s="9"/>
      <c r="BXE1" s="8"/>
      <c r="BXF1" s="9"/>
      <c r="BXG1" s="8"/>
      <c r="BXH1" s="9"/>
      <c r="BXI1" s="8"/>
      <c r="BXJ1" s="9"/>
      <c r="BXK1" s="8"/>
      <c r="BXL1" s="9"/>
      <c r="BXM1" s="8"/>
      <c r="BXN1" s="9"/>
      <c r="BXO1" s="8"/>
      <c r="BXP1" s="9"/>
      <c r="BXQ1" s="8"/>
      <c r="BXR1" s="9"/>
      <c r="BXS1" s="8"/>
      <c r="BXT1" s="9"/>
      <c r="BXU1" s="8"/>
      <c r="BXV1" s="9"/>
      <c r="BXW1" s="8"/>
      <c r="BXX1" s="9"/>
      <c r="BXY1" s="8"/>
      <c r="BXZ1" s="9"/>
      <c r="BYA1" s="8"/>
      <c r="BYB1" s="9"/>
      <c r="BYC1" s="8"/>
      <c r="BYD1" s="9"/>
      <c r="BYE1" s="8"/>
      <c r="BYF1" s="9"/>
      <c r="BYG1" s="8"/>
      <c r="BYH1" s="9"/>
      <c r="BYI1" s="8"/>
      <c r="BYJ1" s="9"/>
      <c r="BYK1" s="8"/>
      <c r="BYL1" s="9"/>
      <c r="BYM1" s="8"/>
      <c r="BYN1" s="9"/>
      <c r="BYO1" s="8"/>
      <c r="BYP1" s="9"/>
      <c r="BYQ1" s="8"/>
      <c r="BYR1" s="9"/>
      <c r="BYS1" s="8"/>
      <c r="BYT1" s="9"/>
      <c r="BYU1" s="8"/>
      <c r="BYV1" s="9"/>
      <c r="BYW1" s="8"/>
      <c r="BYX1" s="9"/>
      <c r="BYY1" s="8"/>
      <c r="BYZ1" s="9"/>
      <c r="BZA1" s="8"/>
      <c r="BZB1" s="9"/>
      <c r="BZC1" s="8"/>
      <c r="BZD1" s="9"/>
      <c r="BZE1" s="8"/>
      <c r="BZF1" s="9"/>
      <c r="BZG1" s="8"/>
      <c r="BZH1" s="9"/>
      <c r="BZI1" s="8"/>
      <c r="BZJ1" s="9"/>
      <c r="BZK1" s="8"/>
      <c r="BZL1" s="9"/>
      <c r="BZM1" s="8"/>
      <c r="BZN1" s="9"/>
      <c r="BZO1" s="8"/>
      <c r="BZP1" s="9"/>
      <c r="BZQ1" s="8"/>
      <c r="BZR1" s="9"/>
      <c r="BZS1" s="8"/>
      <c r="BZT1" s="9"/>
      <c r="BZU1" s="8"/>
      <c r="BZV1" s="9"/>
      <c r="BZW1" s="8"/>
      <c r="BZX1" s="9"/>
      <c r="BZY1" s="8"/>
      <c r="BZZ1" s="9"/>
      <c r="CAA1" s="8"/>
      <c r="CAB1" s="9"/>
      <c r="CAC1" s="8"/>
      <c r="CAD1" s="9"/>
      <c r="CAE1" s="8"/>
      <c r="CAF1" s="9"/>
      <c r="CAG1" s="8"/>
      <c r="CAH1" s="9"/>
      <c r="CAI1" s="8"/>
      <c r="CAJ1" s="9"/>
      <c r="CAK1" s="8"/>
      <c r="CAL1" s="9"/>
      <c r="CAM1" s="8"/>
      <c r="CAN1" s="9"/>
      <c r="CAO1" s="8"/>
      <c r="CAP1" s="9"/>
      <c r="CAQ1" s="8"/>
      <c r="CAR1" s="9"/>
      <c r="CAS1" s="8"/>
      <c r="CAT1" s="9"/>
      <c r="CAU1" s="8"/>
      <c r="CAV1" s="9"/>
      <c r="CAW1" s="8"/>
      <c r="CAX1" s="9"/>
      <c r="CAY1" s="8"/>
      <c r="CAZ1" s="9"/>
      <c r="CBA1" s="8"/>
      <c r="CBB1" s="9"/>
      <c r="CBC1" s="8"/>
      <c r="CBD1" s="9"/>
      <c r="CBE1" s="8"/>
      <c r="CBF1" s="9"/>
      <c r="CBG1" s="8"/>
      <c r="CBH1" s="9"/>
      <c r="CBI1" s="8"/>
      <c r="CBJ1" s="9"/>
      <c r="CBK1" s="8"/>
      <c r="CBL1" s="9"/>
      <c r="CBM1" s="8"/>
      <c r="CBN1" s="9"/>
      <c r="CBO1" s="8"/>
      <c r="CBP1" s="9"/>
      <c r="CBQ1" s="8"/>
      <c r="CBR1" s="9"/>
      <c r="CBS1" s="8"/>
      <c r="CBT1" s="9"/>
      <c r="CBU1" s="8"/>
      <c r="CBV1" s="9"/>
      <c r="CBW1" s="8"/>
      <c r="CBX1" s="9"/>
      <c r="CBY1" s="8"/>
      <c r="CBZ1" s="9"/>
      <c r="CCA1" s="8"/>
      <c r="CCB1" s="9"/>
      <c r="CCC1" s="8"/>
      <c r="CCD1" s="9"/>
      <c r="CCE1" s="8"/>
      <c r="CCF1" s="9"/>
      <c r="CCG1" s="8"/>
      <c r="CCH1" s="9"/>
      <c r="CCI1" s="8"/>
      <c r="CCJ1" s="9"/>
      <c r="CCK1" s="8"/>
      <c r="CCL1" s="9"/>
      <c r="CCM1" s="8"/>
      <c r="CCN1" s="9"/>
      <c r="CCO1" s="8"/>
      <c r="CCP1" s="9"/>
      <c r="CCQ1" s="8"/>
      <c r="CCR1" s="9"/>
      <c r="CCS1" s="8"/>
      <c r="CCT1" s="9"/>
      <c r="CCU1" s="8"/>
      <c r="CCV1" s="9"/>
      <c r="CCW1" s="8"/>
      <c r="CCX1" s="9"/>
      <c r="CCY1" s="8"/>
      <c r="CCZ1" s="9"/>
      <c r="CDA1" s="8"/>
      <c r="CDB1" s="9"/>
      <c r="CDC1" s="8"/>
      <c r="CDD1" s="9"/>
      <c r="CDE1" s="8"/>
      <c r="CDF1" s="9"/>
      <c r="CDG1" s="8"/>
      <c r="CDH1" s="9"/>
      <c r="CDI1" s="8"/>
      <c r="CDJ1" s="9"/>
      <c r="CDK1" s="8"/>
      <c r="CDL1" s="9"/>
      <c r="CDM1" s="8"/>
      <c r="CDN1" s="9"/>
      <c r="CDO1" s="8"/>
      <c r="CDP1" s="9"/>
      <c r="CDQ1" s="8"/>
      <c r="CDR1" s="9"/>
      <c r="CDS1" s="8"/>
      <c r="CDT1" s="9"/>
      <c r="CDU1" s="8"/>
      <c r="CDV1" s="9"/>
      <c r="CDW1" s="8"/>
      <c r="CDX1" s="9"/>
      <c r="CDY1" s="8"/>
      <c r="CDZ1" s="9"/>
      <c r="CEA1" s="8"/>
      <c r="CEB1" s="9"/>
      <c r="CEC1" s="8"/>
      <c r="CED1" s="9"/>
      <c r="CEE1" s="8"/>
      <c r="CEF1" s="9"/>
      <c r="CEG1" s="8"/>
      <c r="CEH1" s="9"/>
      <c r="CEI1" s="8"/>
      <c r="CEJ1" s="9"/>
      <c r="CEK1" s="8"/>
      <c r="CEL1" s="9"/>
      <c r="CEM1" s="8"/>
      <c r="CEN1" s="9"/>
      <c r="CEO1" s="8"/>
      <c r="CEP1" s="9"/>
      <c r="CEQ1" s="8"/>
      <c r="CER1" s="9"/>
      <c r="CES1" s="8"/>
      <c r="CET1" s="9"/>
      <c r="CEU1" s="8"/>
      <c r="CEV1" s="9"/>
      <c r="CEW1" s="8"/>
      <c r="CEX1" s="9"/>
      <c r="CEY1" s="8"/>
      <c r="CEZ1" s="9"/>
      <c r="CFA1" s="8"/>
      <c r="CFB1" s="9"/>
      <c r="CFC1" s="8"/>
      <c r="CFD1" s="9"/>
      <c r="CFE1" s="8"/>
      <c r="CFF1" s="9"/>
      <c r="CFG1" s="8"/>
      <c r="CFH1" s="9"/>
      <c r="CFI1" s="8"/>
      <c r="CFJ1" s="9"/>
      <c r="CFK1" s="8"/>
      <c r="CFL1" s="9"/>
      <c r="CFM1" s="8"/>
      <c r="CFN1" s="9"/>
      <c r="CFO1" s="8"/>
      <c r="CFP1" s="9"/>
      <c r="CFQ1" s="8"/>
      <c r="CFR1" s="9"/>
      <c r="CFS1" s="8"/>
      <c r="CFT1" s="9"/>
      <c r="CFU1" s="8"/>
      <c r="CFV1" s="9"/>
      <c r="CFW1" s="8"/>
      <c r="CFX1" s="9"/>
      <c r="CFY1" s="8"/>
      <c r="CFZ1" s="9"/>
      <c r="CGA1" s="8"/>
      <c r="CGB1" s="9"/>
      <c r="CGC1" s="8"/>
      <c r="CGD1" s="9"/>
      <c r="CGE1" s="8"/>
      <c r="CGF1" s="9"/>
      <c r="CGG1" s="8"/>
      <c r="CGH1" s="9"/>
      <c r="CGI1" s="8"/>
      <c r="CGJ1" s="9"/>
      <c r="CGK1" s="8"/>
      <c r="CGL1" s="9"/>
      <c r="CGM1" s="8"/>
      <c r="CGN1" s="9"/>
      <c r="CGO1" s="8"/>
      <c r="CGP1" s="9"/>
      <c r="CGQ1" s="8"/>
      <c r="CGR1" s="9"/>
      <c r="CGS1" s="8"/>
      <c r="CGT1" s="9"/>
      <c r="CGU1" s="8"/>
      <c r="CGV1" s="9"/>
      <c r="CGW1" s="8"/>
      <c r="CGX1" s="9"/>
      <c r="CGY1" s="8"/>
      <c r="CGZ1" s="9"/>
      <c r="CHA1" s="8"/>
      <c r="CHB1" s="9"/>
      <c r="CHC1" s="8"/>
      <c r="CHD1" s="9"/>
      <c r="CHE1" s="8"/>
      <c r="CHF1" s="9"/>
      <c r="CHG1" s="8"/>
      <c r="CHH1" s="9"/>
      <c r="CHI1" s="8"/>
      <c r="CHJ1" s="9"/>
      <c r="CHK1" s="8"/>
      <c r="CHL1" s="9"/>
      <c r="CHM1" s="8"/>
      <c r="CHN1" s="9"/>
      <c r="CHO1" s="8"/>
      <c r="CHP1" s="9"/>
      <c r="CHQ1" s="8"/>
      <c r="CHR1" s="9"/>
      <c r="CHS1" s="8"/>
      <c r="CHT1" s="9"/>
      <c r="CHU1" s="8"/>
      <c r="CHV1" s="9"/>
      <c r="CHW1" s="8"/>
      <c r="CHX1" s="9"/>
      <c r="CHY1" s="8"/>
      <c r="CHZ1" s="9"/>
      <c r="CIA1" s="8"/>
      <c r="CIB1" s="9"/>
      <c r="CIC1" s="8"/>
      <c r="CID1" s="9"/>
      <c r="CIE1" s="8"/>
      <c r="CIF1" s="9"/>
      <c r="CIG1" s="8"/>
      <c r="CIH1" s="9"/>
      <c r="CII1" s="8"/>
      <c r="CIJ1" s="9"/>
      <c r="CIK1" s="8"/>
      <c r="CIL1" s="9"/>
      <c r="CIM1" s="8"/>
      <c r="CIN1" s="9"/>
      <c r="CIO1" s="8"/>
      <c r="CIP1" s="9"/>
      <c r="CIQ1" s="8"/>
      <c r="CIR1" s="9"/>
      <c r="CIS1" s="8"/>
      <c r="CIT1" s="9"/>
      <c r="CIU1" s="8"/>
      <c r="CIV1" s="9"/>
      <c r="CIW1" s="8"/>
      <c r="CIX1" s="9"/>
      <c r="CIY1" s="8"/>
      <c r="CIZ1" s="9"/>
      <c r="CJA1" s="8"/>
      <c r="CJB1" s="9"/>
      <c r="CJC1" s="8"/>
      <c r="CJD1" s="9"/>
      <c r="CJE1" s="8"/>
      <c r="CJF1" s="9"/>
      <c r="CJG1" s="8"/>
      <c r="CJH1" s="9"/>
      <c r="CJI1" s="8"/>
      <c r="CJJ1" s="9"/>
      <c r="CJK1" s="8"/>
      <c r="CJL1" s="9"/>
      <c r="CJM1" s="8"/>
      <c r="CJN1" s="9"/>
      <c r="CJO1" s="8"/>
      <c r="CJP1" s="9"/>
      <c r="CJQ1" s="8"/>
      <c r="CJR1" s="9"/>
      <c r="CJS1" s="8"/>
      <c r="CJT1" s="9"/>
      <c r="CJU1" s="8"/>
      <c r="CJV1" s="9"/>
      <c r="CJW1" s="8"/>
      <c r="CJX1" s="9"/>
      <c r="CJY1" s="8"/>
      <c r="CJZ1" s="9"/>
      <c r="CKA1" s="8"/>
      <c r="CKB1" s="9"/>
      <c r="CKC1" s="8"/>
      <c r="CKD1" s="9"/>
      <c r="CKE1" s="8"/>
      <c r="CKF1" s="9"/>
      <c r="CKG1" s="8"/>
      <c r="CKH1" s="9"/>
      <c r="CKI1" s="8"/>
      <c r="CKJ1" s="9"/>
      <c r="CKK1" s="8"/>
      <c r="CKL1" s="9"/>
      <c r="CKM1" s="8"/>
      <c r="CKN1" s="9"/>
      <c r="CKO1" s="8"/>
      <c r="CKP1" s="9"/>
      <c r="CKQ1" s="8"/>
      <c r="CKR1" s="9"/>
      <c r="CKS1" s="8"/>
      <c r="CKT1" s="9"/>
      <c r="CKU1" s="8"/>
      <c r="CKV1" s="9"/>
      <c r="CKW1" s="8"/>
      <c r="CKX1" s="9"/>
      <c r="CKY1" s="8"/>
      <c r="CKZ1" s="9"/>
      <c r="CLA1" s="8"/>
      <c r="CLB1" s="9"/>
      <c r="CLC1" s="8"/>
      <c r="CLD1" s="9"/>
      <c r="CLE1" s="8"/>
      <c r="CLF1" s="9"/>
      <c r="CLG1" s="8"/>
      <c r="CLH1" s="9"/>
      <c r="CLI1" s="8"/>
      <c r="CLJ1" s="9"/>
      <c r="CLK1" s="8"/>
      <c r="CLL1" s="9"/>
      <c r="CLM1" s="8"/>
      <c r="CLN1" s="9"/>
      <c r="CLO1" s="8"/>
      <c r="CLP1" s="9"/>
      <c r="CLQ1" s="8"/>
      <c r="CLR1" s="9"/>
      <c r="CLS1" s="8"/>
      <c r="CLT1" s="9"/>
      <c r="CLU1" s="8"/>
      <c r="CLV1" s="9"/>
      <c r="CLW1" s="8"/>
      <c r="CLX1" s="9"/>
      <c r="CLY1" s="8"/>
      <c r="CLZ1" s="9"/>
      <c r="CMA1" s="8"/>
      <c r="CMB1" s="9"/>
      <c r="CMC1" s="8"/>
      <c r="CMD1" s="9"/>
      <c r="CME1" s="8"/>
      <c r="CMF1" s="9"/>
      <c r="CMG1" s="8"/>
      <c r="CMH1" s="9"/>
      <c r="CMI1" s="8"/>
      <c r="CMJ1" s="9"/>
      <c r="CMK1" s="8"/>
      <c r="CML1" s="9"/>
      <c r="CMM1" s="8"/>
      <c r="CMN1" s="9"/>
      <c r="CMO1" s="8"/>
      <c r="CMP1" s="9"/>
      <c r="CMQ1" s="8"/>
      <c r="CMR1" s="9"/>
      <c r="CMS1" s="8"/>
      <c r="CMT1" s="9"/>
      <c r="CMU1" s="8"/>
      <c r="CMV1" s="9"/>
      <c r="CMW1" s="8"/>
      <c r="CMX1" s="9"/>
      <c r="CMY1" s="8"/>
      <c r="CMZ1" s="9"/>
      <c r="CNA1" s="8"/>
      <c r="CNB1" s="9"/>
      <c r="CNC1" s="8"/>
      <c r="CND1" s="9"/>
      <c r="CNE1" s="8"/>
      <c r="CNF1" s="9"/>
      <c r="CNG1" s="8"/>
      <c r="CNH1" s="9"/>
      <c r="CNI1" s="8"/>
      <c r="CNJ1" s="9"/>
      <c r="CNK1" s="8"/>
      <c r="CNL1" s="9"/>
      <c r="CNM1" s="8"/>
      <c r="CNN1" s="9"/>
      <c r="CNO1" s="8"/>
      <c r="CNP1" s="9"/>
      <c r="CNQ1" s="8"/>
      <c r="CNR1" s="9"/>
      <c r="CNS1" s="8"/>
      <c r="CNT1" s="9"/>
      <c r="CNU1" s="8"/>
      <c r="CNV1" s="9"/>
      <c r="CNW1" s="8"/>
      <c r="CNX1" s="9"/>
      <c r="CNY1" s="8"/>
      <c r="CNZ1" s="9"/>
      <c r="COA1" s="8"/>
      <c r="COB1" s="9"/>
      <c r="COC1" s="8"/>
      <c r="COD1" s="9"/>
      <c r="COE1" s="8"/>
      <c r="COF1" s="9"/>
      <c r="COG1" s="8"/>
      <c r="COH1" s="9"/>
      <c r="COI1" s="8"/>
      <c r="COJ1" s="9"/>
      <c r="COK1" s="8"/>
      <c r="COL1" s="9"/>
      <c r="COM1" s="8"/>
      <c r="CON1" s="9"/>
      <c r="COO1" s="8"/>
      <c r="COP1" s="9"/>
      <c r="COQ1" s="8"/>
      <c r="COR1" s="9"/>
      <c r="COS1" s="8"/>
      <c r="COT1" s="9"/>
      <c r="COU1" s="8"/>
      <c r="COV1" s="9"/>
      <c r="COW1" s="8"/>
      <c r="COX1" s="9"/>
      <c r="COY1" s="8"/>
      <c r="COZ1" s="9"/>
      <c r="CPA1" s="8"/>
      <c r="CPB1" s="9"/>
      <c r="CPC1" s="8"/>
      <c r="CPD1" s="9"/>
      <c r="CPE1" s="8"/>
      <c r="CPF1" s="9"/>
      <c r="CPG1" s="8"/>
      <c r="CPH1" s="9"/>
      <c r="CPI1" s="8"/>
      <c r="CPJ1" s="9"/>
      <c r="CPK1" s="8"/>
      <c r="CPL1" s="9"/>
      <c r="CPM1" s="8"/>
      <c r="CPN1" s="9"/>
      <c r="CPO1" s="8"/>
      <c r="CPP1" s="9"/>
      <c r="CPQ1" s="8"/>
      <c r="CPR1" s="9"/>
      <c r="CPS1" s="8"/>
      <c r="CPT1" s="9"/>
      <c r="CPU1" s="8"/>
      <c r="CPV1" s="9"/>
      <c r="CPW1" s="8"/>
      <c r="CPX1" s="9"/>
      <c r="CPY1" s="8"/>
      <c r="CPZ1" s="9"/>
      <c r="CQA1" s="8"/>
      <c r="CQB1" s="9"/>
      <c r="CQC1" s="8"/>
      <c r="CQD1" s="9"/>
      <c r="CQE1" s="8"/>
      <c r="CQF1" s="9"/>
      <c r="CQG1" s="8"/>
      <c r="CQH1" s="9"/>
      <c r="CQI1" s="8"/>
      <c r="CQJ1" s="9"/>
      <c r="CQK1" s="8"/>
      <c r="CQL1" s="9"/>
      <c r="CQM1" s="8"/>
      <c r="CQN1" s="9"/>
      <c r="CQO1" s="8"/>
      <c r="CQP1" s="9"/>
      <c r="CQQ1" s="8"/>
      <c r="CQR1" s="9"/>
      <c r="CQS1" s="8"/>
      <c r="CQT1" s="9"/>
      <c r="CQU1" s="8"/>
      <c r="CQV1" s="9"/>
      <c r="CQW1" s="8"/>
      <c r="CQX1" s="9"/>
      <c r="CQY1" s="8"/>
      <c r="CQZ1" s="9"/>
      <c r="CRA1" s="8"/>
      <c r="CRB1" s="9"/>
      <c r="CRC1" s="8"/>
      <c r="CRD1" s="9"/>
      <c r="CRE1" s="8"/>
      <c r="CRF1" s="9"/>
      <c r="CRG1" s="8"/>
      <c r="CRH1" s="9"/>
      <c r="CRI1" s="8"/>
      <c r="CRJ1" s="9"/>
      <c r="CRK1" s="8"/>
      <c r="CRL1" s="9"/>
      <c r="CRM1" s="8"/>
      <c r="CRN1" s="9"/>
      <c r="CRO1" s="8"/>
      <c r="CRP1" s="9"/>
      <c r="CRQ1" s="8"/>
      <c r="CRR1" s="9"/>
      <c r="CRS1" s="8"/>
      <c r="CRT1" s="9"/>
      <c r="CRU1" s="8"/>
      <c r="CRV1" s="9"/>
      <c r="CRW1" s="8"/>
      <c r="CRX1" s="9"/>
      <c r="CRY1" s="8"/>
      <c r="CRZ1" s="9"/>
      <c r="CSA1" s="8"/>
      <c r="CSB1" s="9"/>
      <c r="CSC1" s="8"/>
      <c r="CSD1" s="9"/>
      <c r="CSE1" s="8"/>
      <c r="CSF1" s="9"/>
      <c r="CSG1" s="8"/>
      <c r="CSH1" s="9"/>
      <c r="CSI1" s="8"/>
      <c r="CSJ1" s="9"/>
      <c r="CSK1" s="8"/>
      <c r="CSL1" s="9"/>
      <c r="CSM1" s="8"/>
      <c r="CSN1" s="9"/>
      <c r="CSO1" s="8"/>
      <c r="CSP1" s="9"/>
      <c r="CSQ1" s="8"/>
      <c r="CSR1" s="9"/>
      <c r="CSS1" s="8"/>
      <c r="CST1" s="9"/>
      <c r="CSU1" s="8"/>
      <c r="CSV1" s="9"/>
      <c r="CSW1" s="8"/>
      <c r="CSX1" s="9"/>
      <c r="CSY1" s="8"/>
      <c r="CSZ1" s="9"/>
      <c r="CTA1" s="8"/>
      <c r="CTB1" s="9"/>
      <c r="CTC1" s="8"/>
      <c r="CTD1" s="9"/>
      <c r="CTE1" s="8"/>
      <c r="CTF1" s="9"/>
      <c r="CTG1" s="8"/>
      <c r="CTH1" s="9"/>
      <c r="CTI1" s="8"/>
      <c r="CTJ1" s="9"/>
      <c r="CTK1" s="8"/>
      <c r="CTL1" s="9"/>
      <c r="CTM1" s="8"/>
      <c r="CTN1" s="9"/>
      <c r="CTO1" s="8"/>
      <c r="CTP1" s="9"/>
      <c r="CTQ1" s="8"/>
      <c r="CTR1" s="9"/>
      <c r="CTS1" s="8"/>
      <c r="CTT1" s="9"/>
      <c r="CTU1" s="8"/>
      <c r="CTV1" s="9"/>
      <c r="CTW1" s="8"/>
      <c r="CTX1" s="9"/>
      <c r="CTY1" s="8"/>
      <c r="CTZ1" s="9"/>
      <c r="CUA1" s="8"/>
      <c r="CUB1" s="9"/>
      <c r="CUC1" s="8"/>
      <c r="CUD1" s="9"/>
      <c r="CUE1" s="8"/>
      <c r="CUF1" s="9"/>
      <c r="CUG1" s="8"/>
      <c r="CUH1" s="9"/>
      <c r="CUI1" s="8"/>
      <c r="CUJ1" s="9"/>
      <c r="CUK1" s="8"/>
      <c r="CUL1" s="9"/>
      <c r="CUM1" s="8"/>
      <c r="CUN1" s="9"/>
      <c r="CUO1" s="8"/>
      <c r="CUP1" s="9"/>
      <c r="CUQ1" s="8"/>
      <c r="CUR1" s="9"/>
      <c r="CUS1" s="8"/>
      <c r="CUT1" s="9"/>
      <c r="CUU1" s="8"/>
      <c r="CUV1" s="9"/>
      <c r="CUW1" s="8"/>
      <c r="CUX1" s="9"/>
      <c r="CUY1" s="8"/>
      <c r="CUZ1" s="9"/>
      <c r="CVA1" s="8"/>
      <c r="CVB1" s="9"/>
      <c r="CVC1" s="8"/>
      <c r="CVD1" s="9"/>
      <c r="CVE1" s="8"/>
      <c r="CVF1" s="9"/>
      <c r="CVG1" s="8"/>
      <c r="CVH1" s="9"/>
      <c r="CVI1" s="8"/>
      <c r="CVJ1" s="9"/>
      <c r="CVK1" s="8"/>
      <c r="CVL1" s="9"/>
      <c r="CVM1" s="8"/>
      <c r="CVN1" s="9"/>
      <c r="CVO1" s="8"/>
      <c r="CVP1" s="9"/>
      <c r="CVQ1" s="8"/>
      <c r="CVR1" s="9"/>
      <c r="CVS1" s="8"/>
      <c r="CVT1" s="9"/>
      <c r="CVU1" s="8"/>
      <c r="CVV1" s="9"/>
      <c r="CVW1" s="8"/>
      <c r="CVX1" s="9"/>
      <c r="CVY1" s="8"/>
      <c r="CVZ1" s="9"/>
      <c r="CWA1" s="8"/>
      <c r="CWB1" s="9"/>
      <c r="CWC1" s="8"/>
      <c r="CWD1" s="9"/>
      <c r="CWE1" s="8"/>
      <c r="CWF1" s="9"/>
      <c r="CWG1" s="8"/>
      <c r="CWH1" s="9"/>
      <c r="CWI1" s="8"/>
      <c r="CWJ1" s="9"/>
      <c r="CWK1" s="8"/>
      <c r="CWL1" s="9"/>
      <c r="CWM1" s="8"/>
      <c r="CWN1" s="9"/>
      <c r="CWO1" s="8"/>
      <c r="CWP1" s="9"/>
      <c r="CWQ1" s="8"/>
      <c r="CWR1" s="9"/>
      <c r="CWS1" s="8"/>
      <c r="CWT1" s="9"/>
      <c r="CWU1" s="8"/>
      <c r="CWV1" s="9"/>
      <c r="CWW1" s="8"/>
      <c r="CWX1" s="9"/>
      <c r="CWY1" s="8"/>
      <c r="CWZ1" s="9"/>
      <c r="CXA1" s="8"/>
      <c r="CXB1" s="9"/>
      <c r="CXC1" s="8"/>
      <c r="CXD1" s="9"/>
      <c r="CXE1" s="8"/>
      <c r="CXF1" s="9"/>
      <c r="CXG1" s="8"/>
      <c r="CXH1" s="9"/>
      <c r="CXI1" s="8"/>
      <c r="CXJ1" s="9"/>
      <c r="CXK1" s="8"/>
      <c r="CXL1" s="9"/>
      <c r="CXM1" s="8"/>
      <c r="CXN1" s="9"/>
      <c r="CXO1" s="8"/>
      <c r="CXP1" s="9"/>
      <c r="CXQ1" s="8"/>
      <c r="CXR1" s="9"/>
      <c r="CXS1" s="8"/>
      <c r="CXT1" s="9"/>
      <c r="CXU1" s="8"/>
      <c r="CXV1" s="9"/>
      <c r="CXW1" s="8"/>
      <c r="CXX1" s="9"/>
      <c r="CXY1" s="8"/>
      <c r="CXZ1" s="9"/>
      <c r="CYA1" s="8"/>
      <c r="CYB1" s="9"/>
      <c r="CYC1" s="8"/>
      <c r="CYD1" s="9"/>
      <c r="CYE1" s="8"/>
      <c r="CYF1" s="9"/>
      <c r="CYG1" s="8"/>
      <c r="CYH1" s="9"/>
      <c r="CYI1" s="8"/>
      <c r="CYJ1" s="9"/>
      <c r="CYK1" s="8"/>
      <c r="CYL1" s="9"/>
      <c r="CYM1" s="8"/>
      <c r="CYN1" s="9"/>
      <c r="CYO1" s="8"/>
      <c r="CYP1" s="9"/>
      <c r="CYQ1" s="8"/>
      <c r="CYR1" s="9"/>
      <c r="CYS1" s="8"/>
      <c r="CYT1" s="9"/>
      <c r="CYU1" s="8"/>
      <c r="CYV1" s="9"/>
      <c r="CYW1" s="8"/>
      <c r="CYX1" s="9"/>
      <c r="CYY1" s="8"/>
      <c r="CYZ1" s="9"/>
      <c r="CZA1" s="8"/>
      <c r="CZB1" s="9"/>
      <c r="CZC1" s="8"/>
      <c r="CZD1" s="9"/>
      <c r="CZE1" s="8"/>
      <c r="CZF1" s="9"/>
      <c r="CZG1" s="8"/>
      <c r="CZH1" s="9"/>
      <c r="CZI1" s="8"/>
      <c r="CZJ1" s="9"/>
      <c r="CZK1" s="8"/>
      <c r="CZL1" s="9"/>
      <c r="CZM1" s="8"/>
      <c r="CZN1" s="9"/>
      <c r="CZO1" s="8"/>
      <c r="CZP1" s="9"/>
      <c r="CZQ1" s="8"/>
      <c r="CZR1" s="9"/>
      <c r="CZS1" s="8"/>
      <c r="CZT1" s="9"/>
      <c r="CZU1" s="8"/>
      <c r="CZV1" s="9"/>
      <c r="CZW1" s="8"/>
      <c r="CZX1" s="9"/>
      <c r="CZY1" s="8"/>
      <c r="CZZ1" s="9"/>
      <c r="DAA1" s="8"/>
      <c r="DAB1" s="9"/>
      <c r="DAC1" s="8"/>
      <c r="DAD1" s="9"/>
      <c r="DAE1" s="8"/>
      <c r="DAF1" s="9"/>
      <c r="DAG1" s="8"/>
      <c r="DAH1" s="9"/>
      <c r="DAI1" s="8"/>
      <c r="DAJ1" s="9"/>
      <c r="DAK1" s="8"/>
      <c r="DAL1" s="9"/>
      <c r="DAM1" s="8"/>
      <c r="DAN1" s="9"/>
      <c r="DAO1" s="8"/>
      <c r="DAP1" s="9"/>
      <c r="DAQ1" s="8"/>
      <c r="DAR1" s="9"/>
      <c r="DAS1" s="8"/>
      <c r="DAT1" s="9"/>
      <c r="DAU1" s="8"/>
      <c r="DAV1" s="9"/>
      <c r="DAW1" s="8"/>
      <c r="DAX1" s="9"/>
      <c r="DAY1" s="8"/>
      <c r="DAZ1" s="9"/>
      <c r="DBA1" s="8"/>
      <c r="DBB1" s="9"/>
      <c r="DBC1" s="8"/>
      <c r="DBD1" s="9"/>
      <c r="DBE1" s="8"/>
      <c r="DBF1" s="9"/>
      <c r="DBG1" s="8"/>
      <c r="DBH1" s="9"/>
      <c r="DBI1" s="8"/>
      <c r="DBJ1" s="9"/>
      <c r="DBK1" s="8"/>
      <c r="DBL1" s="9"/>
      <c r="DBM1" s="8"/>
      <c r="DBN1" s="9"/>
      <c r="DBO1" s="8"/>
      <c r="DBP1" s="9"/>
      <c r="DBQ1" s="8"/>
      <c r="DBR1" s="9"/>
      <c r="DBS1" s="8"/>
      <c r="DBT1" s="9"/>
      <c r="DBU1" s="8"/>
      <c r="DBV1" s="9"/>
      <c r="DBW1" s="8"/>
      <c r="DBX1" s="9"/>
      <c r="DBY1" s="8"/>
      <c r="DBZ1" s="9"/>
      <c r="DCA1" s="8"/>
      <c r="DCB1" s="9"/>
      <c r="DCC1" s="8"/>
      <c r="DCD1" s="9"/>
      <c r="DCE1" s="8"/>
      <c r="DCF1" s="9"/>
      <c r="DCG1" s="8"/>
      <c r="DCH1" s="9"/>
      <c r="DCI1" s="8"/>
      <c r="DCJ1" s="9"/>
      <c r="DCK1" s="8"/>
      <c r="DCL1" s="9"/>
      <c r="DCM1" s="8"/>
      <c r="DCN1" s="9"/>
      <c r="DCO1" s="8"/>
      <c r="DCP1" s="9"/>
      <c r="DCQ1" s="8"/>
      <c r="DCR1" s="9"/>
      <c r="DCS1" s="8"/>
      <c r="DCT1" s="9"/>
      <c r="DCU1" s="8"/>
      <c r="DCV1" s="9"/>
      <c r="DCW1" s="8"/>
      <c r="DCX1" s="9"/>
      <c r="DCY1" s="8"/>
      <c r="DCZ1" s="9"/>
      <c r="DDA1" s="8"/>
      <c r="DDB1" s="9"/>
      <c r="DDC1" s="8"/>
      <c r="DDD1" s="9"/>
      <c r="DDE1" s="8"/>
      <c r="DDF1" s="9"/>
      <c r="DDG1" s="8"/>
      <c r="DDH1" s="9"/>
      <c r="DDI1" s="8"/>
      <c r="DDJ1" s="9"/>
      <c r="DDK1" s="8"/>
      <c r="DDL1" s="9"/>
      <c r="DDM1" s="8"/>
      <c r="DDN1" s="9"/>
      <c r="DDO1" s="8"/>
      <c r="DDP1" s="9"/>
      <c r="DDQ1" s="8"/>
      <c r="DDR1" s="9"/>
      <c r="DDS1" s="8"/>
      <c r="DDT1" s="9"/>
      <c r="DDU1" s="8"/>
      <c r="DDV1" s="9"/>
      <c r="DDW1" s="8"/>
      <c r="DDX1" s="9"/>
      <c r="DDY1" s="8"/>
      <c r="DDZ1" s="9"/>
      <c r="DEA1" s="8"/>
      <c r="DEB1" s="9"/>
      <c r="DEC1" s="8"/>
      <c r="DED1" s="9"/>
      <c r="DEE1" s="8"/>
      <c r="DEF1" s="9"/>
      <c r="DEG1" s="8"/>
      <c r="DEH1" s="9"/>
      <c r="DEI1" s="8"/>
      <c r="DEJ1" s="9"/>
      <c r="DEK1" s="8"/>
      <c r="DEL1" s="9"/>
      <c r="DEM1" s="8"/>
      <c r="DEN1" s="9"/>
      <c r="DEO1" s="8"/>
      <c r="DEP1" s="9"/>
      <c r="DEQ1" s="8"/>
      <c r="DER1" s="9"/>
      <c r="DES1" s="8"/>
      <c r="DET1" s="9"/>
      <c r="DEU1" s="8"/>
      <c r="DEV1" s="9"/>
      <c r="DEW1" s="8"/>
      <c r="DEX1" s="9"/>
      <c r="DEY1" s="8"/>
      <c r="DEZ1" s="9"/>
      <c r="DFA1" s="8"/>
      <c r="DFB1" s="9"/>
      <c r="DFC1" s="8"/>
      <c r="DFD1" s="9"/>
      <c r="DFE1" s="8"/>
      <c r="DFF1" s="9"/>
      <c r="DFG1" s="8"/>
      <c r="DFH1" s="9"/>
      <c r="DFI1" s="8"/>
      <c r="DFJ1" s="9"/>
      <c r="DFK1" s="8"/>
      <c r="DFL1" s="9"/>
      <c r="DFM1" s="8"/>
      <c r="DFN1" s="9"/>
      <c r="DFO1" s="8"/>
      <c r="DFP1" s="9"/>
      <c r="DFQ1" s="8"/>
      <c r="DFR1" s="9"/>
      <c r="DFS1" s="8"/>
      <c r="DFT1" s="9"/>
      <c r="DFU1" s="8"/>
      <c r="DFV1" s="9"/>
      <c r="DFW1" s="8"/>
      <c r="DFX1" s="9"/>
      <c r="DFY1" s="8"/>
      <c r="DFZ1" s="9"/>
      <c r="DGA1" s="8"/>
      <c r="DGB1" s="9"/>
      <c r="DGC1" s="8"/>
      <c r="DGD1" s="9"/>
      <c r="DGE1" s="8"/>
      <c r="DGF1" s="9"/>
      <c r="DGG1" s="8"/>
      <c r="DGH1" s="9"/>
      <c r="DGI1" s="8"/>
      <c r="DGJ1" s="9"/>
      <c r="DGK1" s="8"/>
      <c r="DGL1" s="9"/>
      <c r="DGM1" s="8"/>
      <c r="DGN1" s="9"/>
      <c r="DGO1" s="8"/>
      <c r="DGP1" s="9"/>
      <c r="DGQ1" s="8"/>
      <c r="DGR1" s="9"/>
      <c r="DGS1" s="8"/>
      <c r="DGT1" s="9"/>
      <c r="DGU1" s="8"/>
      <c r="DGV1" s="9"/>
      <c r="DGW1" s="8"/>
      <c r="DGX1" s="9"/>
      <c r="DGY1" s="8"/>
      <c r="DGZ1" s="9"/>
      <c r="DHA1" s="8"/>
      <c r="DHB1" s="9"/>
      <c r="DHC1" s="8"/>
      <c r="DHD1" s="9"/>
      <c r="DHE1" s="8"/>
      <c r="DHF1" s="9"/>
      <c r="DHG1" s="8"/>
      <c r="DHH1" s="9"/>
      <c r="DHI1" s="8"/>
      <c r="DHJ1" s="9"/>
      <c r="DHK1" s="8"/>
      <c r="DHL1" s="9"/>
      <c r="DHM1" s="8"/>
      <c r="DHN1" s="9"/>
      <c r="DHO1" s="8"/>
      <c r="DHP1" s="9"/>
      <c r="DHQ1" s="8"/>
      <c r="DHR1" s="9"/>
      <c r="DHS1" s="8"/>
      <c r="DHT1" s="9"/>
      <c r="DHU1" s="8"/>
      <c r="DHV1" s="9"/>
      <c r="DHW1" s="8"/>
      <c r="DHX1" s="9"/>
      <c r="DHY1" s="8"/>
      <c r="DHZ1" s="9"/>
      <c r="DIA1" s="8"/>
      <c r="DIB1" s="9"/>
      <c r="DIC1" s="8"/>
      <c r="DID1" s="9"/>
      <c r="DIE1" s="8"/>
      <c r="DIF1" s="9"/>
      <c r="DIG1" s="8"/>
      <c r="DIH1" s="9"/>
      <c r="DII1" s="8"/>
      <c r="DIJ1" s="9"/>
      <c r="DIK1" s="8"/>
      <c r="DIL1" s="9"/>
      <c r="DIM1" s="8"/>
      <c r="DIN1" s="9"/>
      <c r="DIO1" s="8"/>
      <c r="DIP1" s="9"/>
      <c r="DIQ1" s="8"/>
      <c r="DIR1" s="9"/>
      <c r="DIS1" s="8"/>
      <c r="DIT1" s="9"/>
      <c r="DIU1" s="8"/>
      <c r="DIV1" s="9"/>
      <c r="DIW1" s="8"/>
      <c r="DIX1" s="9"/>
      <c r="DIY1" s="8"/>
      <c r="DIZ1" s="9"/>
      <c r="DJA1" s="8"/>
      <c r="DJB1" s="9"/>
      <c r="DJC1" s="8"/>
      <c r="DJD1" s="9"/>
      <c r="DJE1" s="8"/>
      <c r="DJF1" s="9"/>
      <c r="DJG1" s="8"/>
      <c r="DJH1" s="9"/>
      <c r="DJI1" s="8"/>
      <c r="DJJ1" s="9"/>
      <c r="DJK1" s="8"/>
      <c r="DJL1" s="9"/>
      <c r="DJM1" s="8"/>
      <c r="DJN1" s="9"/>
      <c r="DJO1" s="8"/>
      <c r="DJP1" s="9"/>
      <c r="DJQ1" s="8"/>
      <c r="DJR1" s="9"/>
      <c r="DJS1" s="8"/>
      <c r="DJT1" s="9"/>
      <c r="DJU1" s="8"/>
      <c r="DJV1" s="9"/>
      <c r="DJW1" s="8"/>
      <c r="DJX1" s="9"/>
      <c r="DJY1" s="8"/>
      <c r="DJZ1" s="9"/>
      <c r="DKA1" s="8"/>
      <c r="DKB1" s="9"/>
      <c r="DKC1" s="8"/>
      <c r="DKD1" s="9"/>
      <c r="DKE1" s="8"/>
      <c r="DKF1" s="9"/>
      <c r="DKG1" s="8"/>
      <c r="DKH1" s="9"/>
      <c r="DKI1" s="8"/>
      <c r="DKJ1" s="9"/>
      <c r="DKK1" s="8"/>
      <c r="DKL1" s="9"/>
      <c r="DKM1" s="8"/>
      <c r="DKN1" s="9"/>
      <c r="DKO1" s="8"/>
      <c r="DKP1" s="9"/>
      <c r="DKQ1" s="8"/>
      <c r="DKR1" s="9"/>
      <c r="DKS1" s="8"/>
      <c r="DKT1" s="9"/>
      <c r="DKU1" s="8"/>
      <c r="DKV1" s="9"/>
      <c r="DKW1" s="8"/>
      <c r="DKX1" s="9"/>
      <c r="DKY1" s="8"/>
      <c r="DKZ1" s="9"/>
      <c r="DLA1" s="8"/>
      <c r="DLB1" s="9"/>
      <c r="DLC1" s="8"/>
      <c r="DLD1" s="9"/>
      <c r="DLE1" s="8"/>
      <c r="DLF1" s="9"/>
      <c r="DLG1" s="8"/>
      <c r="DLH1" s="9"/>
      <c r="DLI1" s="8"/>
      <c r="DLJ1" s="9"/>
      <c r="DLK1" s="8"/>
      <c r="DLL1" s="9"/>
      <c r="DLM1" s="8"/>
      <c r="DLN1" s="9"/>
      <c r="DLO1" s="8"/>
      <c r="DLP1" s="9"/>
      <c r="DLQ1" s="8"/>
      <c r="DLR1" s="9"/>
      <c r="DLS1" s="8"/>
      <c r="DLT1" s="9"/>
      <c r="DLU1" s="8"/>
      <c r="DLV1" s="9"/>
      <c r="DLW1" s="8"/>
      <c r="DLX1" s="9"/>
      <c r="DLY1" s="8"/>
      <c r="DLZ1" s="9"/>
      <c r="DMA1" s="8"/>
      <c r="DMB1" s="9"/>
      <c r="DMC1" s="8"/>
      <c r="DMD1" s="9"/>
      <c r="DME1" s="8"/>
      <c r="DMF1" s="9"/>
      <c r="DMG1" s="8"/>
      <c r="DMH1" s="9"/>
      <c r="DMI1" s="8"/>
      <c r="DMJ1" s="9"/>
      <c r="DMK1" s="8"/>
      <c r="DML1" s="9"/>
      <c r="DMM1" s="8"/>
      <c r="DMN1" s="9"/>
      <c r="DMO1" s="8"/>
      <c r="DMP1" s="9"/>
      <c r="DMQ1" s="8"/>
      <c r="DMR1" s="9"/>
      <c r="DMS1" s="8"/>
      <c r="DMT1" s="9"/>
      <c r="DMU1" s="8"/>
      <c r="DMV1" s="9"/>
      <c r="DMW1" s="8"/>
      <c r="DMX1" s="9"/>
      <c r="DMY1" s="8"/>
      <c r="DMZ1" s="9"/>
      <c r="DNA1" s="8"/>
      <c r="DNB1" s="9"/>
      <c r="DNC1" s="8"/>
      <c r="DND1" s="9"/>
      <c r="DNE1" s="8"/>
      <c r="DNF1" s="9"/>
      <c r="DNG1" s="8"/>
      <c r="DNH1" s="9"/>
      <c r="DNI1" s="8"/>
      <c r="DNJ1" s="9"/>
      <c r="DNK1" s="8"/>
      <c r="DNL1" s="9"/>
      <c r="DNM1" s="8"/>
      <c r="DNN1" s="9"/>
      <c r="DNO1" s="8"/>
      <c r="DNP1" s="9"/>
      <c r="DNQ1" s="8"/>
      <c r="DNR1" s="9"/>
      <c r="DNS1" s="8"/>
      <c r="DNT1" s="9"/>
      <c r="DNU1" s="8"/>
      <c r="DNV1" s="9"/>
      <c r="DNW1" s="8"/>
      <c r="DNX1" s="9"/>
      <c r="DNY1" s="8"/>
      <c r="DNZ1" s="9"/>
      <c r="DOA1" s="8"/>
      <c r="DOB1" s="9"/>
      <c r="DOC1" s="8"/>
      <c r="DOD1" s="9"/>
      <c r="DOE1" s="8"/>
      <c r="DOF1" s="9"/>
      <c r="DOG1" s="8"/>
      <c r="DOH1" s="9"/>
      <c r="DOI1" s="8"/>
      <c r="DOJ1" s="9"/>
      <c r="DOK1" s="8"/>
      <c r="DOL1" s="9"/>
      <c r="DOM1" s="8"/>
      <c r="DON1" s="9"/>
      <c r="DOO1" s="8"/>
      <c r="DOP1" s="9"/>
      <c r="DOQ1" s="8"/>
      <c r="DOR1" s="9"/>
      <c r="DOS1" s="8"/>
      <c r="DOT1" s="9"/>
      <c r="DOU1" s="8"/>
      <c r="DOV1" s="9"/>
      <c r="DOW1" s="8"/>
      <c r="DOX1" s="9"/>
      <c r="DOY1" s="8"/>
      <c r="DOZ1" s="9"/>
      <c r="DPA1" s="8"/>
      <c r="DPB1" s="9"/>
      <c r="DPC1" s="8"/>
      <c r="DPD1" s="9"/>
      <c r="DPE1" s="8"/>
      <c r="DPF1" s="9"/>
      <c r="DPG1" s="8"/>
      <c r="DPH1" s="9"/>
      <c r="DPI1" s="8"/>
      <c r="DPJ1" s="9"/>
      <c r="DPK1" s="8"/>
      <c r="DPL1" s="9"/>
      <c r="DPM1" s="8"/>
      <c r="DPN1" s="9"/>
      <c r="DPO1" s="8"/>
      <c r="DPP1" s="9"/>
      <c r="DPQ1" s="8"/>
      <c r="DPR1" s="9"/>
      <c r="DPS1" s="8"/>
      <c r="DPT1" s="9"/>
      <c r="DPU1" s="8"/>
      <c r="DPV1" s="9"/>
      <c r="DPW1" s="8"/>
      <c r="DPX1" s="9"/>
      <c r="DPY1" s="8"/>
      <c r="DPZ1" s="9"/>
      <c r="DQA1" s="8"/>
      <c r="DQB1" s="9"/>
      <c r="DQC1" s="8"/>
      <c r="DQD1" s="9"/>
      <c r="DQE1" s="8"/>
      <c r="DQF1" s="9"/>
      <c r="DQG1" s="8"/>
      <c r="DQH1" s="9"/>
      <c r="DQI1" s="8"/>
      <c r="DQJ1" s="9"/>
      <c r="DQK1" s="8"/>
      <c r="DQL1" s="9"/>
      <c r="DQM1" s="8"/>
      <c r="DQN1" s="9"/>
      <c r="DQO1" s="8"/>
      <c r="DQP1" s="9"/>
      <c r="DQQ1" s="8"/>
      <c r="DQR1" s="9"/>
      <c r="DQS1" s="8"/>
      <c r="DQT1" s="9"/>
      <c r="DQU1" s="8"/>
      <c r="DQV1" s="9"/>
      <c r="DQW1" s="8"/>
      <c r="DQX1" s="9"/>
      <c r="DQY1" s="8"/>
      <c r="DQZ1" s="9"/>
      <c r="DRA1" s="8"/>
      <c r="DRB1" s="9"/>
      <c r="DRC1" s="8"/>
      <c r="DRD1" s="9"/>
      <c r="DRE1" s="8"/>
      <c r="DRF1" s="9"/>
      <c r="DRG1" s="8"/>
      <c r="DRH1" s="9"/>
      <c r="DRI1" s="8"/>
      <c r="DRJ1" s="9"/>
      <c r="DRK1" s="8"/>
      <c r="DRL1" s="9"/>
      <c r="DRM1" s="8"/>
      <c r="DRN1" s="9"/>
      <c r="DRO1" s="8"/>
      <c r="DRP1" s="9"/>
      <c r="DRQ1" s="8"/>
      <c r="DRR1" s="9"/>
      <c r="DRS1" s="8"/>
      <c r="DRT1" s="9"/>
      <c r="DRU1" s="8"/>
      <c r="DRV1" s="9"/>
      <c r="DRW1" s="8"/>
      <c r="DRX1" s="9"/>
      <c r="DRY1" s="8"/>
      <c r="DRZ1" s="9"/>
      <c r="DSA1" s="8"/>
      <c r="DSB1" s="9"/>
      <c r="DSC1" s="8"/>
      <c r="DSD1" s="9"/>
      <c r="DSE1" s="8"/>
      <c r="DSF1" s="9"/>
      <c r="DSG1" s="8"/>
      <c r="DSH1" s="9"/>
      <c r="DSI1" s="8"/>
      <c r="DSJ1" s="9"/>
      <c r="DSK1" s="8"/>
      <c r="DSL1" s="9"/>
      <c r="DSM1" s="8"/>
      <c r="DSN1" s="9"/>
      <c r="DSO1" s="8"/>
      <c r="DSP1" s="9"/>
      <c r="DSQ1" s="8"/>
      <c r="DSR1" s="9"/>
      <c r="DSS1" s="8"/>
      <c r="DST1" s="9"/>
      <c r="DSU1" s="8"/>
      <c r="DSV1" s="9"/>
      <c r="DSW1" s="8"/>
      <c r="DSX1" s="9"/>
      <c r="DSY1" s="8"/>
      <c r="DSZ1" s="9"/>
      <c r="DTA1" s="8"/>
      <c r="DTB1" s="9"/>
      <c r="DTC1" s="8"/>
      <c r="DTD1" s="9"/>
      <c r="DTE1" s="8"/>
      <c r="DTF1" s="9"/>
      <c r="DTG1" s="8"/>
      <c r="DTH1" s="9"/>
      <c r="DTI1" s="8"/>
      <c r="DTJ1" s="9"/>
      <c r="DTK1" s="8"/>
      <c r="DTL1" s="9"/>
      <c r="DTM1" s="8"/>
      <c r="DTN1" s="9"/>
      <c r="DTO1" s="8"/>
      <c r="DTP1" s="9"/>
      <c r="DTQ1" s="8"/>
      <c r="DTR1" s="9"/>
      <c r="DTS1" s="8"/>
      <c r="DTT1" s="9"/>
      <c r="DTU1" s="8"/>
      <c r="DTV1" s="9"/>
      <c r="DTW1" s="8"/>
      <c r="DTX1" s="9"/>
      <c r="DTY1" s="8"/>
      <c r="DTZ1" s="9"/>
      <c r="DUA1" s="8"/>
      <c r="DUB1" s="9"/>
      <c r="DUC1" s="8"/>
      <c r="DUD1" s="9"/>
      <c r="DUE1" s="8"/>
      <c r="DUF1" s="9"/>
      <c r="DUG1" s="8"/>
      <c r="DUH1" s="9"/>
      <c r="DUI1" s="8"/>
      <c r="DUJ1" s="9"/>
      <c r="DUK1" s="8"/>
      <c r="DUL1" s="9"/>
      <c r="DUM1" s="8"/>
      <c r="DUN1" s="9"/>
      <c r="DUO1" s="8"/>
      <c r="DUP1" s="9"/>
      <c r="DUQ1" s="8"/>
      <c r="DUR1" s="9"/>
      <c r="DUS1" s="8"/>
      <c r="DUT1" s="9"/>
      <c r="DUU1" s="8"/>
      <c r="DUV1" s="9"/>
      <c r="DUW1" s="8"/>
      <c r="DUX1" s="9"/>
      <c r="DUY1" s="8"/>
      <c r="DUZ1" s="9"/>
      <c r="DVA1" s="8"/>
      <c r="DVB1" s="9"/>
      <c r="DVC1" s="8"/>
      <c r="DVD1" s="9"/>
      <c r="DVE1" s="8"/>
      <c r="DVF1" s="9"/>
      <c r="DVG1" s="8"/>
      <c r="DVH1" s="9"/>
      <c r="DVI1" s="8"/>
      <c r="DVJ1" s="9"/>
      <c r="DVK1" s="8"/>
      <c r="DVL1" s="9"/>
      <c r="DVM1" s="8"/>
      <c r="DVN1" s="9"/>
      <c r="DVO1" s="8"/>
      <c r="DVP1" s="9"/>
      <c r="DVQ1" s="8"/>
      <c r="DVR1" s="9"/>
      <c r="DVS1" s="8"/>
      <c r="DVT1" s="9"/>
      <c r="DVU1" s="8"/>
      <c r="DVV1" s="9"/>
      <c r="DVW1" s="8"/>
      <c r="DVX1" s="9"/>
      <c r="DVY1" s="8"/>
      <c r="DVZ1" s="9"/>
      <c r="DWA1" s="8"/>
      <c r="DWB1" s="9"/>
      <c r="DWC1" s="8"/>
      <c r="DWD1" s="9"/>
      <c r="DWE1" s="8"/>
      <c r="DWF1" s="9"/>
      <c r="DWG1" s="8"/>
      <c r="DWH1" s="9"/>
      <c r="DWI1" s="8"/>
      <c r="DWJ1" s="9"/>
      <c r="DWK1" s="8"/>
      <c r="DWL1" s="9"/>
      <c r="DWM1" s="8"/>
      <c r="DWN1" s="9"/>
      <c r="DWO1" s="8"/>
      <c r="DWP1" s="9"/>
      <c r="DWQ1" s="8"/>
      <c r="DWR1" s="9"/>
      <c r="DWS1" s="8"/>
      <c r="DWT1" s="9"/>
      <c r="DWU1" s="8"/>
      <c r="DWV1" s="9"/>
      <c r="DWW1" s="8"/>
      <c r="DWX1" s="9"/>
      <c r="DWY1" s="8"/>
      <c r="DWZ1" s="9"/>
      <c r="DXA1" s="8"/>
      <c r="DXB1" s="9"/>
      <c r="DXC1" s="8"/>
      <c r="DXD1" s="9"/>
      <c r="DXE1" s="8"/>
      <c r="DXF1" s="9"/>
      <c r="DXG1" s="8"/>
      <c r="DXH1" s="9"/>
      <c r="DXI1" s="8"/>
      <c r="DXJ1" s="9"/>
      <c r="DXK1" s="8"/>
      <c r="DXL1" s="9"/>
      <c r="DXM1" s="8"/>
      <c r="DXN1" s="9"/>
      <c r="DXO1" s="8"/>
      <c r="DXP1" s="9"/>
      <c r="DXQ1" s="8"/>
      <c r="DXR1" s="9"/>
      <c r="DXS1" s="8"/>
      <c r="DXT1" s="9"/>
      <c r="DXU1" s="8"/>
      <c r="DXV1" s="9"/>
      <c r="DXW1" s="8"/>
      <c r="DXX1" s="9"/>
      <c r="DXY1" s="8"/>
      <c r="DXZ1" s="9"/>
      <c r="DYA1" s="8"/>
      <c r="DYB1" s="9"/>
      <c r="DYC1" s="8"/>
      <c r="DYD1" s="9"/>
      <c r="DYE1" s="8"/>
      <c r="DYF1" s="9"/>
      <c r="DYG1" s="8"/>
      <c r="DYH1" s="9"/>
      <c r="DYI1" s="8"/>
      <c r="DYJ1" s="9"/>
      <c r="DYK1" s="8"/>
      <c r="DYL1" s="9"/>
      <c r="DYM1" s="8"/>
      <c r="DYN1" s="9"/>
      <c r="DYO1" s="8"/>
      <c r="DYP1" s="9"/>
      <c r="DYQ1" s="8"/>
      <c r="DYR1" s="9"/>
      <c r="DYS1" s="8"/>
      <c r="DYT1" s="9"/>
      <c r="DYU1" s="8"/>
      <c r="DYV1" s="9"/>
      <c r="DYW1" s="8"/>
      <c r="DYX1" s="9"/>
      <c r="DYY1" s="8"/>
      <c r="DYZ1" s="9"/>
      <c r="DZA1" s="8"/>
      <c r="DZB1" s="9"/>
      <c r="DZC1" s="8"/>
      <c r="DZD1" s="9"/>
      <c r="DZE1" s="8"/>
      <c r="DZF1" s="9"/>
      <c r="DZG1" s="8"/>
      <c r="DZH1" s="9"/>
      <c r="DZI1" s="8"/>
      <c r="DZJ1" s="9"/>
      <c r="DZK1" s="8"/>
      <c r="DZL1" s="9"/>
      <c r="DZM1" s="8"/>
      <c r="DZN1" s="9"/>
      <c r="DZO1" s="8"/>
      <c r="DZP1" s="9"/>
      <c r="DZQ1" s="8"/>
      <c r="DZR1" s="9"/>
      <c r="DZS1" s="8"/>
      <c r="DZT1" s="9"/>
      <c r="DZU1" s="8"/>
      <c r="DZV1" s="9"/>
      <c r="DZW1" s="8"/>
      <c r="DZX1" s="9"/>
      <c r="DZY1" s="8"/>
      <c r="DZZ1" s="9"/>
      <c r="EAA1" s="8"/>
      <c r="EAB1" s="9"/>
      <c r="EAC1" s="8"/>
      <c r="EAD1" s="9"/>
      <c r="EAE1" s="8"/>
      <c r="EAF1" s="9"/>
      <c r="EAG1" s="8"/>
      <c r="EAH1" s="9"/>
      <c r="EAI1" s="8"/>
      <c r="EAJ1" s="9"/>
      <c r="EAK1" s="8"/>
      <c r="EAL1" s="9"/>
      <c r="EAM1" s="8"/>
      <c r="EAN1" s="9"/>
      <c r="EAO1" s="8"/>
      <c r="EAP1" s="9"/>
      <c r="EAQ1" s="8"/>
      <c r="EAR1" s="9"/>
      <c r="EAS1" s="8"/>
      <c r="EAT1" s="9"/>
      <c r="EAU1" s="8"/>
      <c r="EAV1" s="9"/>
      <c r="EAW1" s="8"/>
      <c r="EAX1" s="9"/>
      <c r="EAY1" s="8"/>
      <c r="EAZ1" s="9"/>
      <c r="EBA1" s="8"/>
      <c r="EBB1" s="9"/>
      <c r="EBC1" s="8"/>
      <c r="EBD1" s="9"/>
      <c r="EBE1" s="8"/>
      <c r="EBF1" s="9"/>
      <c r="EBG1" s="8"/>
      <c r="EBH1" s="9"/>
      <c r="EBI1" s="8"/>
      <c r="EBJ1" s="9"/>
      <c r="EBK1" s="8"/>
      <c r="EBL1" s="9"/>
      <c r="EBM1" s="8"/>
      <c r="EBN1" s="9"/>
      <c r="EBO1" s="8"/>
      <c r="EBP1" s="9"/>
      <c r="EBQ1" s="8"/>
      <c r="EBR1" s="9"/>
      <c r="EBS1" s="8"/>
      <c r="EBT1" s="9"/>
      <c r="EBU1" s="8"/>
      <c r="EBV1" s="9"/>
      <c r="EBW1" s="8"/>
      <c r="EBX1" s="9"/>
      <c r="EBY1" s="8"/>
      <c r="EBZ1" s="9"/>
      <c r="ECA1" s="8"/>
      <c r="ECB1" s="9"/>
      <c r="ECC1" s="8"/>
      <c r="ECD1" s="9"/>
      <c r="ECE1" s="8"/>
      <c r="ECF1" s="9"/>
      <c r="ECG1" s="8"/>
      <c r="ECH1" s="9"/>
      <c r="ECI1" s="8"/>
      <c r="ECJ1" s="9"/>
      <c r="ECK1" s="8"/>
      <c r="ECL1" s="9"/>
      <c r="ECM1" s="8"/>
      <c r="ECN1" s="9"/>
      <c r="ECO1" s="8"/>
      <c r="ECP1" s="9"/>
      <c r="ECQ1" s="8"/>
      <c r="ECR1" s="9"/>
      <c r="ECS1" s="8"/>
      <c r="ECT1" s="9"/>
      <c r="ECU1" s="8"/>
      <c r="ECV1" s="9"/>
      <c r="ECW1" s="8"/>
      <c r="ECX1" s="9"/>
      <c r="ECY1" s="8"/>
      <c r="ECZ1" s="9"/>
      <c r="EDA1" s="8"/>
      <c r="EDB1" s="9"/>
      <c r="EDC1" s="8"/>
      <c r="EDD1" s="9"/>
      <c r="EDE1" s="8"/>
      <c r="EDF1" s="9"/>
      <c r="EDG1" s="8"/>
      <c r="EDH1" s="9"/>
      <c r="EDI1" s="8"/>
      <c r="EDJ1" s="9"/>
      <c r="EDK1" s="8"/>
      <c r="EDL1" s="9"/>
      <c r="EDM1" s="8"/>
      <c r="EDN1" s="9"/>
      <c r="EDO1" s="8"/>
      <c r="EDP1" s="9"/>
      <c r="EDQ1" s="8"/>
      <c r="EDR1" s="9"/>
      <c r="EDS1" s="8"/>
      <c r="EDT1" s="9"/>
      <c r="EDU1" s="8"/>
      <c r="EDV1" s="9"/>
      <c r="EDW1" s="8"/>
      <c r="EDX1" s="9"/>
      <c r="EDY1" s="8"/>
      <c r="EDZ1" s="9"/>
      <c r="EEA1" s="8"/>
      <c r="EEB1" s="9"/>
      <c r="EEC1" s="8"/>
      <c r="EED1" s="9"/>
      <c r="EEE1" s="8"/>
      <c r="EEF1" s="9"/>
      <c r="EEG1" s="8"/>
      <c r="EEH1" s="9"/>
      <c r="EEI1" s="8"/>
      <c r="EEJ1" s="9"/>
      <c r="EEK1" s="8"/>
      <c r="EEL1" s="9"/>
      <c r="EEM1" s="8"/>
      <c r="EEN1" s="9"/>
      <c r="EEO1" s="8"/>
      <c r="EEP1" s="9"/>
      <c r="EEQ1" s="8"/>
      <c r="EER1" s="9"/>
      <c r="EES1" s="8"/>
      <c r="EET1" s="9"/>
      <c r="EEU1" s="8"/>
      <c r="EEV1" s="9"/>
      <c r="EEW1" s="8"/>
      <c r="EEX1" s="9"/>
      <c r="EEY1" s="8"/>
      <c r="EEZ1" s="9"/>
      <c r="EFA1" s="8"/>
      <c r="EFB1" s="9"/>
      <c r="EFC1" s="8"/>
      <c r="EFD1" s="9"/>
      <c r="EFE1" s="8"/>
      <c r="EFF1" s="9"/>
      <c r="EFG1" s="8"/>
      <c r="EFH1" s="9"/>
      <c r="EFI1" s="8"/>
      <c r="EFJ1" s="9"/>
      <c r="EFK1" s="8"/>
      <c r="EFL1" s="9"/>
      <c r="EFM1" s="8"/>
      <c r="EFN1" s="9"/>
      <c r="EFO1" s="8"/>
      <c r="EFP1" s="9"/>
      <c r="EFQ1" s="8"/>
      <c r="EFR1" s="9"/>
      <c r="EFS1" s="8"/>
      <c r="EFT1" s="9"/>
      <c r="EFU1" s="8"/>
      <c r="EFV1" s="9"/>
      <c r="EFW1" s="8"/>
      <c r="EFX1" s="9"/>
      <c r="EFY1" s="8"/>
      <c r="EFZ1" s="9"/>
      <c r="EGA1" s="8"/>
      <c r="EGB1" s="9"/>
      <c r="EGC1" s="8"/>
      <c r="EGD1" s="9"/>
      <c r="EGE1" s="8"/>
      <c r="EGF1" s="9"/>
      <c r="EGG1" s="8"/>
      <c r="EGH1" s="9"/>
      <c r="EGI1" s="8"/>
      <c r="EGJ1" s="9"/>
      <c r="EGK1" s="8"/>
      <c r="EGL1" s="9"/>
      <c r="EGM1" s="8"/>
      <c r="EGN1" s="9"/>
      <c r="EGO1" s="8"/>
      <c r="EGP1" s="9"/>
      <c r="EGQ1" s="8"/>
      <c r="EGR1" s="9"/>
      <c r="EGS1" s="8"/>
      <c r="EGT1" s="9"/>
      <c r="EGU1" s="8"/>
      <c r="EGV1" s="9"/>
      <c r="EGW1" s="8"/>
      <c r="EGX1" s="9"/>
      <c r="EGY1" s="8"/>
      <c r="EGZ1" s="9"/>
      <c r="EHA1" s="8"/>
      <c r="EHB1" s="9"/>
      <c r="EHC1" s="8"/>
      <c r="EHD1" s="9"/>
      <c r="EHE1" s="8"/>
      <c r="EHF1" s="9"/>
      <c r="EHG1" s="8"/>
      <c r="EHH1" s="9"/>
      <c r="EHI1" s="8"/>
      <c r="EHJ1" s="9"/>
      <c r="EHK1" s="8"/>
      <c r="EHL1" s="9"/>
      <c r="EHM1" s="8"/>
      <c r="EHN1" s="9"/>
      <c r="EHO1" s="8"/>
      <c r="EHP1" s="9"/>
      <c r="EHQ1" s="8"/>
      <c r="EHR1" s="9"/>
      <c r="EHS1" s="8"/>
      <c r="EHT1" s="9"/>
      <c r="EHU1" s="8"/>
      <c r="EHV1" s="9"/>
      <c r="EHW1" s="8"/>
      <c r="EHX1" s="9"/>
      <c r="EHY1" s="8"/>
      <c r="EHZ1" s="9"/>
      <c r="EIA1" s="8"/>
      <c r="EIB1" s="9"/>
      <c r="EIC1" s="8"/>
      <c r="EID1" s="9"/>
      <c r="EIE1" s="8"/>
      <c r="EIF1" s="9"/>
      <c r="EIG1" s="8"/>
      <c r="EIH1" s="9"/>
      <c r="EII1" s="8"/>
      <c r="EIJ1" s="9"/>
      <c r="EIK1" s="8"/>
      <c r="EIL1" s="9"/>
      <c r="EIM1" s="8"/>
      <c r="EIN1" s="9"/>
      <c r="EIO1" s="8"/>
      <c r="EIP1" s="9"/>
      <c r="EIQ1" s="8"/>
      <c r="EIR1" s="9"/>
      <c r="EIS1" s="8"/>
      <c r="EIT1" s="9"/>
      <c r="EIU1" s="8"/>
      <c r="EIV1" s="9"/>
      <c r="EIW1" s="8"/>
      <c r="EIX1" s="9"/>
      <c r="EIY1" s="8"/>
      <c r="EIZ1" s="9"/>
      <c r="EJA1" s="8"/>
      <c r="EJB1" s="9"/>
      <c r="EJC1" s="8"/>
      <c r="EJD1" s="9"/>
      <c r="EJE1" s="8"/>
      <c r="EJF1" s="9"/>
      <c r="EJG1" s="8"/>
      <c r="EJH1" s="9"/>
      <c r="EJI1" s="8"/>
      <c r="EJJ1" s="9"/>
      <c r="EJK1" s="8"/>
      <c r="EJL1" s="9"/>
      <c r="EJM1" s="8"/>
      <c r="EJN1" s="9"/>
      <c r="EJO1" s="8"/>
      <c r="EJP1" s="9"/>
      <c r="EJQ1" s="8"/>
      <c r="EJR1" s="9"/>
      <c r="EJS1" s="8"/>
      <c r="EJT1" s="9"/>
      <c r="EJU1" s="8"/>
      <c r="EJV1" s="9"/>
      <c r="EJW1" s="8"/>
      <c r="EJX1" s="9"/>
      <c r="EJY1" s="8"/>
      <c r="EJZ1" s="9"/>
      <c r="EKA1" s="8"/>
      <c r="EKB1" s="9"/>
      <c r="EKC1" s="8"/>
      <c r="EKD1" s="9"/>
      <c r="EKE1" s="8"/>
      <c r="EKF1" s="9"/>
      <c r="EKG1" s="8"/>
      <c r="EKH1" s="9"/>
      <c r="EKI1" s="8"/>
      <c r="EKJ1" s="9"/>
      <c r="EKK1" s="8"/>
      <c r="EKL1" s="9"/>
      <c r="EKM1" s="8"/>
      <c r="EKN1" s="9"/>
      <c r="EKO1" s="8"/>
      <c r="EKP1" s="9"/>
      <c r="EKQ1" s="8"/>
      <c r="EKR1" s="9"/>
      <c r="EKS1" s="8"/>
      <c r="EKT1" s="9"/>
      <c r="EKU1" s="8"/>
      <c r="EKV1" s="9"/>
      <c r="EKW1" s="8"/>
      <c r="EKX1" s="9"/>
      <c r="EKY1" s="8"/>
      <c r="EKZ1" s="9"/>
      <c r="ELA1" s="8"/>
      <c r="ELB1" s="9"/>
      <c r="ELC1" s="8"/>
      <c r="ELD1" s="9"/>
      <c r="ELE1" s="8"/>
      <c r="ELF1" s="9"/>
      <c r="ELG1" s="8"/>
      <c r="ELH1" s="9"/>
      <c r="ELI1" s="8"/>
      <c r="ELJ1" s="9"/>
      <c r="ELK1" s="8"/>
      <c r="ELL1" s="9"/>
      <c r="ELM1" s="8"/>
      <c r="ELN1" s="9"/>
      <c r="ELO1" s="8"/>
      <c r="ELP1" s="9"/>
      <c r="ELQ1" s="8"/>
      <c r="ELR1" s="9"/>
      <c r="ELS1" s="8"/>
      <c r="ELT1" s="9"/>
      <c r="ELU1" s="8"/>
      <c r="ELV1" s="9"/>
      <c r="ELW1" s="8"/>
      <c r="ELX1" s="9"/>
      <c r="ELY1" s="8"/>
      <c r="ELZ1" s="9"/>
      <c r="EMA1" s="8"/>
      <c r="EMB1" s="9"/>
      <c r="EMC1" s="8"/>
      <c r="EMD1" s="9"/>
      <c r="EME1" s="8"/>
      <c r="EMF1" s="9"/>
      <c r="EMG1" s="8"/>
      <c r="EMH1" s="9"/>
      <c r="EMI1" s="8"/>
      <c r="EMJ1" s="9"/>
      <c r="EMK1" s="8"/>
      <c r="EML1" s="9"/>
      <c r="EMM1" s="8"/>
      <c r="EMN1" s="9"/>
      <c r="EMO1" s="8"/>
      <c r="EMP1" s="9"/>
      <c r="EMQ1" s="8"/>
      <c r="EMR1" s="9"/>
      <c r="EMS1" s="8"/>
      <c r="EMT1" s="9"/>
      <c r="EMU1" s="8"/>
      <c r="EMV1" s="9"/>
      <c r="EMW1" s="8"/>
      <c r="EMX1" s="9"/>
      <c r="EMY1" s="8"/>
      <c r="EMZ1" s="9"/>
      <c r="ENA1" s="8"/>
      <c r="ENB1" s="9"/>
      <c r="ENC1" s="8"/>
      <c r="END1" s="9"/>
      <c r="ENE1" s="8"/>
      <c r="ENF1" s="9"/>
      <c r="ENG1" s="8"/>
      <c r="ENH1" s="9"/>
      <c r="ENI1" s="8"/>
      <c r="ENJ1" s="9"/>
      <c r="ENK1" s="8"/>
      <c r="ENL1" s="9"/>
      <c r="ENM1" s="8"/>
      <c r="ENN1" s="9"/>
      <c r="ENO1" s="8"/>
      <c r="ENP1" s="9"/>
      <c r="ENQ1" s="8"/>
      <c r="ENR1" s="9"/>
      <c r="ENS1" s="8"/>
      <c r="ENT1" s="9"/>
      <c r="ENU1" s="8"/>
      <c r="ENV1" s="9"/>
      <c r="ENW1" s="8"/>
      <c r="ENX1" s="9"/>
      <c r="ENY1" s="8"/>
      <c r="ENZ1" s="9"/>
      <c r="EOA1" s="8"/>
      <c r="EOB1" s="9"/>
      <c r="EOC1" s="8"/>
      <c r="EOD1" s="9"/>
      <c r="EOE1" s="8"/>
      <c r="EOF1" s="9"/>
      <c r="EOG1" s="8"/>
      <c r="EOH1" s="9"/>
      <c r="EOI1" s="8"/>
      <c r="EOJ1" s="9"/>
      <c r="EOK1" s="8"/>
      <c r="EOL1" s="9"/>
      <c r="EOM1" s="8"/>
      <c r="EON1" s="9"/>
      <c r="EOO1" s="8"/>
      <c r="EOP1" s="9"/>
      <c r="EOQ1" s="8"/>
      <c r="EOR1" s="9"/>
      <c r="EOS1" s="8"/>
      <c r="EOT1" s="9"/>
      <c r="EOU1" s="8"/>
      <c r="EOV1" s="9"/>
      <c r="EOW1" s="8"/>
      <c r="EOX1" s="9"/>
      <c r="EOY1" s="8"/>
      <c r="EOZ1" s="9"/>
      <c r="EPA1" s="8"/>
      <c r="EPB1" s="9"/>
      <c r="EPC1" s="8"/>
      <c r="EPD1" s="9"/>
      <c r="EPE1" s="8"/>
      <c r="EPF1" s="9"/>
      <c r="EPG1" s="8"/>
      <c r="EPH1" s="9"/>
      <c r="EPI1" s="8"/>
      <c r="EPJ1" s="9"/>
      <c r="EPK1" s="8"/>
      <c r="EPL1" s="9"/>
      <c r="EPM1" s="8"/>
      <c r="EPN1" s="9"/>
      <c r="EPO1" s="8"/>
      <c r="EPP1" s="9"/>
      <c r="EPQ1" s="8"/>
      <c r="EPR1" s="9"/>
      <c r="EPS1" s="8"/>
      <c r="EPT1" s="9"/>
      <c r="EPU1" s="8"/>
      <c r="EPV1" s="9"/>
      <c r="EPW1" s="8"/>
      <c r="EPX1" s="9"/>
      <c r="EPY1" s="8"/>
      <c r="EPZ1" s="9"/>
      <c r="EQA1" s="8"/>
      <c r="EQB1" s="9"/>
      <c r="EQC1" s="8"/>
      <c r="EQD1" s="9"/>
      <c r="EQE1" s="8"/>
      <c r="EQF1" s="9"/>
      <c r="EQG1" s="8"/>
      <c r="EQH1" s="9"/>
      <c r="EQI1" s="8"/>
      <c r="EQJ1" s="9"/>
      <c r="EQK1" s="8"/>
      <c r="EQL1" s="9"/>
      <c r="EQM1" s="8"/>
      <c r="EQN1" s="9"/>
      <c r="EQO1" s="8"/>
      <c r="EQP1" s="9"/>
      <c r="EQQ1" s="8"/>
      <c r="EQR1" s="9"/>
      <c r="EQS1" s="8"/>
      <c r="EQT1" s="9"/>
      <c r="EQU1" s="8"/>
      <c r="EQV1" s="9"/>
      <c r="EQW1" s="8"/>
      <c r="EQX1" s="9"/>
      <c r="EQY1" s="8"/>
      <c r="EQZ1" s="9"/>
      <c r="ERA1" s="8"/>
      <c r="ERB1" s="9"/>
      <c r="ERC1" s="8"/>
      <c r="ERD1" s="9"/>
      <c r="ERE1" s="8"/>
      <c r="ERF1" s="9"/>
      <c r="ERG1" s="8"/>
      <c r="ERH1" s="9"/>
      <c r="ERI1" s="8"/>
      <c r="ERJ1" s="9"/>
      <c r="ERK1" s="8"/>
      <c r="ERL1" s="9"/>
      <c r="ERM1" s="8"/>
      <c r="ERN1" s="9"/>
      <c r="ERO1" s="8"/>
      <c r="ERP1" s="9"/>
      <c r="ERQ1" s="8"/>
      <c r="ERR1" s="9"/>
      <c r="ERS1" s="8"/>
      <c r="ERT1" s="9"/>
      <c r="ERU1" s="8"/>
      <c r="ERV1" s="9"/>
      <c r="ERW1" s="8"/>
      <c r="ERX1" s="9"/>
      <c r="ERY1" s="8"/>
      <c r="ERZ1" s="9"/>
      <c r="ESA1" s="8"/>
      <c r="ESB1" s="9"/>
      <c r="ESC1" s="8"/>
      <c r="ESD1" s="9"/>
      <c r="ESE1" s="8"/>
      <c r="ESF1" s="9"/>
      <c r="ESG1" s="8"/>
      <c r="ESH1" s="9"/>
      <c r="ESI1" s="8"/>
      <c r="ESJ1" s="9"/>
      <c r="ESK1" s="8"/>
      <c r="ESL1" s="9"/>
      <c r="ESM1" s="8"/>
      <c r="ESN1" s="9"/>
      <c r="ESO1" s="8"/>
      <c r="ESP1" s="9"/>
      <c r="ESQ1" s="8"/>
      <c r="ESR1" s="9"/>
      <c r="ESS1" s="8"/>
      <c r="EST1" s="9"/>
      <c r="ESU1" s="8"/>
      <c r="ESV1" s="9"/>
      <c r="ESW1" s="8"/>
      <c r="ESX1" s="9"/>
      <c r="ESY1" s="8"/>
      <c r="ESZ1" s="9"/>
      <c r="ETA1" s="8"/>
      <c r="ETB1" s="9"/>
      <c r="ETC1" s="8"/>
      <c r="ETD1" s="9"/>
      <c r="ETE1" s="8"/>
      <c r="ETF1" s="9"/>
      <c r="ETG1" s="8"/>
      <c r="ETH1" s="9"/>
      <c r="ETI1" s="8"/>
      <c r="ETJ1" s="9"/>
      <c r="ETK1" s="8"/>
      <c r="ETL1" s="9"/>
      <c r="ETM1" s="8"/>
      <c r="ETN1" s="9"/>
      <c r="ETO1" s="8"/>
      <c r="ETP1" s="9"/>
      <c r="ETQ1" s="8"/>
      <c r="ETR1" s="9"/>
      <c r="ETS1" s="8"/>
      <c r="ETT1" s="9"/>
      <c r="ETU1" s="8"/>
      <c r="ETV1" s="9"/>
      <c r="ETW1" s="8"/>
      <c r="ETX1" s="9"/>
      <c r="ETY1" s="8"/>
      <c r="ETZ1" s="9"/>
      <c r="EUA1" s="8"/>
      <c r="EUB1" s="9"/>
      <c r="EUC1" s="8"/>
      <c r="EUD1" s="9"/>
      <c r="EUE1" s="8"/>
      <c r="EUF1" s="9"/>
      <c r="EUG1" s="8"/>
      <c r="EUH1" s="9"/>
      <c r="EUI1" s="8"/>
      <c r="EUJ1" s="9"/>
      <c r="EUK1" s="8"/>
      <c r="EUL1" s="9"/>
      <c r="EUM1" s="8"/>
      <c r="EUN1" s="9"/>
      <c r="EUO1" s="8"/>
      <c r="EUP1" s="9"/>
      <c r="EUQ1" s="8"/>
      <c r="EUR1" s="9"/>
      <c r="EUS1" s="8"/>
      <c r="EUT1" s="9"/>
      <c r="EUU1" s="8"/>
      <c r="EUV1" s="9"/>
      <c r="EUW1" s="8"/>
      <c r="EUX1" s="9"/>
      <c r="EUY1" s="8"/>
      <c r="EUZ1" s="9"/>
      <c r="EVA1" s="8"/>
      <c r="EVB1" s="9"/>
      <c r="EVC1" s="8"/>
      <c r="EVD1" s="9"/>
      <c r="EVE1" s="8"/>
      <c r="EVF1" s="9"/>
      <c r="EVG1" s="8"/>
      <c r="EVH1" s="9"/>
      <c r="EVI1" s="8"/>
      <c r="EVJ1" s="9"/>
      <c r="EVK1" s="8"/>
      <c r="EVL1" s="9"/>
      <c r="EVM1" s="8"/>
      <c r="EVN1" s="9"/>
      <c r="EVO1" s="8"/>
      <c r="EVP1" s="9"/>
      <c r="EVQ1" s="8"/>
      <c r="EVR1" s="9"/>
      <c r="EVS1" s="8"/>
      <c r="EVT1" s="9"/>
      <c r="EVU1" s="8"/>
      <c r="EVV1" s="9"/>
      <c r="EVW1" s="8"/>
      <c r="EVX1" s="9"/>
      <c r="EVY1" s="8"/>
      <c r="EVZ1" s="9"/>
      <c r="EWA1" s="8"/>
      <c r="EWB1" s="9"/>
      <c r="EWC1" s="8"/>
      <c r="EWD1" s="9"/>
      <c r="EWE1" s="8"/>
      <c r="EWF1" s="9"/>
      <c r="EWG1" s="8"/>
      <c r="EWH1" s="9"/>
      <c r="EWI1" s="8"/>
      <c r="EWJ1" s="9"/>
      <c r="EWK1" s="8"/>
      <c r="EWL1" s="9"/>
      <c r="EWM1" s="8"/>
      <c r="EWN1" s="9"/>
      <c r="EWO1" s="8"/>
      <c r="EWP1" s="9"/>
      <c r="EWQ1" s="8"/>
      <c r="EWR1" s="9"/>
      <c r="EWS1" s="8"/>
      <c r="EWT1" s="9"/>
      <c r="EWU1" s="8"/>
      <c r="EWV1" s="9"/>
      <c r="EWW1" s="8"/>
      <c r="EWX1" s="9"/>
      <c r="EWY1" s="8"/>
      <c r="EWZ1" s="9"/>
      <c r="EXA1" s="8"/>
      <c r="EXB1" s="9"/>
      <c r="EXC1" s="8"/>
      <c r="EXD1" s="9"/>
      <c r="EXE1" s="8"/>
      <c r="EXF1" s="9"/>
      <c r="EXG1" s="8"/>
      <c r="EXH1" s="9"/>
      <c r="EXI1" s="8"/>
      <c r="EXJ1" s="9"/>
      <c r="EXK1" s="8"/>
      <c r="EXL1" s="9"/>
      <c r="EXM1" s="8"/>
      <c r="EXN1" s="9"/>
      <c r="EXO1" s="8"/>
      <c r="EXP1" s="9"/>
      <c r="EXQ1" s="8"/>
      <c r="EXR1" s="9"/>
      <c r="EXS1" s="8"/>
      <c r="EXT1" s="9"/>
      <c r="EXU1" s="8"/>
      <c r="EXV1" s="9"/>
      <c r="EXW1" s="8"/>
      <c r="EXX1" s="9"/>
      <c r="EXY1" s="8"/>
      <c r="EXZ1" s="9"/>
      <c r="EYA1" s="8"/>
      <c r="EYB1" s="9"/>
      <c r="EYC1" s="8"/>
      <c r="EYD1" s="9"/>
      <c r="EYE1" s="8"/>
      <c r="EYF1" s="9"/>
      <c r="EYG1" s="8"/>
      <c r="EYH1" s="9"/>
      <c r="EYI1" s="8"/>
      <c r="EYJ1" s="9"/>
      <c r="EYK1" s="8"/>
      <c r="EYL1" s="9"/>
      <c r="EYM1" s="8"/>
      <c r="EYN1" s="9"/>
      <c r="EYO1" s="8"/>
      <c r="EYP1" s="9"/>
      <c r="EYQ1" s="8"/>
      <c r="EYR1" s="9"/>
      <c r="EYS1" s="8"/>
      <c r="EYT1" s="9"/>
      <c r="EYU1" s="8"/>
      <c r="EYV1" s="9"/>
      <c r="EYW1" s="8"/>
      <c r="EYX1" s="9"/>
      <c r="EYY1" s="8"/>
      <c r="EYZ1" s="9"/>
      <c r="EZA1" s="8"/>
      <c r="EZB1" s="9"/>
      <c r="EZC1" s="8"/>
      <c r="EZD1" s="9"/>
      <c r="EZE1" s="8"/>
      <c r="EZF1" s="9"/>
      <c r="EZG1" s="8"/>
      <c r="EZH1" s="9"/>
      <c r="EZI1" s="8"/>
      <c r="EZJ1" s="9"/>
      <c r="EZK1" s="8"/>
      <c r="EZL1" s="9"/>
      <c r="EZM1" s="8"/>
      <c r="EZN1" s="9"/>
      <c r="EZO1" s="8"/>
      <c r="EZP1" s="9"/>
      <c r="EZQ1" s="8"/>
      <c r="EZR1" s="9"/>
      <c r="EZS1" s="8"/>
      <c r="EZT1" s="9"/>
      <c r="EZU1" s="8"/>
      <c r="EZV1" s="9"/>
      <c r="EZW1" s="8"/>
      <c r="EZX1" s="9"/>
      <c r="EZY1" s="8"/>
      <c r="EZZ1" s="9"/>
      <c r="FAA1" s="8"/>
      <c r="FAB1" s="9"/>
      <c r="FAC1" s="8"/>
      <c r="FAD1" s="9"/>
      <c r="FAE1" s="8"/>
      <c r="FAF1" s="9"/>
      <c r="FAG1" s="8"/>
      <c r="FAH1" s="9"/>
      <c r="FAI1" s="8"/>
      <c r="FAJ1" s="9"/>
      <c r="FAK1" s="8"/>
      <c r="FAL1" s="9"/>
      <c r="FAM1" s="8"/>
      <c r="FAN1" s="9"/>
      <c r="FAO1" s="8"/>
      <c r="FAP1" s="9"/>
      <c r="FAQ1" s="8"/>
      <c r="FAR1" s="9"/>
      <c r="FAS1" s="8"/>
      <c r="FAT1" s="9"/>
      <c r="FAU1" s="8"/>
      <c r="FAV1" s="9"/>
      <c r="FAW1" s="8"/>
      <c r="FAX1" s="9"/>
      <c r="FAY1" s="8"/>
      <c r="FAZ1" s="9"/>
      <c r="FBA1" s="8"/>
      <c r="FBB1" s="9"/>
      <c r="FBC1" s="8"/>
      <c r="FBD1" s="9"/>
      <c r="FBE1" s="8"/>
      <c r="FBF1" s="9"/>
      <c r="FBG1" s="8"/>
      <c r="FBH1" s="9"/>
      <c r="FBI1" s="8"/>
      <c r="FBJ1" s="9"/>
      <c r="FBK1" s="8"/>
      <c r="FBL1" s="9"/>
      <c r="FBM1" s="8"/>
      <c r="FBN1" s="9"/>
      <c r="FBO1" s="8"/>
      <c r="FBP1" s="9"/>
      <c r="FBQ1" s="8"/>
      <c r="FBR1" s="9"/>
      <c r="FBS1" s="8"/>
      <c r="FBT1" s="9"/>
      <c r="FBU1" s="8"/>
      <c r="FBV1" s="9"/>
      <c r="FBW1" s="8"/>
      <c r="FBX1" s="9"/>
      <c r="FBY1" s="8"/>
      <c r="FBZ1" s="9"/>
      <c r="FCA1" s="8"/>
      <c r="FCB1" s="9"/>
      <c r="FCC1" s="8"/>
      <c r="FCD1" s="9"/>
      <c r="FCE1" s="8"/>
      <c r="FCF1" s="9"/>
      <c r="FCG1" s="8"/>
      <c r="FCH1" s="9"/>
      <c r="FCI1" s="8"/>
      <c r="FCJ1" s="9"/>
      <c r="FCK1" s="8"/>
      <c r="FCL1" s="9"/>
      <c r="FCM1" s="8"/>
      <c r="FCN1" s="9"/>
      <c r="FCO1" s="8"/>
      <c r="FCP1" s="9"/>
      <c r="FCQ1" s="8"/>
      <c r="FCR1" s="9"/>
      <c r="FCS1" s="8"/>
      <c r="FCT1" s="9"/>
      <c r="FCU1" s="8"/>
      <c r="FCV1" s="9"/>
      <c r="FCW1" s="8"/>
      <c r="FCX1" s="9"/>
      <c r="FCY1" s="8"/>
      <c r="FCZ1" s="9"/>
      <c r="FDA1" s="8"/>
      <c r="FDB1" s="9"/>
      <c r="FDC1" s="8"/>
      <c r="FDD1" s="9"/>
      <c r="FDE1" s="8"/>
      <c r="FDF1" s="9"/>
      <c r="FDG1" s="8"/>
      <c r="FDH1" s="9"/>
      <c r="FDI1" s="8"/>
      <c r="FDJ1" s="9"/>
      <c r="FDK1" s="8"/>
      <c r="FDL1" s="9"/>
      <c r="FDM1" s="8"/>
      <c r="FDN1" s="9"/>
      <c r="FDO1" s="8"/>
      <c r="FDP1" s="9"/>
      <c r="FDQ1" s="8"/>
      <c r="FDR1" s="9"/>
      <c r="FDS1" s="8"/>
      <c r="FDT1" s="9"/>
      <c r="FDU1" s="8"/>
      <c r="FDV1" s="9"/>
      <c r="FDW1" s="8"/>
      <c r="FDX1" s="9"/>
      <c r="FDY1" s="8"/>
      <c r="FDZ1" s="9"/>
      <c r="FEA1" s="8"/>
      <c r="FEB1" s="9"/>
      <c r="FEC1" s="8"/>
      <c r="FED1" s="9"/>
      <c r="FEE1" s="8"/>
      <c r="FEF1" s="9"/>
      <c r="FEG1" s="8"/>
      <c r="FEH1" s="9"/>
      <c r="FEI1" s="8"/>
      <c r="FEJ1" s="9"/>
      <c r="FEK1" s="8"/>
      <c r="FEL1" s="9"/>
      <c r="FEM1" s="8"/>
      <c r="FEN1" s="9"/>
      <c r="FEO1" s="8"/>
      <c r="FEP1" s="9"/>
      <c r="FEQ1" s="8"/>
      <c r="FER1" s="9"/>
      <c r="FES1" s="8"/>
      <c r="FET1" s="9"/>
      <c r="FEU1" s="8"/>
      <c r="FEV1" s="9"/>
      <c r="FEW1" s="8"/>
      <c r="FEX1" s="9"/>
      <c r="FEY1" s="8"/>
      <c r="FEZ1" s="9"/>
      <c r="FFA1" s="8"/>
      <c r="FFB1" s="9"/>
      <c r="FFC1" s="8"/>
      <c r="FFD1" s="9"/>
      <c r="FFE1" s="8"/>
      <c r="FFF1" s="9"/>
      <c r="FFG1" s="8"/>
      <c r="FFH1" s="9"/>
      <c r="FFI1" s="8"/>
      <c r="FFJ1" s="9"/>
      <c r="FFK1" s="8"/>
      <c r="FFL1" s="9"/>
      <c r="FFM1" s="8"/>
      <c r="FFN1" s="9"/>
      <c r="FFO1" s="8"/>
      <c r="FFP1" s="9"/>
      <c r="FFQ1" s="8"/>
      <c r="FFR1" s="9"/>
      <c r="FFS1" s="8"/>
      <c r="FFT1" s="9"/>
      <c r="FFU1" s="8"/>
      <c r="FFV1" s="9"/>
      <c r="FFW1" s="8"/>
      <c r="FFX1" s="9"/>
      <c r="FFY1" s="8"/>
      <c r="FFZ1" s="9"/>
      <c r="FGA1" s="8"/>
      <c r="FGB1" s="9"/>
      <c r="FGC1" s="8"/>
      <c r="FGD1" s="9"/>
      <c r="FGE1" s="8"/>
      <c r="FGF1" s="9"/>
      <c r="FGG1" s="8"/>
      <c r="FGH1" s="9"/>
      <c r="FGI1" s="8"/>
      <c r="FGJ1" s="9"/>
      <c r="FGK1" s="8"/>
      <c r="FGL1" s="9"/>
      <c r="FGM1" s="8"/>
      <c r="FGN1" s="9"/>
      <c r="FGO1" s="8"/>
      <c r="FGP1" s="9"/>
      <c r="FGQ1" s="8"/>
      <c r="FGR1" s="9"/>
      <c r="FGS1" s="8"/>
      <c r="FGT1" s="9"/>
      <c r="FGU1" s="8"/>
      <c r="FGV1" s="9"/>
      <c r="FGW1" s="8"/>
      <c r="FGX1" s="9"/>
      <c r="FGY1" s="8"/>
      <c r="FGZ1" s="9"/>
      <c r="FHA1" s="8"/>
      <c r="FHB1" s="9"/>
      <c r="FHC1" s="8"/>
      <c r="FHD1" s="9"/>
      <c r="FHE1" s="8"/>
      <c r="FHF1" s="9"/>
      <c r="FHG1" s="8"/>
      <c r="FHH1" s="9"/>
      <c r="FHI1" s="8"/>
      <c r="FHJ1" s="9"/>
      <c r="FHK1" s="8"/>
      <c r="FHL1" s="9"/>
      <c r="FHM1" s="8"/>
      <c r="FHN1" s="9"/>
      <c r="FHO1" s="8"/>
      <c r="FHP1" s="9"/>
      <c r="FHQ1" s="8"/>
      <c r="FHR1" s="9"/>
      <c r="FHS1" s="8"/>
      <c r="FHT1" s="9"/>
      <c r="FHU1" s="8"/>
      <c r="FHV1" s="9"/>
      <c r="FHW1" s="8"/>
      <c r="FHX1" s="9"/>
      <c r="FHY1" s="8"/>
      <c r="FHZ1" s="9"/>
      <c r="FIA1" s="8"/>
      <c r="FIB1" s="9"/>
      <c r="FIC1" s="8"/>
      <c r="FID1" s="9"/>
      <c r="FIE1" s="8"/>
      <c r="FIF1" s="9"/>
      <c r="FIG1" s="8"/>
      <c r="FIH1" s="9"/>
      <c r="FII1" s="8"/>
      <c r="FIJ1" s="9"/>
      <c r="FIK1" s="8"/>
      <c r="FIL1" s="9"/>
      <c r="FIM1" s="8"/>
      <c r="FIN1" s="9"/>
      <c r="FIO1" s="8"/>
      <c r="FIP1" s="9"/>
      <c r="FIQ1" s="8"/>
      <c r="FIR1" s="9"/>
      <c r="FIS1" s="8"/>
      <c r="FIT1" s="9"/>
      <c r="FIU1" s="8"/>
      <c r="FIV1" s="9"/>
      <c r="FIW1" s="8"/>
      <c r="FIX1" s="9"/>
      <c r="FIY1" s="8"/>
      <c r="FIZ1" s="9"/>
      <c r="FJA1" s="8"/>
      <c r="FJB1" s="9"/>
      <c r="FJC1" s="8"/>
      <c r="FJD1" s="9"/>
      <c r="FJE1" s="8"/>
      <c r="FJF1" s="9"/>
      <c r="FJG1" s="8"/>
      <c r="FJH1" s="9"/>
      <c r="FJI1" s="8"/>
      <c r="FJJ1" s="9"/>
      <c r="FJK1" s="8"/>
      <c r="FJL1" s="9"/>
      <c r="FJM1" s="8"/>
      <c r="FJN1" s="9"/>
      <c r="FJO1" s="8"/>
      <c r="FJP1" s="9"/>
      <c r="FJQ1" s="8"/>
      <c r="FJR1" s="9"/>
      <c r="FJS1" s="8"/>
      <c r="FJT1" s="9"/>
      <c r="FJU1" s="8"/>
      <c r="FJV1" s="9"/>
      <c r="FJW1" s="8"/>
      <c r="FJX1" s="9"/>
      <c r="FJY1" s="8"/>
      <c r="FJZ1" s="9"/>
      <c r="FKA1" s="8"/>
      <c r="FKB1" s="9"/>
      <c r="FKC1" s="8"/>
      <c r="FKD1" s="9"/>
      <c r="FKE1" s="8"/>
      <c r="FKF1" s="9"/>
      <c r="FKG1" s="8"/>
      <c r="FKH1" s="9"/>
      <c r="FKI1" s="8"/>
      <c r="FKJ1" s="9"/>
      <c r="FKK1" s="8"/>
      <c r="FKL1" s="9"/>
      <c r="FKM1" s="8"/>
      <c r="FKN1" s="9"/>
      <c r="FKO1" s="8"/>
      <c r="FKP1" s="9"/>
      <c r="FKQ1" s="8"/>
      <c r="FKR1" s="9"/>
      <c r="FKS1" s="8"/>
      <c r="FKT1" s="9"/>
      <c r="FKU1" s="8"/>
      <c r="FKV1" s="9"/>
      <c r="FKW1" s="8"/>
      <c r="FKX1" s="9"/>
      <c r="FKY1" s="8"/>
      <c r="FKZ1" s="9"/>
      <c r="FLA1" s="8"/>
      <c r="FLB1" s="9"/>
      <c r="FLC1" s="8"/>
      <c r="FLD1" s="9"/>
      <c r="FLE1" s="8"/>
      <c r="FLF1" s="9"/>
      <c r="FLG1" s="8"/>
      <c r="FLH1" s="9"/>
      <c r="FLI1" s="8"/>
      <c r="FLJ1" s="9"/>
      <c r="FLK1" s="8"/>
      <c r="FLL1" s="9"/>
      <c r="FLM1" s="8"/>
      <c r="FLN1" s="9"/>
      <c r="FLO1" s="8"/>
      <c r="FLP1" s="9"/>
      <c r="FLQ1" s="8"/>
      <c r="FLR1" s="9"/>
      <c r="FLS1" s="8"/>
      <c r="FLT1" s="9"/>
      <c r="FLU1" s="8"/>
      <c r="FLV1" s="9"/>
      <c r="FLW1" s="8"/>
      <c r="FLX1" s="9"/>
      <c r="FLY1" s="8"/>
      <c r="FLZ1" s="9"/>
      <c r="FMA1" s="8"/>
      <c r="FMB1" s="9"/>
      <c r="FMC1" s="8"/>
      <c r="FMD1" s="9"/>
      <c r="FME1" s="8"/>
      <c r="FMF1" s="9"/>
      <c r="FMG1" s="8"/>
      <c r="FMH1" s="9"/>
      <c r="FMI1" s="8"/>
      <c r="FMJ1" s="9"/>
      <c r="FMK1" s="8"/>
      <c r="FML1" s="9"/>
      <c r="FMM1" s="8"/>
      <c r="FMN1" s="9"/>
      <c r="FMO1" s="8"/>
      <c r="FMP1" s="9"/>
      <c r="FMQ1" s="8"/>
      <c r="FMR1" s="9"/>
      <c r="FMS1" s="8"/>
      <c r="FMT1" s="9"/>
      <c r="FMU1" s="8"/>
      <c r="FMV1" s="9"/>
      <c r="FMW1" s="8"/>
      <c r="FMX1" s="9"/>
      <c r="FMY1" s="8"/>
      <c r="FMZ1" s="9"/>
      <c r="FNA1" s="8"/>
      <c r="FNB1" s="9"/>
      <c r="FNC1" s="8"/>
      <c r="FND1" s="9"/>
      <c r="FNE1" s="8"/>
      <c r="FNF1" s="9"/>
      <c r="FNG1" s="8"/>
      <c r="FNH1" s="9"/>
      <c r="FNI1" s="8"/>
      <c r="FNJ1" s="9"/>
      <c r="FNK1" s="8"/>
      <c r="FNL1" s="9"/>
      <c r="FNM1" s="8"/>
      <c r="FNN1" s="9"/>
      <c r="FNO1" s="8"/>
      <c r="FNP1" s="9"/>
      <c r="FNQ1" s="8"/>
      <c r="FNR1" s="9"/>
      <c r="FNS1" s="8"/>
      <c r="FNT1" s="9"/>
      <c r="FNU1" s="8"/>
      <c r="FNV1" s="9"/>
      <c r="FNW1" s="8"/>
      <c r="FNX1" s="9"/>
      <c r="FNY1" s="8"/>
      <c r="FNZ1" s="9"/>
      <c r="FOA1" s="8"/>
      <c r="FOB1" s="9"/>
      <c r="FOC1" s="8"/>
      <c r="FOD1" s="9"/>
      <c r="FOE1" s="8"/>
      <c r="FOF1" s="9"/>
      <c r="FOG1" s="8"/>
      <c r="FOH1" s="9"/>
      <c r="FOI1" s="8"/>
      <c r="FOJ1" s="9"/>
      <c r="FOK1" s="8"/>
      <c r="FOL1" s="9"/>
      <c r="FOM1" s="8"/>
      <c r="FON1" s="9"/>
      <c r="FOO1" s="8"/>
      <c r="FOP1" s="9"/>
      <c r="FOQ1" s="8"/>
      <c r="FOR1" s="9"/>
      <c r="FOS1" s="8"/>
      <c r="FOT1" s="9"/>
      <c r="FOU1" s="8"/>
      <c r="FOV1" s="9"/>
      <c r="FOW1" s="8"/>
      <c r="FOX1" s="9"/>
      <c r="FOY1" s="8"/>
      <c r="FOZ1" s="9"/>
      <c r="FPA1" s="8"/>
      <c r="FPB1" s="9"/>
      <c r="FPC1" s="8"/>
      <c r="FPD1" s="9"/>
      <c r="FPE1" s="8"/>
      <c r="FPF1" s="9"/>
      <c r="FPG1" s="8"/>
      <c r="FPH1" s="9"/>
      <c r="FPI1" s="8"/>
      <c r="FPJ1" s="9"/>
      <c r="FPK1" s="8"/>
      <c r="FPL1" s="9"/>
      <c r="FPM1" s="8"/>
      <c r="FPN1" s="9"/>
      <c r="FPO1" s="8"/>
      <c r="FPP1" s="9"/>
      <c r="FPQ1" s="8"/>
      <c r="FPR1" s="9"/>
      <c r="FPS1" s="8"/>
      <c r="FPT1" s="9"/>
      <c r="FPU1" s="8"/>
      <c r="FPV1" s="9"/>
      <c r="FPW1" s="8"/>
      <c r="FPX1" s="9"/>
      <c r="FPY1" s="8"/>
      <c r="FPZ1" s="9"/>
      <c r="FQA1" s="8"/>
      <c r="FQB1" s="9"/>
      <c r="FQC1" s="8"/>
      <c r="FQD1" s="9"/>
      <c r="FQE1" s="8"/>
      <c r="FQF1" s="9"/>
      <c r="FQG1" s="8"/>
      <c r="FQH1" s="9"/>
      <c r="FQI1" s="8"/>
      <c r="FQJ1" s="9"/>
      <c r="FQK1" s="8"/>
      <c r="FQL1" s="9"/>
      <c r="FQM1" s="8"/>
      <c r="FQN1" s="9"/>
      <c r="FQO1" s="8"/>
      <c r="FQP1" s="9"/>
      <c r="FQQ1" s="8"/>
      <c r="FQR1" s="9"/>
      <c r="FQS1" s="8"/>
      <c r="FQT1" s="9"/>
      <c r="FQU1" s="8"/>
      <c r="FQV1" s="9"/>
      <c r="FQW1" s="8"/>
      <c r="FQX1" s="9"/>
      <c r="FQY1" s="8"/>
      <c r="FQZ1" s="9"/>
      <c r="FRA1" s="8"/>
      <c r="FRB1" s="9"/>
      <c r="FRC1" s="8"/>
      <c r="FRD1" s="9"/>
      <c r="FRE1" s="8"/>
      <c r="FRF1" s="9"/>
      <c r="FRG1" s="8"/>
      <c r="FRH1" s="9"/>
      <c r="FRI1" s="8"/>
      <c r="FRJ1" s="9"/>
      <c r="FRK1" s="8"/>
      <c r="FRL1" s="9"/>
      <c r="FRM1" s="8"/>
      <c r="FRN1" s="9"/>
      <c r="FRO1" s="8"/>
      <c r="FRP1" s="9"/>
      <c r="FRQ1" s="8"/>
      <c r="FRR1" s="9"/>
      <c r="FRS1" s="8"/>
      <c r="FRT1" s="9"/>
      <c r="FRU1" s="8"/>
      <c r="FRV1" s="9"/>
      <c r="FRW1" s="8"/>
      <c r="FRX1" s="9"/>
      <c r="FRY1" s="8"/>
      <c r="FRZ1" s="9"/>
      <c r="FSA1" s="8"/>
      <c r="FSB1" s="9"/>
      <c r="FSC1" s="8"/>
      <c r="FSD1" s="9"/>
      <c r="FSE1" s="8"/>
      <c r="FSF1" s="9"/>
      <c r="FSG1" s="8"/>
      <c r="FSH1" s="9"/>
      <c r="FSI1" s="8"/>
      <c r="FSJ1" s="9"/>
      <c r="FSK1" s="8"/>
      <c r="FSL1" s="9"/>
      <c r="FSM1" s="8"/>
      <c r="FSN1" s="9"/>
      <c r="FSO1" s="8"/>
      <c r="FSP1" s="9"/>
      <c r="FSQ1" s="8"/>
      <c r="FSR1" s="9"/>
      <c r="FSS1" s="8"/>
      <c r="FST1" s="9"/>
      <c r="FSU1" s="8"/>
      <c r="FSV1" s="9"/>
      <c r="FSW1" s="8"/>
      <c r="FSX1" s="9"/>
      <c r="FSY1" s="8"/>
      <c r="FSZ1" s="9"/>
      <c r="FTA1" s="8"/>
      <c r="FTB1" s="9"/>
      <c r="FTC1" s="8"/>
      <c r="FTD1" s="9"/>
      <c r="FTE1" s="8"/>
      <c r="FTF1" s="9"/>
      <c r="FTG1" s="8"/>
      <c r="FTH1" s="9"/>
      <c r="FTI1" s="8"/>
      <c r="FTJ1" s="9"/>
      <c r="FTK1" s="8"/>
      <c r="FTL1" s="9"/>
      <c r="FTM1" s="8"/>
      <c r="FTN1" s="9"/>
      <c r="FTO1" s="8"/>
      <c r="FTP1" s="9"/>
      <c r="FTQ1" s="8"/>
      <c r="FTR1" s="9"/>
      <c r="FTS1" s="8"/>
      <c r="FTT1" s="9"/>
      <c r="FTU1" s="8"/>
      <c r="FTV1" s="9"/>
      <c r="FTW1" s="8"/>
      <c r="FTX1" s="9"/>
      <c r="FTY1" s="8"/>
      <c r="FTZ1" s="9"/>
      <c r="FUA1" s="8"/>
      <c r="FUB1" s="9"/>
      <c r="FUC1" s="8"/>
      <c r="FUD1" s="9"/>
      <c r="FUE1" s="8"/>
      <c r="FUF1" s="9"/>
      <c r="FUG1" s="8"/>
      <c r="FUH1" s="9"/>
      <c r="FUI1" s="8"/>
      <c r="FUJ1" s="9"/>
      <c r="FUK1" s="8"/>
      <c r="FUL1" s="9"/>
      <c r="FUM1" s="8"/>
      <c r="FUN1" s="9"/>
      <c r="FUO1" s="8"/>
      <c r="FUP1" s="9"/>
      <c r="FUQ1" s="8"/>
      <c r="FUR1" s="9"/>
      <c r="FUS1" s="8"/>
      <c r="FUT1" s="9"/>
      <c r="FUU1" s="8"/>
      <c r="FUV1" s="9"/>
      <c r="FUW1" s="8"/>
      <c r="FUX1" s="9"/>
      <c r="FUY1" s="8"/>
      <c r="FUZ1" s="9"/>
      <c r="FVA1" s="8"/>
      <c r="FVB1" s="9"/>
      <c r="FVC1" s="8"/>
      <c r="FVD1" s="9"/>
      <c r="FVE1" s="8"/>
      <c r="FVF1" s="9"/>
      <c r="FVG1" s="8"/>
      <c r="FVH1" s="9"/>
      <c r="FVI1" s="8"/>
      <c r="FVJ1" s="9"/>
      <c r="FVK1" s="8"/>
      <c r="FVL1" s="9"/>
      <c r="FVM1" s="8"/>
      <c r="FVN1" s="9"/>
      <c r="FVO1" s="8"/>
      <c r="FVP1" s="9"/>
      <c r="FVQ1" s="8"/>
      <c r="FVR1" s="9"/>
      <c r="FVS1" s="8"/>
      <c r="FVT1" s="9"/>
      <c r="FVU1" s="8"/>
      <c r="FVV1" s="9"/>
      <c r="FVW1" s="8"/>
      <c r="FVX1" s="9"/>
      <c r="FVY1" s="8"/>
      <c r="FVZ1" s="9"/>
      <c r="FWA1" s="8"/>
      <c r="FWB1" s="9"/>
      <c r="FWC1" s="8"/>
      <c r="FWD1" s="9"/>
      <c r="FWE1" s="8"/>
      <c r="FWF1" s="9"/>
      <c r="FWG1" s="8"/>
      <c r="FWH1" s="9"/>
      <c r="FWI1" s="8"/>
      <c r="FWJ1" s="9"/>
      <c r="FWK1" s="8"/>
      <c r="FWL1" s="9"/>
      <c r="FWM1" s="8"/>
      <c r="FWN1" s="9"/>
      <c r="FWO1" s="8"/>
      <c r="FWP1" s="9"/>
      <c r="FWQ1" s="8"/>
      <c r="FWR1" s="9"/>
      <c r="FWS1" s="8"/>
      <c r="FWT1" s="9"/>
      <c r="FWU1" s="8"/>
      <c r="FWV1" s="9"/>
      <c r="FWW1" s="8"/>
      <c r="FWX1" s="9"/>
      <c r="FWY1" s="8"/>
      <c r="FWZ1" s="9"/>
      <c r="FXA1" s="8"/>
      <c r="FXB1" s="9"/>
      <c r="FXC1" s="8"/>
      <c r="FXD1" s="9"/>
      <c r="FXE1" s="8"/>
      <c r="FXF1" s="9"/>
      <c r="FXG1" s="8"/>
      <c r="FXH1" s="9"/>
      <c r="FXI1" s="8"/>
      <c r="FXJ1" s="9"/>
      <c r="FXK1" s="8"/>
      <c r="FXL1" s="9"/>
      <c r="FXM1" s="8"/>
      <c r="FXN1" s="9"/>
      <c r="FXO1" s="8"/>
      <c r="FXP1" s="9"/>
      <c r="FXQ1" s="8"/>
      <c r="FXR1" s="9"/>
      <c r="FXS1" s="8"/>
      <c r="FXT1" s="9"/>
      <c r="FXU1" s="8"/>
      <c r="FXV1" s="9"/>
      <c r="FXW1" s="8"/>
      <c r="FXX1" s="9"/>
      <c r="FXY1" s="8"/>
      <c r="FXZ1" s="9"/>
      <c r="FYA1" s="8"/>
      <c r="FYB1" s="9"/>
      <c r="FYC1" s="8"/>
      <c r="FYD1" s="9"/>
      <c r="FYE1" s="8"/>
      <c r="FYF1" s="9"/>
      <c r="FYG1" s="8"/>
      <c r="FYH1" s="9"/>
      <c r="FYI1" s="8"/>
      <c r="FYJ1" s="9"/>
      <c r="FYK1" s="8"/>
      <c r="FYL1" s="9"/>
      <c r="FYM1" s="8"/>
      <c r="FYN1" s="9"/>
      <c r="FYO1" s="8"/>
      <c r="FYP1" s="9"/>
      <c r="FYQ1" s="8"/>
      <c r="FYR1" s="9"/>
      <c r="FYS1" s="8"/>
      <c r="FYT1" s="9"/>
      <c r="FYU1" s="8"/>
      <c r="FYV1" s="9"/>
      <c r="FYW1" s="8"/>
      <c r="FYX1" s="9"/>
      <c r="FYY1" s="8"/>
      <c r="FYZ1" s="9"/>
      <c r="FZA1" s="8"/>
      <c r="FZB1" s="9"/>
      <c r="FZC1" s="8"/>
      <c r="FZD1" s="9"/>
      <c r="FZE1" s="8"/>
      <c r="FZF1" s="9"/>
      <c r="FZG1" s="8"/>
      <c r="FZH1" s="9"/>
      <c r="FZI1" s="8"/>
      <c r="FZJ1" s="9"/>
      <c r="FZK1" s="8"/>
      <c r="FZL1" s="9"/>
      <c r="FZM1" s="8"/>
      <c r="FZN1" s="9"/>
      <c r="FZO1" s="8"/>
      <c r="FZP1" s="9"/>
      <c r="FZQ1" s="8"/>
      <c r="FZR1" s="9"/>
      <c r="FZS1" s="8"/>
      <c r="FZT1" s="9"/>
      <c r="FZU1" s="8"/>
      <c r="FZV1" s="9"/>
      <c r="FZW1" s="8"/>
      <c r="FZX1" s="9"/>
      <c r="FZY1" s="8"/>
      <c r="FZZ1" s="9"/>
      <c r="GAA1" s="8"/>
      <c r="GAB1" s="9"/>
      <c r="GAC1" s="8"/>
      <c r="GAD1" s="9"/>
      <c r="GAE1" s="8"/>
      <c r="GAF1" s="9"/>
      <c r="GAG1" s="8"/>
      <c r="GAH1" s="9"/>
      <c r="GAI1" s="8"/>
      <c r="GAJ1" s="9"/>
      <c r="GAK1" s="8"/>
      <c r="GAL1" s="9"/>
      <c r="GAM1" s="8"/>
      <c r="GAN1" s="9"/>
      <c r="GAO1" s="8"/>
      <c r="GAP1" s="9"/>
      <c r="GAQ1" s="8"/>
      <c r="GAR1" s="9"/>
      <c r="GAS1" s="8"/>
      <c r="GAT1" s="9"/>
      <c r="GAU1" s="8"/>
      <c r="GAV1" s="9"/>
      <c r="GAW1" s="8"/>
      <c r="GAX1" s="9"/>
      <c r="GAY1" s="8"/>
      <c r="GAZ1" s="9"/>
      <c r="GBA1" s="8"/>
      <c r="GBB1" s="9"/>
      <c r="GBC1" s="8"/>
      <c r="GBD1" s="9"/>
      <c r="GBE1" s="8"/>
      <c r="GBF1" s="9"/>
      <c r="GBG1" s="8"/>
      <c r="GBH1" s="9"/>
      <c r="GBI1" s="8"/>
      <c r="GBJ1" s="9"/>
      <c r="GBK1" s="8"/>
      <c r="GBL1" s="9"/>
      <c r="GBM1" s="8"/>
      <c r="GBN1" s="9"/>
      <c r="GBO1" s="8"/>
      <c r="GBP1" s="9"/>
      <c r="GBQ1" s="8"/>
      <c r="GBR1" s="9"/>
      <c r="GBS1" s="8"/>
      <c r="GBT1" s="9"/>
      <c r="GBU1" s="8"/>
      <c r="GBV1" s="9"/>
      <c r="GBW1" s="8"/>
      <c r="GBX1" s="9"/>
      <c r="GBY1" s="8"/>
      <c r="GBZ1" s="9"/>
      <c r="GCA1" s="8"/>
      <c r="GCB1" s="9"/>
      <c r="GCC1" s="8"/>
      <c r="GCD1" s="9"/>
      <c r="GCE1" s="8"/>
      <c r="GCF1" s="9"/>
      <c r="GCG1" s="8"/>
      <c r="GCH1" s="9"/>
      <c r="GCI1" s="8"/>
      <c r="GCJ1" s="9"/>
      <c r="GCK1" s="8"/>
      <c r="GCL1" s="9"/>
      <c r="GCM1" s="8"/>
      <c r="GCN1" s="9"/>
      <c r="GCO1" s="8"/>
      <c r="GCP1" s="9"/>
      <c r="GCQ1" s="8"/>
      <c r="GCR1" s="9"/>
      <c r="GCS1" s="8"/>
      <c r="GCT1" s="9"/>
      <c r="GCU1" s="8"/>
      <c r="GCV1" s="9"/>
      <c r="GCW1" s="8"/>
      <c r="GCX1" s="9"/>
      <c r="GCY1" s="8"/>
      <c r="GCZ1" s="9"/>
      <c r="GDA1" s="8"/>
      <c r="GDB1" s="9"/>
      <c r="GDC1" s="8"/>
      <c r="GDD1" s="9"/>
      <c r="GDE1" s="8"/>
      <c r="GDF1" s="9"/>
      <c r="GDG1" s="8"/>
      <c r="GDH1" s="9"/>
      <c r="GDI1" s="8"/>
      <c r="GDJ1" s="9"/>
      <c r="GDK1" s="8"/>
      <c r="GDL1" s="9"/>
      <c r="GDM1" s="8"/>
      <c r="GDN1" s="9"/>
      <c r="GDO1" s="8"/>
      <c r="GDP1" s="9"/>
      <c r="GDQ1" s="8"/>
      <c r="GDR1" s="9"/>
      <c r="GDS1" s="8"/>
      <c r="GDT1" s="9"/>
      <c r="GDU1" s="8"/>
      <c r="GDV1" s="9"/>
      <c r="GDW1" s="8"/>
      <c r="GDX1" s="9"/>
      <c r="GDY1" s="8"/>
      <c r="GDZ1" s="9"/>
      <c r="GEA1" s="8"/>
      <c r="GEB1" s="9"/>
      <c r="GEC1" s="8"/>
      <c r="GED1" s="9"/>
      <c r="GEE1" s="8"/>
      <c r="GEF1" s="9"/>
      <c r="GEG1" s="8"/>
      <c r="GEH1" s="9"/>
      <c r="GEI1" s="8"/>
      <c r="GEJ1" s="9"/>
      <c r="GEK1" s="8"/>
      <c r="GEL1" s="9"/>
      <c r="GEM1" s="8"/>
      <c r="GEN1" s="9"/>
      <c r="GEO1" s="8"/>
      <c r="GEP1" s="9"/>
      <c r="GEQ1" s="8"/>
      <c r="GER1" s="9"/>
      <c r="GES1" s="8"/>
      <c r="GET1" s="9"/>
      <c r="GEU1" s="8"/>
      <c r="GEV1" s="9"/>
      <c r="GEW1" s="8"/>
      <c r="GEX1" s="9"/>
      <c r="GEY1" s="8"/>
      <c r="GEZ1" s="9"/>
      <c r="GFA1" s="8"/>
      <c r="GFB1" s="9"/>
      <c r="GFC1" s="8"/>
      <c r="GFD1" s="9"/>
      <c r="GFE1" s="8"/>
      <c r="GFF1" s="9"/>
      <c r="GFG1" s="8"/>
      <c r="GFH1" s="9"/>
      <c r="GFI1" s="8"/>
      <c r="GFJ1" s="9"/>
      <c r="GFK1" s="8"/>
      <c r="GFL1" s="9"/>
      <c r="GFM1" s="8"/>
      <c r="GFN1" s="9"/>
      <c r="GFO1" s="8"/>
      <c r="GFP1" s="9"/>
      <c r="GFQ1" s="8"/>
      <c r="GFR1" s="9"/>
      <c r="GFS1" s="8"/>
      <c r="GFT1" s="9"/>
      <c r="GFU1" s="8"/>
      <c r="GFV1" s="9"/>
      <c r="GFW1" s="8"/>
      <c r="GFX1" s="9"/>
      <c r="GFY1" s="8"/>
      <c r="GFZ1" s="9"/>
      <c r="GGA1" s="8"/>
      <c r="GGB1" s="9"/>
      <c r="GGC1" s="8"/>
      <c r="GGD1" s="9"/>
      <c r="GGE1" s="8"/>
      <c r="GGF1" s="9"/>
      <c r="GGG1" s="8"/>
      <c r="GGH1" s="9"/>
      <c r="GGI1" s="8"/>
      <c r="GGJ1" s="9"/>
      <c r="GGK1" s="8"/>
      <c r="GGL1" s="9"/>
      <c r="GGM1" s="8"/>
      <c r="GGN1" s="9"/>
      <c r="GGO1" s="8"/>
      <c r="GGP1" s="9"/>
      <c r="GGQ1" s="8"/>
      <c r="GGR1" s="9"/>
      <c r="GGS1" s="8"/>
      <c r="GGT1" s="9"/>
      <c r="GGU1" s="8"/>
      <c r="GGV1" s="9"/>
      <c r="GGW1" s="8"/>
      <c r="GGX1" s="9"/>
      <c r="GGY1" s="8"/>
      <c r="GGZ1" s="9"/>
      <c r="GHA1" s="8"/>
      <c r="GHB1" s="9"/>
      <c r="GHC1" s="8"/>
      <c r="GHD1" s="9"/>
      <c r="GHE1" s="8"/>
      <c r="GHF1" s="9"/>
      <c r="GHG1" s="8"/>
      <c r="GHH1" s="9"/>
      <c r="GHI1" s="8"/>
      <c r="GHJ1" s="9"/>
      <c r="GHK1" s="8"/>
      <c r="GHL1" s="9"/>
      <c r="GHM1" s="8"/>
      <c r="GHN1" s="9"/>
      <c r="GHO1" s="8"/>
      <c r="GHP1" s="9"/>
      <c r="GHQ1" s="8"/>
      <c r="GHR1" s="9"/>
      <c r="GHS1" s="8"/>
      <c r="GHT1" s="9"/>
      <c r="GHU1" s="8"/>
      <c r="GHV1" s="9"/>
      <c r="GHW1" s="8"/>
      <c r="GHX1" s="9"/>
      <c r="GHY1" s="8"/>
      <c r="GHZ1" s="9"/>
      <c r="GIA1" s="8"/>
      <c r="GIB1" s="9"/>
      <c r="GIC1" s="8"/>
      <c r="GID1" s="9"/>
      <c r="GIE1" s="8"/>
      <c r="GIF1" s="9"/>
      <c r="GIG1" s="8"/>
      <c r="GIH1" s="9"/>
      <c r="GII1" s="8"/>
      <c r="GIJ1" s="9"/>
      <c r="GIK1" s="8"/>
      <c r="GIL1" s="9"/>
      <c r="GIM1" s="8"/>
      <c r="GIN1" s="9"/>
      <c r="GIO1" s="8"/>
      <c r="GIP1" s="9"/>
      <c r="GIQ1" s="8"/>
      <c r="GIR1" s="9"/>
      <c r="GIS1" s="8"/>
      <c r="GIT1" s="9"/>
      <c r="GIU1" s="8"/>
      <c r="GIV1" s="9"/>
      <c r="GIW1" s="8"/>
      <c r="GIX1" s="9"/>
      <c r="GIY1" s="8"/>
      <c r="GIZ1" s="9"/>
      <c r="GJA1" s="8"/>
      <c r="GJB1" s="9"/>
      <c r="GJC1" s="8"/>
      <c r="GJD1" s="9"/>
      <c r="GJE1" s="8"/>
      <c r="GJF1" s="9"/>
      <c r="GJG1" s="8"/>
      <c r="GJH1" s="9"/>
      <c r="GJI1" s="8"/>
      <c r="GJJ1" s="9"/>
      <c r="GJK1" s="8"/>
      <c r="GJL1" s="9"/>
      <c r="GJM1" s="8"/>
      <c r="GJN1" s="9"/>
      <c r="GJO1" s="8"/>
      <c r="GJP1" s="9"/>
      <c r="GJQ1" s="8"/>
      <c r="GJR1" s="9"/>
      <c r="GJS1" s="8"/>
      <c r="GJT1" s="9"/>
      <c r="GJU1" s="8"/>
      <c r="GJV1" s="9"/>
      <c r="GJW1" s="8"/>
      <c r="GJX1" s="9"/>
      <c r="GJY1" s="8"/>
      <c r="GJZ1" s="9"/>
      <c r="GKA1" s="8"/>
      <c r="GKB1" s="9"/>
      <c r="GKC1" s="8"/>
      <c r="GKD1" s="9"/>
      <c r="GKE1" s="8"/>
      <c r="GKF1" s="9"/>
      <c r="GKG1" s="8"/>
      <c r="GKH1" s="9"/>
      <c r="GKI1" s="8"/>
      <c r="GKJ1" s="9"/>
      <c r="GKK1" s="8"/>
      <c r="GKL1" s="9"/>
      <c r="GKM1" s="8"/>
      <c r="GKN1" s="9"/>
      <c r="GKO1" s="8"/>
      <c r="GKP1" s="9"/>
      <c r="GKQ1" s="8"/>
      <c r="GKR1" s="9"/>
      <c r="GKS1" s="8"/>
      <c r="GKT1" s="9"/>
      <c r="GKU1" s="8"/>
      <c r="GKV1" s="9"/>
      <c r="GKW1" s="8"/>
      <c r="GKX1" s="9"/>
      <c r="GKY1" s="8"/>
      <c r="GKZ1" s="9"/>
      <c r="GLA1" s="8"/>
      <c r="GLB1" s="9"/>
      <c r="GLC1" s="8"/>
      <c r="GLD1" s="9"/>
      <c r="GLE1" s="8"/>
      <c r="GLF1" s="9"/>
      <c r="GLG1" s="8"/>
      <c r="GLH1" s="9"/>
      <c r="GLI1" s="8"/>
      <c r="GLJ1" s="9"/>
      <c r="GLK1" s="8"/>
      <c r="GLL1" s="9"/>
      <c r="GLM1" s="8"/>
      <c r="GLN1" s="9"/>
      <c r="GLO1" s="8"/>
      <c r="GLP1" s="9"/>
      <c r="GLQ1" s="8"/>
      <c r="GLR1" s="9"/>
      <c r="GLS1" s="8"/>
      <c r="GLT1" s="9"/>
      <c r="GLU1" s="8"/>
      <c r="GLV1" s="9"/>
      <c r="GLW1" s="8"/>
      <c r="GLX1" s="9"/>
      <c r="GLY1" s="8"/>
      <c r="GLZ1" s="9"/>
      <c r="GMA1" s="8"/>
      <c r="GMB1" s="9"/>
      <c r="GMC1" s="8"/>
      <c r="GMD1" s="9"/>
      <c r="GME1" s="8"/>
      <c r="GMF1" s="9"/>
      <c r="GMG1" s="8"/>
      <c r="GMH1" s="9"/>
      <c r="GMI1" s="8"/>
      <c r="GMJ1" s="9"/>
      <c r="GMK1" s="8"/>
      <c r="GML1" s="9"/>
      <c r="GMM1" s="8"/>
      <c r="GMN1" s="9"/>
      <c r="GMO1" s="8"/>
      <c r="GMP1" s="9"/>
      <c r="GMQ1" s="8"/>
      <c r="GMR1" s="9"/>
      <c r="GMS1" s="8"/>
      <c r="GMT1" s="9"/>
      <c r="GMU1" s="8"/>
      <c r="GMV1" s="9"/>
      <c r="GMW1" s="8"/>
      <c r="GMX1" s="9"/>
      <c r="GMY1" s="8"/>
      <c r="GMZ1" s="9"/>
      <c r="GNA1" s="8"/>
      <c r="GNB1" s="9"/>
      <c r="GNC1" s="8"/>
      <c r="GND1" s="9"/>
      <c r="GNE1" s="8"/>
      <c r="GNF1" s="9"/>
      <c r="GNG1" s="8"/>
      <c r="GNH1" s="9"/>
      <c r="GNI1" s="8"/>
      <c r="GNJ1" s="9"/>
      <c r="GNK1" s="8"/>
      <c r="GNL1" s="9"/>
      <c r="GNM1" s="8"/>
      <c r="GNN1" s="9"/>
      <c r="GNO1" s="8"/>
      <c r="GNP1" s="9"/>
      <c r="GNQ1" s="8"/>
      <c r="GNR1" s="9"/>
      <c r="GNS1" s="8"/>
      <c r="GNT1" s="9"/>
      <c r="GNU1" s="8"/>
      <c r="GNV1" s="9"/>
      <c r="GNW1" s="8"/>
      <c r="GNX1" s="9"/>
      <c r="GNY1" s="8"/>
      <c r="GNZ1" s="9"/>
      <c r="GOA1" s="8"/>
      <c r="GOB1" s="9"/>
      <c r="GOC1" s="8"/>
      <c r="GOD1" s="9"/>
      <c r="GOE1" s="8"/>
      <c r="GOF1" s="9"/>
      <c r="GOG1" s="8"/>
      <c r="GOH1" s="9"/>
      <c r="GOI1" s="8"/>
      <c r="GOJ1" s="9"/>
      <c r="GOK1" s="8"/>
      <c r="GOL1" s="9"/>
      <c r="GOM1" s="8"/>
      <c r="GON1" s="9"/>
      <c r="GOO1" s="8"/>
      <c r="GOP1" s="9"/>
      <c r="GOQ1" s="8"/>
      <c r="GOR1" s="9"/>
      <c r="GOS1" s="8"/>
      <c r="GOT1" s="9"/>
      <c r="GOU1" s="8"/>
      <c r="GOV1" s="9"/>
      <c r="GOW1" s="8"/>
      <c r="GOX1" s="9"/>
      <c r="GOY1" s="8"/>
      <c r="GOZ1" s="9"/>
      <c r="GPA1" s="8"/>
      <c r="GPB1" s="9"/>
      <c r="GPC1" s="8"/>
      <c r="GPD1" s="9"/>
      <c r="GPE1" s="8"/>
      <c r="GPF1" s="9"/>
      <c r="GPG1" s="8"/>
      <c r="GPH1" s="9"/>
      <c r="GPI1" s="8"/>
      <c r="GPJ1" s="9"/>
      <c r="GPK1" s="8"/>
      <c r="GPL1" s="9"/>
      <c r="GPM1" s="8"/>
      <c r="GPN1" s="9"/>
      <c r="GPO1" s="8"/>
      <c r="GPP1" s="9"/>
      <c r="GPQ1" s="8"/>
      <c r="GPR1" s="9"/>
      <c r="GPS1" s="8"/>
      <c r="GPT1" s="9"/>
      <c r="GPU1" s="8"/>
      <c r="GPV1" s="9"/>
      <c r="GPW1" s="8"/>
      <c r="GPX1" s="9"/>
      <c r="GPY1" s="8"/>
      <c r="GPZ1" s="9"/>
      <c r="GQA1" s="8"/>
      <c r="GQB1" s="9"/>
      <c r="GQC1" s="8"/>
      <c r="GQD1" s="9"/>
      <c r="GQE1" s="8"/>
      <c r="GQF1" s="9"/>
      <c r="GQG1" s="8"/>
      <c r="GQH1" s="9"/>
      <c r="GQI1" s="8"/>
      <c r="GQJ1" s="9"/>
      <c r="GQK1" s="8"/>
      <c r="GQL1" s="9"/>
      <c r="GQM1" s="8"/>
      <c r="GQN1" s="9"/>
      <c r="GQO1" s="8"/>
      <c r="GQP1" s="9"/>
      <c r="GQQ1" s="8"/>
      <c r="GQR1" s="9"/>
      <c r="GQS1" s="8"/>
      <c r="GQT1" s="9"/>
      <c r="GQU1" s="8"/>
      <c r="GQV1" s="9"/>
      <c r="GQW1" s="8"/>
      <c r="GQX1" s="9"/>
      <c r="GQY1" s="8"/>
      <c r="GQZ1" s="9"/>
      <c r="GRA1" s="8"/>
      <c r="GRB1" s="9"/>
      <c r="GRC1" s="8"/>
      <c r="GRD1" s="9"/>
      <c r="GRE1" s="8"/>
      <c r="GRF1" s="9"/>
      <c r="GRG1" s="8"/>
      <c r="GRH1" s="9"/>
      <c r="GRI1" s="8"/>
      <c r="GRJ1" s="9"/>
      <c r="GRK1" s="8"/>
      <c r="GRL1" s="9"/>
      <c r="GRM1" s="8"/>
      <c r="GRN1" s="9"/>
      <c r="GRO1" s="8"/>
      <c r="GRP1" s="9"/>
      <c r="GRQ1" s="8"/>
      <c r="GRR1" s="9"/>
      <c r="GRS1" s="8"/>
      <c r="GRT1" s="9"/>
      <c r="GRU1" s="8"/>
      <c r="GRV1" s="9"/>
      <c r="GRW1" s="8"/>
      <c r="GRX1" s="9"/>
      <c r="GRY1" s="8"/>
      <c r="GRZ1" s="9"/>
      <c r="GSA1" s="8"/>
      <c r="GSB1" s="9"/>
      <c r="GSC1" s="8"/>
      <c r="GSD1" s="9"/>
      <c r="GSE1" s="8"/>
      <c r="GSF1" s="9"/>
      <c r="GSG1" s="8"/>
      <c r="GSH1" s="9"/>
      <c r="GSI1" s="8"/>
      <c r="GSJ1" s="9"/>
      <c r="GSK1" s="8"/>
      <c r="GSL1" s="9"/>
      <c r="GSM1" s="8"/>
      <c r="GSN1" s="9"/>
      <c r="GSO1" s="8"/>
      <c r="GSP1" s="9"/>
      <c r="GSQ1" s="8"/>
      <c r="GSR1" s="9"/>
      <c r="GSS1" s="8"/>
      <c r="GST1" s="9"/>
      <c r="GSU1" s="8"/>
      <c r="GSV1" s="9"/>
      <c r="GSW1" s="8"/>
      <c r="GSX1" s="9"/>
      <c r="GSY1" s="8"/>
      <c r="GSZ1" s="9"/>
      <c r="GTA1" s="8"/>
      <c r="GTB1" s="9"/>
      <c r="GTC1" s="8"/>
      <c r="GTD1" s="9"/>
      <c r="GTE1" s="8"/>
      <c r="GTF1" s="9"/>
      <c r="GTG1" s="8"/>
      <c r="GTH1" s="9"/>
      <c r="GTI1" s="8"/>
      <c r="GTJ1" s="9"/>
      <c r="GTK1" s="8"/>
      <c r="GTL1" s="9"/>
      <c r="GTM1" s="8"/>
      <c r="GTN1" s="9"/>
      <c r="GTO1" s="8"/>
      <c r="GTP1" s="9"/>
      <c r="GTQ1" s="8"/>
      <c r="GTR1" s="9"/>
      <c r="GTS1" s="8"/>
      <c r="GTT1" s="9"/>
      <c r="GTU1" s="8"/>
      <c r="GTV1" s="9"/>
      <c r="GTW1" s="8"/>
      <c r="GTX1" s="9"/>
      <c r="GTY1" s="8"/>
      <c r="GTZ1" s="9"/>
      <c r="GUA1" s="8"/>
      <c r="GUB1" s="9"/>
      <c r="GUC1" s="8"/>
      <c r="GUD1" s="9"/>
      <c r="GUE1" s="8"/>
      <c r="GUF1" s="9"/>
      <c r="GUG1" s="8"/>
      <c r="GUH1" s="9"/>
      <c r="GUI1" s="8"/>
      <c r="GUJ1" s="9"/>
      <c r="GUK1" s="8"/>
      <c r="GUL1" s="9"/>
      <c r="GUM1" s="8"/>
      <c r="GUN1" s="9"/>
      <c r="GUO1" s="8"/>
      <c r="GUP1" s="9"/>
      <c r="GUQ1" s="8"/>
      <c r="GUR1" s="9"/>
      <c r="GUS1" s="8"/>
      <c r="GUT1" s="9"/>
      <c r="GUU1" s="8"/>
      <c r="GUV1" s="9"/>
      <c r="GUW1" s="8"/>
      <c r="GUX1" s="9"/>
      <c r="GUY1" s="8"/>
      <c r="GUZ1" s="9"/>
      <c r="GVA1" s="8"/>
      <c r="GVB1" s="9"/>
      <c r="GVC1" s="8"/>
      <c r="GVD1" s="9"/>
      <c r="GVE1" s="8"/>
      <c r="GVF1" s="9"/>
      <c r="GVG1" s="8"/>
      <c r="GVH1" s="9"/>
      <c r="GVI1" s="8"/>
      <c r="GVJ1" s="9"/>
      <c r="GVK1" s="8"/>
      <c r="GVL1" s="9"/>
      <c r="GVM1" s="8"/>
      <c r="GVN1" s="9"/>
      <c r="GVO1" s="8"/>
      <c r="GVP1" s="9"/>
      <c r="GVQ1" s="8"/>
      <c r="GVR1" s="9"/>
      <c r="GVS1" s="8"/>
      <c r="GVT1" s="9"/>
      <c r="GVU1" s="8"/>
      <c r="GVV1" s="9"/>
      <c r="GVW1" s="8"/>
      <c r="GVX1" s="9"/>
      <c r="GVY1" s="8"/>
      <c r="GVZ1" s="9"/>
      <c r="GWA1" s="8"/>
      <c r="GWB1" s="9"/>
      <c r="GWC1" s="8"/>
      <c r="GWD1" s="9"/>
      <c r="GWE1" s="8"/>
      <c r="GWF1" s="9"/>
      <c r="GWG1" s="8"/>
      <c r="GWH1" s="9"/>
      <c r="GWI1" s="8"/>
      <c r="GWJ1" s="9"/>
      <c r="GWK1" s="8"/>
      <c r="GWL1" s="9"/>
      <c r="GWM1" s="8"/>
      <c r="GWN1" s="9"/>
      <c r="GWO1" s="8"/>
      <c r="GWP1" s="9"/>
      <c r="GWQ1" s="8"/>
      <c r="GWR1" s="9"/>
      <c r="GWS1" s="8"/>
      <c r="GWT1" s="9"/>
      <c r="GWU1" s="8"/>
      <c r="GWV1" s="9"/>
      <c r="GWW1" s="8"/>
      <c r="GWX1" s="9"/>
      <c r="GWY1" s="8"/>
      <c r="GWZ1" s="9"/>
      <c r="GXA1" s="8"/>
      <c r="GXB1" s="9"/>
      <c r="GXC1" s="8"/>
      <c r="GXD1" s="9"/>
      <c r="GXE1" s="8"/>
      <c r="GXF1" s="9"/>
      <c r="GXG1" s="8"/>
      <c r="GXH1" s="9"/>
      <c r="GXI1" s="8"/>
      <c r="GXJ1" s="9"/>
      <c r="GXK1" s="8"/>
      <c r="GXL1" s="9"/>
      <c r="GXM1" s="8"/>
      <c r="GXN1" s="9"/>
      <c r="GXO1" s="8"/>
      <c r="GXP1" s="9"/>
      <c r="GXQ1" s="8"/>
      <c r="GXR1" s="9"/>
      <c r="GXS1" s="8"/>
      <c r="GXT1" s="9"/>
      <c r="GXU1" s="8"/>
      <c r="GXV1" s="9"/>
      <c r="GXW1" s="8"/>
      <c r="GXX1" s="9"/>
      <c r="GXY1" s="8"/>
      <c r="GXZ1" s="9"/>
      <c r="GYA1" s="8"/>
      <c r="GYB1" s="9"/>
      <c r="GYC1" s="8"/>
      <c r="GYD1" s="9"/>
      <c r="GYE1" s="8"/>
      <c r="GYF1" s="9"/>
      <c r="GYG1" s="8"/>
      <c r="GYH1" s="9"/>
      <c r="GYI1" s="8"/>
      <c r="GYJ1" s="9"/>
      <c r="GYK1" s="8"/>
      <c r="GYL1" s="9"/>
      <c r="GYM1" s="8"/>
      <c r="GYN1" s="9"/>
      <c r="GYO1" s="8"/>
      <c r="GYP1" s="9"/>
      <c r="GYQ1" s="8"/>
      <c r="GYR1" s="9"/>
      <c r="GYS1" s="8"/>
      <c r="GYT1" s="9"/>
      <c r="GYU1" s="8"/>
      <c r="GYV1" s="9"/>
      <c r="GYW1" s="8"/>
      <c r="GYX1" s="9"/>
      <c r="GYY1" s="8"/>
      <c r="GYZ1" s="9"/>
      <c r="GZA1" s="8"/>
      <c r="GZB1" s="9"/>
      <c r="GZC1" s="8"/>
      <c r="GZD1" s="9"/>
      <c r="GZE1" s="8"/>
      <c r="GZF1" s="9"/>
      <c r="GZG1" s="8"/>
      <c r="GZH1" s="9"/>
      <c r="GZI1" s="8"/>
      <c r="GZJ1" s="9"/>
      <c r="GZK1" s="8"/>
      <c r="GZL1" s="9"/>
      <c r="GZM1" s="8"/>
      <c r="GZN1" s="9"/>
      <c r="GZO1" s="8"/>
      <c r="GZP1" s="9"/>
      <c r="GZQ1" s="8"/>
      <c r="GZR1" s="9"/>
      <c r="GZS1" s="8"/>
      <c r="GZT1" s="9"/>
      <c r="GZU1" s="8"/>
      <c r="GZV1" s="9"/>
      <c r="GZW1" s="8"/>
      <c r="GZX1" s="9"/>
      <c r="GZY1" s="8"/>
      <c r="GZZ1" s="9"/>
      <c r="HAA1" s="8"/>
      <c r="HAB1" s="9"/>
      <c r="HAC1" s="8"/>
      <c r="HAD1" s="9"/>
      <c r="HAE1" s="8"/>
      <c r="HAF1" s="9"/>
      <c r="HAG1" s="8"/>
      <c r="HAH1" s="9"/>
      <c r="HAI1" s="8"/>
      <c r="HAJ1" s="9"/>
      <c r="HAK1" s="8"/>
      <c r="HAL1" s="9"/>
      <c r="HAM1" s="8"/>
      <c r="HAN1" s="9"/>
      <c r="HAO1" s="8"/>
      <c r="HAP1" s="9"/>
      <c r="HAQ1" s="8"/>
      <c r="HAR1" s="9"/>
      <c r="HAS1" s="8"/>
      <c r="HAT1" s="9"/>
      <c r="HAU1" s="8"/>
      <c r="HAV1" s="9"/>
      <c r="HAW1" s="8"/>
      <c r="HAX1" s="9"/>
      <c r="HAY1" s="8"/>
      <c r="HAZ1" s="9"/>
      <c r="HBA1" s="8"/>
      <c r="HBB1" s="9"/>
      <c r="HBC1" s="8"/>
      <c r="HBD1" s="9"/>
      <c r="HBE1" s="8"/>
      <c r="HBF1" s="9"/>
      <c r="HBG1" s="8"/>
      <c r="HBH1" s="9"/>
      <c r="HBI1" s="8"/>
      <c r="HBJ1" s="9"/>
      <c r="HBK1" s="8"/>
      <c r="HBL1" s="9"/>
      <c r="HBM1" s="8"/>
      <c r="HBN1" s="9"/>
      <c r="HBO1" s="8"/>
      <c r="HBP1" s="9"/>
      <c r="HBQ1" s="8"/>
      <c r="HBR1" s="9"/>
      <c r="HBS1" s="8"/>
      <c r="HBT1" s="9"/>
      <c r="HBU1" s="8"/>
      <c r="HBV1" s="9"/>
      <c r="HBW1" s="8"/>
      <c r="HBX1" s="9"/>
      <c r="HBY1" s="8"/>
      <c r="HBZ1" s="9"/>
      <c r="HCA1" s="8"/>
      <c r="HCB1" s="9"/>
      <c r="HCC1" s="8"/>
      <c r="HCD1" s="9"/>
      <c r="HCE1" s="8"/>
      <c r="HCF1" s="9"/>
      <c r="HCG1" s="8"/>
      <c r="HCH1" s="9"/>
      <c r="HCI1" s="8"/>
      <c r="HCJ1" s="9"/>
      <c r="HCK1" s="8"/>
      <c r="HCL1" s="9"/>
      <c r="HCM1" s="8"/>
      <c r="HCN1" s="9"/>
      <c r="HCO1" s="8"/>
      <c r="HCP1" s="9"/>
      <c r="HCQ1" s="8"/>
      <c r="HCR1" s="9"/>
      <c r="HCS1" s="8"/>
      <c r="HCT1" s="9"/>
      <c r="HCU1" s="8"/>
      <c r="HCV1" s="9"/>
      <c r="HCW1" s="8"/>
      <c r="HCX1" s="9"/>
      <c r="HCY1" s="8"/>
      <c r="HCZ1" s="9"/>
      <c r="HDA1" s="8"/>
      <c r="HDB1" s="9"/>
      <c r="HDC1" s="8"/>
      <c r="HDD1" s="9"/>
      <c r="HDE1" s="8"/>
      <c r="HDF1" s="9"/>
      <c r="HDG1" s="8"/>
      <c r="HDH1" s="9"/>
      <c r="HDI1" s="8"/>
      <c r="HDJ1" s="9"/>
      <c r="HDK1" s="8"/>
      <c r="HDL1" s="9"/>
      <c r="HDM1" s="8"/>
      <c r="HDN1" s="9"/>
      <c r="HDO1" s="8"/>
      <c r="HDP1" s="9"/>
      <c r="HDQ1" s="8"/>
      <c r="HDR1" s="9"/>
      <c r="HDS1" s="8"/>
      <c r="HDT1" s="9"/>
      <c r="HDU1" s="8"/>
      <c r="HDV1" s="9"/>
      <c r="HDW1" s="8"/>
      <c r="HDX1" s="9"/>
      <c r="HDY1" s="8"/>
      <c r="HDZ1" s="9"/>
      <c r="HEA1" s="8"/>
      <c r="HEB1" s="9"/>
      <c r="HEC1" s="8"/>
      <c r="HED1" s="9"/>
      <c r="HEE1" s="8"/>
      <c r="HEF1" s="9"/>
      <c r="HEG1" s="8"/>
      <c r="HEH1" s="9"/>
      <c r="HEI1" s="8"/>
      <c r="HEJ1" s="9"/>
      <c r="HEK1" s="8"/>
      <c r="HEL1" s="9"/>
      <c r="HEM1" s="8"/>
      <c r="HEN1" s="9"/>
      <c r="HEO1" s="8"/>
      <c r="HEP1" s="9"/>
      <c r="HEQ1" s="8"/>
      <c r="HER1" s="9"/>
      <c r="HES1" s="8"/>
      <c r="HET1" s="9"/>
      <c r="HEU1" s="8"/>
      <c r="HEV1" s="9"/>
      <c r="HEW1" s="8"/>
      <c r="HEX1" s="9"/>
      <c r="HEY1" s="8"/>
      <c r="HEZ1" s="9"/>
      <c r="HFA1" s="8"/>
      <c r="HFB1" s="9"/>
      <c r="HFC1" s="8"/>
      <c r="HFD1" s="9"/>
      <c r="HFE1" s="8"/>
      <c r="HFF1" s="9"/>
      <c r="HFG1" s="8"/>
      <c r="HFH1" s="9"/>
      <c r="HFI1" s="8"/>
      <c r="HFJ1" s="9"/>
      <c r="HFK1" s="8"/>
      <c r="HFL1" s="9"/>
      <c r="HFM1" s="8"/>
      <c r="HFN1" s="9"/>
      <c r="HFO1" s="8"/>
      <c r="HFP1" s="9"/>
      <c r="HFQ1" s="8"/>
      <c r="HFR1" s="9"/>
      <c r="HFS1" s="8"/>
      <c r="HFT1" s="9"/>
      <c r="HFU1" s="8"/>
      <c r="HFV1" s="9"/>
      <c r="HFW1" s="8"/>
      <c r="HFX1" s="9"/>
      <c r="HFY1" s="8"/>
      <c r="HFZ1" s="9"/>
      <c r="HGA1" s="8"/>
      <c r="HGB1" s="9"/>
      <c r="HGC1" s="8"/>
      <c r="HGD1" s="9"/>
      <c r="HGE1" s="8"/>
      <c r="HGF1" s="9"/>
      <c r="HGG1" s="8"/>
      <c r="HGH1" s="9"/>
      <c r="HGI1" s="8"/>
      <c r="HGJ1" s="9"/>
      <c r="HGK1" s="8"/>
      <c r="HGL1" s="9"/>
      <c r="HGM1" s="8"/>
      <c r="HGN1" s="9"/>
      <c r="HGO1" s="8"/>
      <c r="HGP1" s="9"/>
      <c r="HGQ1" s="8"/>
      <c r="HGR1" s="9"/>
      <c r="HGS1" s="8"/>
      <c r="HGT1" s="9"/>
      <c r="HGU1" s="8"/>
      <c r="HGV1" s="9"/>
      <c r="HGW1" s="8"/>
      <c r="HGX1" s="9"/>
      <c r="HGY1" s="8"/>
      <c r="HGZ1" s="9"/>
      <c r="HHA1" s="8"/>
      <c r="HHB1" s="9"/>
      <c r="HHC1" s="8"/>
      <c r="HHD1" s="9"/>
      <c r="HHE1" s="8"/>
      <c r="HHF1" s="9"/>
      <c r="HHG1" s="8"/>
      <c r="HHH1" s="9"/>
      <c r="HHI1" s="8"/>
      <c r="HHJ1" s="9"/>
      <c r="HHK1" s="8"/>
      <c r="HHL1" s="9"/>
      <c r="HHM1" s="8"/>
      <c r="HHN1" s="9"/>
      <c r="HHO1" s="8"/>
      <c r="HHP1" s="9"/>
      <c r="HHQ1" s="8"/>
      <c r="HHR1" s="9"/>
      <c r="HHS1" s="8"/>
      <c r="HHT1" s="9"/>
      <c r="HHU1" s="8"/>
      <c r="HHV1" s="9"/>
      <c r="HHW1" s="8"/>
      <c r="HHX1" s="9"/>
      <c r="HHY1" s="8"/>
      <c r="HHZ1" s="9"/>
      <c r="HIA1" s="8"/>
      <c r="HIB1" s="9"/>
      <c r="HIC1" s="8"/>
      <c r="HID1" s="9"/>
      <c r="HIE1" s="8"/>
      <c r="HIF1" s="9"/>
      <c r="HIG1" s="8"/>
      <c r="HIH1" s="9"/>
      <c r="HII1" s="8"/>
      <c r="HIJ1" s="9"/>
      <c r="HIK1" s="8"/>
      <c r="HIL1" s="9"/>
      <c r="HIM1" s="8"/>
      <c r="HIN1" s="9"/>
      <c r="HIO1" s="8"/>
      <c r="HIP1" s="9"/>
      <c r="HIQ1" s="8"/>
      <c r="HIR1" s="9"/>
      <c r="HIS1" s="8"/>
      <c r="HIT1" s="9"/>
      <c r="HIU1" s="8"/>
      <c r="HIV1" s="9"/>
      <c r="HIW1" s="8"/>
      <c r="HIX1" s="9"/>
      <c r="HIY1" s="8"/>
      <c r="HIZ1" s="9"/>
      <c r="HJA1" s="8"/>
      <c r="HJB1" s="9"/>
      <c r="HJC1" s="8"/>
      <c r="HJD1" s="9"/>
      <c r="HJE1" s="8"/>
      <c r="HJF1" s="9"/>
      <c r="HJG1" s="8"/>
      <c r="HJH1" s="9"/>
      <c r="HJI1" s="8"/>
      <c r="HJJ1" s="9"/>
      <c r="HJK1" s="8"/>
      <c r="HJL1" s="9"/>
      <c r="HJM1" s="8"/>
      <c r="HJN1" s="9"/>
      <c r="HJO1" s="8"/>
      <c r="HJP1" s="9"/>
      <c r="HJQ1" s="8"/>
      <c r="HJR1" s="9"/>
      <c r="HJS1" s="8"/>
      <c r="HJT1" s="9"/>
      <c r="HJU1" s="8"/>
      <c r="HJV1" s="9"/>
      <c r="HJW1" s="8"/>
      <c r="HJX1" s="9"/>
      <c r="HJY1" s="8"/>
      <c r="HJZ1" s="9"/>
      <c r="HKA1" s="8"/>
      <c r="HKB1" s="9"/>
      <c r="HKC1" s="8"/>
      <c r="HKD1" s="9"/>
      <c r="HKE1" s="8"/>
      <c r="HKF1" s="9"/>
      <c r="HKG1" s="8"/>
      <c r="HKH1" s="9"/>
      <c r="HKI1" s="8"/>
      <c r="HKJ1" s="9"/>
      <c r="HKK1" s="8"/>
      <c r="HKL1" s="9"/>
      <c r="HKM1" s="8"/>
      <c r="HKN1" s="9"/>
      <c r="HKO1" s="8"/>
      <c r="HKP1" s="9"/>
      <c r="HKQ1" s="8"/>
      <c r="HKR1" s="9"/>
      <c r="HKS1" s="8"/>
      <c r="HKT1" s="9"/>
      <c r="HKU1" s="8"/>
      <c r="HKV1" s="9"/>
      <c r="HKW1" s="8"/>
      <c r="HKX1" s="9"/>
      <c r="HKY1" s="8"/>
      <c r="HKZ1" s="9"/>
      <c r="HLA1" s="8"/>
      <c r="HLB1" s="9"/>
      <c r="HLC1" s="8"/>
      <c r="HLD1" s="9"/>
      <c r="HLE1" s="8"/>
      <c r="HLF1" s="9"/>
      <c r="HLG1" s="8"/>
      <c r="HLH1" s="9"/>
      <c r="HLI1" s="8"/>
      <c r="HLJ1" s="9"/>
      <c r="HLK1" s="8"/>
      <c r="HLL1" s="9"/>
      <c r="HLM1" s="8"/>
      <c r="HLN1" s="9"/>
      <c r="HLO1" s="8"/>
      <c r="HLP1" s="9"/>
      <c r="HLQ1" s="8"/>
      <c r="HLR1" s="9"/>
      <c r="HLS1" s="8"/>
      <c r="HLT1" s="9"/>
      <c r="HLU1" s="8"/>
      <c r="HLV1" s="9"/>
      <c r="HLW1" s="8"/>
      <c r="HLX1" s="9"/>
      <c r="HLY1" s="8"/>
      <c r="HLZ1" s="9"/>
      <c r="HMA1" s="8"/>
      <c r="HMB1" s="9"/>
      <c r="HMC1" s="8"/>
      <c r="HMD1" s="9"/>
      <c r="HME1" s="8"/>
      <c r="HMF1" s="9"/>
      <c r="HMG1" s="8"/>
      <c r="HMH1" s="9"/>
      <c r="HMI1" s="8"/>
      <c r="HMJ1" s="9"/>
      <c r="HMK1" s="8"/>
      <c r="HML1" s="9"/>
      <c r="HMM1" s="8"/>
      <c r="HMN1" s="9"/>
      <c r="HMO1" s="8"/>
      <c r="HMP1" s="9"/>
      <c r="HMQ1" s="8"/>
      <c r="HMR1" s="9"/>
      <c r="HMS1" s="8"/>
      <c r="HMT1" s="9"/>
      <c r="HMU1" s="8"/>
      <c r="HMV1" s="9"/>
      <c r="HMW1" s="8"/>
      <c r="HMX1" s="9"/>
      <c r="HMY1" s="8"/>
      <c r="HMZ1" s="9"/>
      <c r="HNA1" s="8"/>
      <c r="HNB1" s="9"/>
      <c r="HNC1" s="8"/>
      <c r="HND1" s="9"/>
      <c r="HNE1" s="8"/>
      <c r="HNF1" s="9"/>
      <c r="HNG1" s="8"/>
      <c r="HNH1" s="9"/>
      <c r="HNI1" s="8"/>
      <c r="HNJ1" s="9"/>
      <c r="HNK1" s="8"/>
      <c r="HNL1" s="9"/>
      <c r="HNM1" s="8"/>
      <c r="HNN1" s="9"/>
      <c r="HNO1" s="8"/>
      <c r="HNP1" s="9"/>
      <c r="HNQ1" s="8"/>
      <c r="HNR1" s="9"/>
      <c r="HNS1" s="8"/>
      <c r="HNT1" s="9"/>
      <c r="HNU1" s="8"/>
      <c r="HNV1" s="9"/>
      <c r="HNW1" s="8"/>
      <c r="HNX1" s="9"/>
      <c r="HNY1" s="8"/>
      <c r="HNZ1" s="9"/>
      <c r="HOA1" s="8"/>
      <c r="HOB1" s="9"/>
      <c r="HOC1" s="8"/>
      <c r="HOD1" s="9"/>
      <c r="HOE1" s="8"/>
      <c r="HOF1" s="9"/>
      <c r="HOG1" s="8"/>
      <c r="HOH1" s="9"/>
      <c r="HOI1" s="8"/>
      <c r="HOJ1" s="9"/>
      <c r="HOK1" s="8"/>
      <c r="HOL1" s="9"/>
      <c r="HOM1" s="8"/>
      <c r="HON1" s="9"/>
      <c r="HOO1" s="8"/>
      <c r="HOP1" s="9"/>
      <c r="HOQ1" s="8"/>
      <c r="HOR1" s="9"/>
      <c r="HOS1" s="8"/>
      <c r="HOT1" s="9"/>
      <c r="HOU1" s="8"/>
      <c r="HOV1" s="9"/>
      <c r="HOW1" s="8"/>
      <c r="HOX1" s="9"/>
      <c r="HOY1" s="8"/>
      <c r="HOZ1" s="9"/>
      <c r="HPA1" s="8"/>
      <c r="HPB1" s="9"/>
      <c r="HPC1" s="8"/>
      <c r="HPD1" s="9"/>
      <c r="HPE1" s="8"/>
      <c r="HPF1" s="9"/>
      <c r="HPG1" s="8"/>
      <c r="HPH1" s="9"/>
      <c r="HPI1" s="8"/>
      <c r="HPJ1" s="9"/>
      <c r="HPK1" s="8"/>
      <c r="HPL1" s="9"/>
      <c r="HPM1" s="8"/>
      <c r="HPN1" s="9"/>
      <c r="HPO1" s="8"/>
      <c r="HPP1" s="9"/>
      <c r="HPQ1" s="8"/>
      <c r="HPR1" s="9"/>
      <c r="HPS1" s="8"/>
      <c r="HPT1" s="9"/>
      <c r="HPU1" s="8"/>
      <c r="HPV1" s="9"/>
      <c r="HPW1" s="8"/>
      <c r="HPX1" s="9"/>
      <c r="HPY1" s="8"/>
      <c r="HPZ1" s="9"/>
      <c r="HQA1" s="8"/>
      <c r="HQB1" s="9"/>
      <c r="HQC1" s="8"/>
      <c r="HQD1" s="9"/>
      <c r="HQE1" s="8"/>
      <c r="HQF1" s="9"/>
      <c r="HQG1" s="8"/>
      <c r="HQH1" s="9"/>
      <c r="HQI1" s="8"/>
      <c r="HQJ1" s="9"/>
      <c r="HQK1" s="8"/>
      <c r="HQL1" s="9"/>
      <c r="HQM1" s="8"/>
      <c r="HQN1" s="9"/>
      <c r="HQO1" s="8"/>
      <c r="HQP1" s="9"/>
      <c r="HQQ1" s="8"/>
      <c r="HQR1" s="9"/>
      <c r="HQS1" s="8"/>
      <c r="HQT1" s="9"/>
      <c r="HQU1" s="8"/>
      <c r="HQV1" s="9"/>
      <c r="HQW1" s="8"/>
      <c r="HQX1" s="9"/>
      <c r="HQY1" s="8"/>
      <c r="HQZ1" s="9"/>
      <c r="HRA1" s="8"/>
      <c r="HRB1" s="9"/>
      <c r="HRC1" s="8"/>
      <c r="HRD1" s="9"/>
      <c r="HRE1" s="8"/>
      <c r="HRF1" s="9"/>
      <c r="HRG1" s="8"/>
      <c r="HRH1" s="9"/>
      <c r="HRI1" s="8"/>
      <c r="HRJ1" s="9"/>
      <c r="HRK1" s="8"/>
      <c r="HRL1" s="9"/>
      <c r="HRM1" s="8"/>
      <c r="HRN1" s="9"/>
      <c r="HRO1" s="8"/>
      <c r="HRP1" s="9"/>
      <c r="HRQ1" s="8"/>
      <c r="HRR1" s="9"/>
      <c r="HRS1" s="8"/>
      <c r="HRT1" s="9"/>
      <c r="HRU1" s="8"/>
      <c r="HRV1" s="9"/>
      <c r="HRW1" s="8"/>
      <c r="HRX1" s="9"/>
      <c r="HRY1" s="8"/>
      <c r="HRZ1" s="9"/>
      <c r="HSA1" s="8"/>
      <c r="HSB1" s="9"/>
      <c r="HSC1" s="8"/>
      <c r="HSD1" s="9"/>
      <c r="HSE1" s="8"/>
      <c r="HSF1" s="9"/>
      <c r="HSG1" s="8"/>
      <c r="HSH1" s="9"/>
      <c r="HSI1" s="8"/>
      <c r="HSJ1" s="9"/>
      <c r="HSK1" s="8"/>
      <c r="HSL1" s="9"/>
      <c r="HSM1" s="8"/>
      <c r="HSN1" s="9"/>
      <c r="HSO1" s="8"/>
      <c r="HSP1" s="9"/>
      <c r="HSQ1" s="8"/>
      <c r="HSR1" s="9"/>
      <c r="HSS1" s="8"/>
      <c r="HST1" s="9"/>
      <c r="HSU1" s="8"/>
      <c r="HSV1" s="9"/>
      <c r="HSW1" s="8"/>
      <c r="HSX1" s="9"/>
      <c r="HSY1" s="8"/>
      <c r="HSZ1" s="9"/>
      <c r="HTA1" s="8"/>
      <c r="HTB1" s="9"/>
      <c r="HTC1" s="8"/>
      <c r="HTD1" s="9"/>
      <c r="HTE1" s="8"/>
      <c r="HTF1" s="9"/>
      <c r="HTG1" s="8"/>
      <c r="HTH1" s="9"/>
      <c r="HTI1" s="8"/>
      <c r="HTJ1" s="9"/>
      <c r="HTK1" s="8"/>
      <c r="HTL1" s="9"/>
      <c r="HTM1" s="8"/>
      <c r="HTN1" s="9"/>
      <c r="HTO1" s="8"/>
      <c r="HTP1" s="9"/>
      <c r="HTQ1" s="8"/>
      <c r="HTR1" s="9"/>
      <c r="HTS1" s="8"/>
      <c r="HTT1" s="9"/>
      <c r="HTU1" s="8"/>
      <c r="HTV1" s="9"/>
      <c r="HTW1" s="8"/>
      <c r="HTX1" s="9"/>
      <c r="HTY1" s="8"/>
      <c r="HTZ1" s="9"/>
      <c r="HUA1" s="8"/>
      <c r="HUB1" s="9"/>
      <c r="HUC1" s="8"/>
      <c r="HUD1" s="9"/>
      <c r="HUE1" s="8"/>
      <c r="HUF1" s="9"/>
      <c r="HUG1" s="8"/>
      <c r="HUH1" s="9"/>
      <c r="HUI1" s="8"/>
      <c r="HUJ1" s="9"/>
      <c r="HUK1" s="8"/>
      <c r="HUL1" s="9"/>
      <c r="HUM1" s="8"/>
      <c r="HUN1" s="9"/>
      <c r="HUO1" s="8"/>
      <c r="HUP1" s="9"/>
      <c r="HUQ1" s="8"/>
      <c r="HUR1" s="9"/>
      <c r="HUS1" s="8"/>
      <c r="HUT1" s="9"/>
      <c r="HUU1" s="8"/>
      <c r="HUV1" s="9"/>
      <c r="HUW1" s="8"/>
      <c r="HUX1" s="9"/>
      <c r="HUY1" s="8"/>
      <c r="HUZ1" s="9"/>
      <c r="HVA1" s="8"/>
      <c r="HVB1" s="9"/>
      <c r="HVC1" s="8"/>
      <c r="HVD1" s="9"/>
      <c r="HVE1" s="8"/>
      <c r="HVF1" s="9"/>
      <c r="HVG1" s="8"/>
      <c r="HVH1" s="9"/>
      <c r="HVI1" s="8"/>
      <c r="HVJ1" s="9"/>
      <c r="HVK1" s="8"/>
      <c r="HVL1" s="9"/>
      <c r="HVM1" s="8"/>
      <c r="HVN1" s="9"/>
      <c r="HVO1" s="8"/>
      <c r="HVP1" s="9"/>
      <c r="HVQ1" s="8"/>
      <c r="HVR1" s="9"/>
      <c r="HVS1" s="8"/>
      <c r="HVT1" s="9"/>
      <c r="HVU1" s="8"/>
      <c r="HVV1" s="9"/>
      <c r="HVW1" s="8"/>
      <c r="HVX1" s="9"/>
      <c r="HVY1" s="8"/>
      <c r="HVZ1" s="9"/>
      <c r="HWA1" s="8"/>
      <c r="HWB1" s="9"/>
      <c r="HWC1" s="8"/>
      <c r="HWD1" s="9"/>
      <c r="HWE1" s="8"/>
      <c r="HWF1" s="9"/>
      <c r="HWG1" s="8"/>
      <c r="HWH1" s="9"/>
      <c r="HWI1" s="8"/>
      <c r="HWJ1" s="9"/>
      <c r="HWK1" s="8"/>
      <c r="HWL1" s="9"/>
      <c r="HWM1" s="8"/>
      <c r="HWN1" s="9"/>
      <c r="HWO1" s="8"/>
      <c r="HWP1" s="9"/>
      <c r="HWQ1" s="8"/>
      <c r="HWR1" s="9"/>
      <c r="HWS1" s="8"/>
      <c r="HWT1" s="9"/>
      <c r="HWU1" s="8"/>
      <c r="HWV1" s="9"/>
      <c r="HWW1" s="8"/>
      <c r="HWX1" s="9"/>
      <c r="HWY1" s="8"/>
      <c r="HWZ1" s="9"/>
      <c r="HXA1" s="8"/>
      <c r="HXB1" s="9"/>
      <c r="HXC1" s="8"/>
      <c r="HXD1" s="9"/>
      <c r="HXE1" s="8"/>
      <c r="HXF1" s="9"/>
      <c r="HXG1" s="8"/>
      <c r="HXH1" s="9"/>
      <c r="HXI1" s="8"/>
      <c r="HXJ1" s="9"/>
      <c r="HXK1" s="8"/>
      <c r="HXL1" s="9"/>
      <c r="HXM1" s="8"/>
      <c r="HXN1" s="9"/>
      <c r="HXO1" s="8"/>
      <c r="HXP1" s="9"/>
      <c r="HXQ1" s="8"/>
      <c r="HXR1" s="9"/>
      <c r="HXS1" s="8"/>
      <c r="HXT1" s="9"/>
      <c r="HXU1" s="8"/>
      <c r="HXV1" s="9"/>
      <c r="HXW1" s="8"/>
      <c r="HXX1" s="9"/>
      <c r="HXY1" s="8"/>
      <c r="HXZ1" s="9"/>
      <c r="HYA1" s="8"/>
      <c r="HYB1" s="9"/>
      <c r="HYC1" s="8"/>
      <c r="HYD1" s="9"/>
      <c r="HYE1" s="8"/>
      <c r="HYF1" s="9"/>
      <c r="HYG1" s="8"/>
      <c r="HYH1" s="9"/>
      <c r="HYI1" s="8"/>
      <c r="HYJ1" s="9"/>
      <c r="HYK1" s="8"/>
      <c r="HYL1" s="9"/>
      <c r="HYM1" s="8"/>
      <c r="HYN1" s="9"/>
      <c r="HYO1" s="8"/>
      <c r="HYP1" s="9"/>
      <c r="HYQ1" s="8"/>
      <c r="HYR1" s="9"/>
      <c r="HYS1" s="8"/>
      <c r="HYT1" s="9"/>
      <c r="HYU1" s="8"/>
      <c r="HYV1" s="9"/>
      <c r="HYW1" s="8"/>
      <c r="HYX1" s="9"/>
      <c r="HYY1" s="8"/>
      <c r="HYZ1" s="9"/>
      <c r="HZA1" s="8"/>
      <c r="HZB1" s="9"/>
      <c r="HZC1" s="8"/>
      <c r="HZD1" s="9"/>
      <c r="HZE1" s="8"/>
      <c r="HZF1" s="9"/>
      <c r="HZG1" s="8"/>
      <c r="HZH1" s="9"/>
      <c r="HZI1" s="8"/>
      <c r="HZJ1" s="9"/>
      <c r="HZK1" s="8"/>
      <c r="HZL1" s="9"/>
      <c r="HZM1" s="8"/>
      <c r="HZN1" s="9"/>
      <c r="HZO1" s="8"/>
      <c r="HZP1" s="9"/>
      <c r="HZQ1" s="8"/>
      <c r="HZR1" s="9"/>
      <c r="HZS1" s="8"/>
      <c r="HZT1" s="9"/>
      <c r="HZU1" s="8"/>
      <c r="HZV1" s="9"/>
      <c r="HZW1" s="8"/>
      <c r="HZX1" s="9"/>
      <c r="HZY1" s="8"/>
      <c r="HZZ1" s="9"/>
      <c r="IAA1" s="8"/>
      <c r="IAB1" s="9"/>
      <c r="IAC1" s="8"/>
      <c r="IAD1" s="9"/>
      <c r="IAE1" s="8"/>
      <c r="IAF1" s="9"/>
      <c r="IAG1" s="8"/>
      <c r="IAH1" s="9"/>
      <c r="IAI1" s="8"/>
      <c r="IAJ1" s="9"/>
      <c r="IAK1" s="8"/>
      <c r="IAL1" s="9"/>
      <c r="IAM1" s="8"/>
      <c r="IAN1" s="9"/>
      <c r="IAO1" s="8"/>
      <c r="IAP1" s="9"/>
      <c r="IAQ1" s="8"/>
      <c r="IAR1" s="9"/>
      <c r="IAS1" s="8"/>
      <c r="IAT1" s="9"/>
      <c r="IAU1" s="8"/>
      <c r="IAV1" s="9"/>
      <c r="IAW1" s="8"/>
      <c r="IAX1" s="9"/>
      <c r="IAY1" s="8"/>
      <c r="IAZ1" s="9"/>
      <c r="IBA1" s="8"/>
      <c r="IBB1" s="9"/>
      <c r="IBC1" s="8"/>
      <c r="IBD1" s="9"/>
      <c r="IBE1" s="8"/>
      <c r="IBF1" s="9"/>
      <c r="IBG1" s="8"/>
      <c r="IBH1" s="9"/>
      <c r="IBI1" s="8"/>
      <c r="IBJ1" s="9"/>
      <c r="IBK1" s="8"/>
      <c r="IBL1" s="9"/>
      <c r="IBM1" s="8"/>
      <c r="IBN1" s="9"/>
      <c r="IBO1" s="8"/>
      <c r="IBP1" s="9"/>
      <c r="IBQ1" s="8"/>
      <c r="IBR1" s="9"/>
      <c r="IBS1" s="8"/>
      <c r="IBT1" s="9"/>
      <c r="IBU1" s="8"/>
      <c r="IBV1" s="9"/>
      <c r="IBW1" s="8"/>
      <c r="IBX1" s="9"/>
      <c r="IBY1" s="8"/>
      <c r="IBZ1" s="9"/>
      <c r="ICA1" s="8"/>
      <c r="ICB1" s="9"/>
      <c r="ICC1" s="8"/>
      <c r="ICD1" s="9"/>
      <c r="ICE1" s="8"/>
      <c r="ICF1" s="9"/>
      <c r="ICG1" s="8"/>
      <c r="ICH1" s="9"/>
      <c r="ICI1" s="8"/>
      <c r="ICJ1" s="9"/>
      <c r="ICK1" s="8"/>
      <c r="ICL1" s="9"/>
      <c r="ICM1" s="8"/>
      <c r="ICN1" s="9"/>
      <c r="ICO1" s="8"/>
      <c r="ICP1" s="9"/>
      <c r="ICQ1" s="8"/>
      <c r="ICR1" s="9"/>
      <c r="ICS1" s="8"/>
      <c r="ICT1" s="9"/>
      <c r="ICU1" s="8"/>
      <c r="ICV1" s="9"/>
      <c r="ICW1" s="8"/>
      <c r="ICX1" s="9"/>
      <c r="ICY1" s="8"/>
      <c r="ICZ1" s="9"/>
      <c r="IDA1" s="8"/>
      <c r="IDB1" s="9"/>
      <c r="IDC1" s="8"/>
      <c r="IDD1" s="9"/>
      <c r="IDE1" s="8"/>
      <c r="IDF1" s="9"/>
      <c r="IDG1" s="8"/>
      <c r="IDH1" s="9"/>
      <c r="IDI1" s="8"/>
      <c r="IDJ1" s="9"/>
      <c r="IDK1" s="8"/>
      <c r="IDL1" s="9"/>
      <c r="IDM1" s="8"/>
      <c r="IDN1" s="9"/>
      <c r="IDO1" s="8"/>
      <c r="IDP1" s="9"/>
      <c r="IDQ1" s="8"/>
      <c r="IDR1" s="9"/>
      <c r="IDS1" s="8"/>
      <c r="IDT1" s="9"/>
      <c r="IDU1" s="8"/>
      <c r="IDV1" s="9"/>
      <c r="IDW1" s="8"/>
      <c r="IDX1" s="9"/>
      <c r="IDY1" s="8"/>
      <c r="IDZ1" s="9"/>
      <c r="IEA1" s="8"/>
      <c r="IEB1" s="9"/>
      <c r="IEC1" s="8"/>
      <c r="IED1" s="9"/>
      <c r="IEE1" s="8"/>
      <c r="IEF1" s="9"/>
      <c r="IEG1" s="8"/>
      <c r="IEH1" s="9"/>
      <c r="IEI1" s="8"/>
      <c r="IEJ1" s="9"/>
      <c r="IEK1" s="8"/>
      <c r="IEL1" s="9"/>
      <c r="IEM1" s="8"/>
      <c r="IEN1" s="9"/>
      <c r="IEO1" s="8"/>
      <c r="IEP1" s="9"/>
      <c r="IEQ1" s="8"/>
      <c r="IER1" s="9"/>
      <c r="IES1" s="8"/>
      <c r="IET1" s="9"/>
      <c r="IEU1" s="8"/>
      <c r="IEV1" s="9"/>
      <c r="IEW1" s="8"/>
      <c r="IEX1" s="9"/>
      <c r="IEY1" s="8"/>
      <c r="IEZ1" s="9"/>
      <c r="IFA1" s="8"/>
      <c r="IFB1" s="9"/>
      <c r="IFC1" s="8"/>
      <c r="IFD1" s="9"/>
      <c r="IFE1" s="8"/>
      <c r="IFF1" s="9"/>
      <c r="IFG1" s="8"/>
      <c r="IFH1" s="9"/>
      <c r="IFI1" s="8"/>
      <c r="IFJ1" s="9"/>
      <c r="IFK1" s="8"/>
      <c r="IFL1" s="9"/>
      <c r="IFM1" s="8"/>
      <c r="IFN1" s="9"/>
      <c r="IFO1" s="8"/>
      <c r="IFP1" s="9"/>
      <c r="IFQ1" s="8"/>
      <c r="IFR1" s="9"/>
      <c r="IFS1" s="8"/>
      <c r="IFT1" s="9"/>
      <c r="IFU1" s="8"/>
      <c r="IFV1" s="9"/>
      <c r="IFW1" s="8"/>
      <c r="IFX1" s="9"/>
      <c r="IFY1" s="8"/>
      <c r="IFZ1" s="9"/>
      <c r="IGA1" s="8"/>
      <c r="IGB1" s="9"/>
      <c r="IGC1" s="8"/>
      <c r="IGD1" s="9"/>
      <c r="IGE1" s="8"/>
      <c r="IGF1" s="9"/>
      <c r="IGG1" s="8"/>
      <c r="IGH1" s="9"/>
      <c r="IGI1" s="8"/>
      <c r="IGJ1" s="9"/>
      <c r="IGK1" s="8"/>
      <c r="IGL1" s="9"/>
      <c r="IGM1" s="8"/>
      <c r="IGN1" s="9"/>
      <c r="IGO1" s="8"/>
      <c r="IGP1" s="9"/>
      <c r="IGQ1" s="8"/>
      <c r="IGR1" s="9"/>
      <c r="IGS1" s="8"/>
      <c r="IGT1" s="9"/>
      <c r="IGU1" s="8"/>
      <c r="IGV1" s="9"/>
      <c r="IGW1" s="8"/>
      <c r="IGX1" s="9"/>
      <c r="IGY1" s="8"/>
      <c r="IGZ1" s="9"/>
      <c r="IHA1" s="8"/>
      <c r="IHB1" s="9"/>
      <c r="IHC1" s="8"/>
      <c r="IHD1" s="9"/>
      <c r="IHE1" s="8"/>
      <c r="IHF1" s="9"/>
      <c r="IHG1" s="8"/>
      <c r="IHH1" s="9"/>
      <c r="IHI1" s="8"/>
      <c r="IHJ1" s="9"/>
      <c r="IHK1" s="8"/>
      <c r="IHL1" s="9"/>
      <c r="IHM1" s="8"/>
      <c r="IHN1" s="9"/>
      <c r="IHO1" s="8"/>
      <c r="IHP1" s="9"/>
      <c r="IHQ1" s="8"/>
      <c r="IHR1" s="9"/>
      <c r="IHS1" s="8"/>
      <c r="IHT1" s="9"/>
      <c r="IHU1" s="8"/>
      <c r="IHV1" s="9"/>
      <c r="IHW1" s="8"/>
      <c r="IHX1" s="9"/>
      <c r="IHY1" s="8"/>
      <c r="IHZ1" s="9"/>
      <c r="IIA1" s="8"/>
      <c r="IIB1" s="9"/>
      <c r="IIC1" s="8"/>
      <c r="IID1" s="9"/>
      <c r="IIE1" s="8"/>
      <c r="IIF1" s="9"/>
      <c r="IIG1" s="8"/>
      <c r="IIH1" s="9"/>
      <c r="III1" s="8"/>
      <c r="IIJ1" s="9"/>
      <c r="IIK1" s="8"/>
      <c r="IIL1" s="9"/>
      <c r="IIM1" s="8"/>
      <c r="IIN1" s="9"/>
      <c r="IIO1" s="8"/>
      <c r="IIP1" s="9"/>
      <c r="IIQ1" s="8"/>
      <c r="IIR1" s="9"/>
      <c r="IIS1" s="8"/>
      <c r="IIT1" s="9"/>
      <c r="IIU1" s="8"/>
      <c r="IIV1" s="9"/>
      <c r="IIW1" s="8"/>
      <c r="IIX1" s="9"/>
      <c r="IIY1" s="8"/>
      <c r="IIZ1" s="9"/>
      <c r="IJA1" s="8"/>
      <c r="IJB1" s="9"/>
      <c r="IJC1" s="8"/>
      <c r="IJD1" s="9"/>
      <c r="IJE1" s="8"/>
      <c r="IJF1" s="9"/>
      <c r="IJG1" s="8"/>
      <c r="IJH1" s="9"/>
      <c r="IJI1" s="8"/>
      <c r="IJJ1" s="9"/>
      <c r="IJK1" s="8"/>
      <c r="IJL1" s="9"/>
      <c r="IJM1" s="8"/>
      <c r="IJN1" s="9"/>
      <c r="IJO1" s="8"/>
      <c r="IJP1" s="9"/>
      <c r="IJQ1" s="8"/>
      <c r="IJR1" s="9"/>
      <c r="IJS1" s="8"/>
      <c r="IJT1" s="9"/>
      <c r="IJU1" s="8"/>
      <c r="IJV1" s="9"/>
      <c r="IJW1" s="8"/>
      <c r="IJX1" s="9"/>
      <c r="IJY1" s="8"/>
      <c r="IJZ1" s="9"/>
      <c r="IKA1" s="8"/>
      <c r="IKB1" s="9"/>
      <c r="IKC1" s="8"/>
      <c r="IKD1" s="9"/>
      <c r="IKE1" s="8"/>
      <c r="IKF1" s="9"/>
      <c r="IKG1" s="8"/>
      <c r="IKH1" s="9"/>
      <c r="IKI1" s="8"/>
      <c r="IKJ1" s="9"/>
      <c r="IKK1" s="8"/>
      <c r="IKL1" s="9"/>
      <c r="IKM1" s="8"/>
      <c r="IKN1" s="9"/>
      <c r="IKO1" s="8"/>
      <c r="IKP1" s="9"/>
      <c r="IKQ1" s="8"/>
      <c r="IKR1" s="9"/>
      <c r="IKS1" s="8"/>
      <c r="IKT1" s="9"/>
      <c r="IKU1" s="8"/>
      <c r="IKV1" s="9"/>
      <c r="IKW1" s="8"/>
      <c r="IKX1" s="9"/>
      <c r="IKY1" s="8"/>
      <c r="IKZ1" s="9"/>
      <c r="ILA1" s="8"/>
      <c r="ILB1" s="9"/>
      <c r="ILC1" s="8"/>
      <c r="ILD1" s="9"/>
      <c r="ILE1" s="8"/>
      <c r="ILF1" s="9"/>
      <c r="ILG1" s="8"/>
      <c r="ILH1" s="9"/>
      <c r="ILI1" s="8"/>
      <c r="ILJ1" s="9"/>
      <c r="ILK1" s="8"/>
      <c r="ILL1" s="9"/>
      <c r="ILM1" s="8"/>
      <c r="ILN1" s="9"/>
      <c r="ILO1" s="8"/>
      <c r="ILP1" s="9"/>
      <c r="ILQ1" s="8"/>
      <c r="ILR1" s="9"/>
      <c r="ILS1" s="8"/>
      <c r="ILT1" s="9"/>
      <c r="ILU1" s="8"/>
      <c r="ILV1" s="9"/>
      <c r="ILW1" s="8"/>
      <c r="ILX1" s="9"/>
      <c r="ILY1" s="8"/>
      <c r="ILZ1" s="9"/>
      <c r="IMA1" s="8"/>
      <c r="IMB1" s="9"/>
      <c r="IMC1" s="8"/>
      <c r="IMD1" s="9"/>
      <c r="IME1" s="8"/>
      <c r="IMF1" s="9"/>
      <c r="IMG1" s="8"/>
      <c r="IMH1" s="9"/>
      <c r="IMI1" s="8"/>
      <c r="IMJ1" s="9"/>
      <c r="IMK1" s="8"/>
      <c r="IML1" s="9"/>
      <c r="IMM1" s="8"/>
      <c r="IMN1" s="9"/>
      <c r="IMO1" s="8"/>
      <c r="IMP1" s="9"/>
      <c r="IMQ1" s="8"/>
      <c r="IMR1" s="9"/>
      <c r="IMS1" s="8"/>
      <c r="IMT1" s="9"/>
      <c r="IMU1" s="8"/>
      <c r="IMV1" s="9"/>
      <c r="IMW1" s="8"/>
      <c r="IMX1" s="9"/>
      <c r="IMY1" s="8"/>
      <c r="IMZ1" s="9"/>
      <c r="INA1" s="8"/>
      <c r="INB1" s="9"/>
      <c r="INC1" s="8"/>
      <c r="IND1" s="9"/>
      <c r="INE1" s="8"/>
      <c r="INF1" s="9"/>
      <c r="ING1" s="8"/>
      <c r="INH1" s="9"/>
      <c r="INI1" s="8"/>
      <c r="INJ1" s="9"/>
      <c r="INK1" s="8"/>
      <c r="INL1" s="9"/>
      <c r="INM1" s="8"/>
      <c r="INN1" s="9"/>
      <c r="INO1" s="8"/>
      <c r="INP1" s="9"/>
      <c r="INQ1" s="8"/>
      <c r="INR1" s="9"/>
      <c r="INS1" s="8"/>
      <c r="INT1" s="9"/>
      <c r="INU1" s="8"/>
      <c r="INV1" s="9"/>
      <c r="INW1" s="8"/>
      <c r="INX1" s="9"/>
      <c r="INY1" s="8"/>
      <c r="INZ1" s="9"/>
      <c r="IOA1" s="8"/>
      <c r="IOB1" s="9"/>
      <c r="IOC1" s="8"/>
      <c r="IOD1" s="9"/>
      <c r="IOE1" s="8"/>
      <c r="IOF1" s="9"/>
      <c r="IOG1" s="8"/>
      <c r="IOH1" s="9"/>
      <c r="IOI1" s="8"/>
      <c r="IOJ1" s="9"/>
      <c r="IOK1" s="8"/>
      <c r="IOL1" s="9"/>
      <c r="IOM1" s="8"/>
      <c r="ION1" s="9"/>
      <c r="IOO1" s="8"/>
      <c r="IOP1" s="9"/>
      <c r="IOQ1" s="8"/>
      <c r="IOR1" s="9"/>
      <c r="IOS1" s="8"/>
      <c r="IOT1" s="9"/>
      <c r="IOU1" s="8"/>
      <c r="IOV1" s="9"/>
      <c r="IOW1" s="8"/>
      <c r="IOX1" s="9"/>
      <c r="IOY1" s="8"/>
      <c r="IOZ1" s="9"/>
      <c r="IPA1" s="8"/>
      <c r="IPB1" s="9"/>
      <c r="IPC1" s="8"/>
      <c r="IPD1" s="9"/>
      <c r="IPE1" s="8"/>
      <c r="IPF1" s="9"/>
      <c r="IPG1" s="8"/>
      <c r="IPH1" s="9"/>
      <c r="IPI1" s="8"/>
      <c r="IPJ1" s="9"/>
      <c r="IPK1" s="8"/>
      <c r="IPL1" s="9"/>
      <c r="IPM1" s="8"/>
      <c r="IPN1" s="9"/>
      <c r="IPO1" s="8"/>
      <c r="IPP1" s="9"/>
      <c r="IPQ1" s="8"/>
      <c r="IPR1" s="9"/>
      <c r="IPS1" s="8"/>
      <c r="IPT1" s="9"/>
      <c r="IPU1" s="8"/>
      <c r="IPV1" s="9"/>
      <c r="IPW1" s="8"/>
      <c r="IPX1" s="9"/>
      <c r="IPY1" s="8"/>
      <c r="IPZ1" s="9"/>
      <c r="IQA1" s="8"/>
      <c r="IQB1" s="9"/>
      <c r="IQC1" s="8"/>
      <c r="IQD1" s="9"/>
      <c r="IQE1" s="8"/>
      <c r="IQF1" s="9"/>
      <c r="IQG1" s="8"/>
      <c r="IQH1" s="9"/>
      <c r="IQI1" s="8"/>
      <c r="IQJ1" s="9"/>
      <c r="IQK1" s="8"/>
      <c r="IQL1" s="9"/>
      <c r="IQM1" s="8"/>
      <c r="IQN1" s="9"/>
      <c r="IQO1" s="8"/>
      <c r="IQP1" s="9"/>
      <c r="IQQ1" s="8"/>
      <c r="IQR1" s="9"/>
      <c r="IQS1" s="8"/>
      <c r="IQT1" s="9"/>
      <c r="IQU1" s="8"/>
      <c r="IQV1" s="9"/>
      <c r="IQW1" s="8"/>
      <c r="IQX1" s="9"/>
      <c r="IQY1" s="8"/>
      <c r="IQZ1" s="9"/>
      <c r="IRA1" s="8"/>
      <c r="IRB1" s="9"/>
      <c r="IRC1" s="8"/>
      <c r="IRD1" s="9"/>
      <c r="IRE1" s="8"/>
      <c r="IRF1" s="9"/>
      <c r="IRG1" s="8"/>
      <c r="IRH1" s="9"/>
      <c r="IRI1" s="8"/>
      <c r="IRJ1" s="9"/>
      <c r="IRK1" s="8"/>
      <c r="IRL1" s="9"/>
      <c r="IRM1" s="8"/>
      <c r="IRN1" s="9"/>
      <c r="IRO1" s="8"/>
      <c r="IRP1" s="9"/>
      <c r="IRQ1" s="8"/>
      <c r="IRR1" s="9"/>
      <c r="IRS1" s="8"/>
      <c r="IRT1" s="9"/>
      <c r="IRU1" s="8"/>
      <c r="IRV1" s="9"/>
      <c r="IRW1" s="8"/>
      <c r="IRX1" s="9"/>
      <c r="IRY1" s="8"/>
      <c r="IRZ1" s="9"/>
      <c r="ISA1" s="8"/>
      <c r="ISB1" s="9"/>
      <c r="ISC1" s="8"/>
      <c r="ISD1" s="9"/>
      <c r="ISE1" s="8"/>
      <c r="ISF1" s="9"/>
      <c r="ISG1" s="8"/>
      <c r="ISH1" s="9"/>
      <c r="ISI1" s="8"/>
      <c r="ISJ1" s="9"/>
      <c r="ISK1" s="8"/>
      <c r="ISL1" s="9"/>
      <c r="ISM1" s="8"/>
      <c r="ISN1" s="9"/>
      <c r="ISO1" s="8"/>
      <c r="ISP1" s="9"/>
      <c r="ISQ1" s="8"/>
      <c r="ISR1" s="9"/>
      <c r="ISS1" s="8"/>
      <c r="IST1" s="9"/>
      <c r="ISU1" s="8"/>
      <c r="ISV1" s="9"/>
      <c r="ISW1" s="8"/>
      <c r="ISX1" s="9"/>
      <c r="ISY1" s="8"/>
      <c r="ISZ1" s="9"/>
      <c r="ITA1" s="8"/>
      <c r="ITB1" s="9"/>
      <c r="ITC1" s="8"/>
      <c r="ITD1" s="9"/>
      <c r="ITE1" s="8"/>
      <c r="ITF1" s="9"/>
      <c r="ITG1" s="8"/>
      <c r="ITH1" s="9"/>
      <c r="ITI1" s="8"/>
      <c r="ITJ1" s="9"/>
      <c r="ITK1" s="8"/>
      <c r="ITL1" s="9"/>
      <c r="ITM1" s="8"/>
      <c r="ITN1" s="9"/>
      <c r="ITO1" s="8"/>
      <c r="ITP1" s="9"/>
      <c r="ITQ1" s="8"/>
      <c r="ITR1" s="9"/>
      <c r="ITS1" s="8"/>
      <c r="ITT1" s="9"/>
      <c r="ITU1" s="8"/>
      <c r="ITV1" s="9"/>
      <c r="ITW1" s="8"/>
      <c r="ITX1" s="9"/>
      <c r="ITY1" s="8"/>
      <c r="ITZ1" s="9"/>
      <c r="IUA1" s="8"/>
      <c r="IUB1" s="9"/>
      <c r="IUC1" s="8"/>
      <c r="IUD1" s="9"/>
      <c r="IUE1" s="8"/>
      <c r="IUF1" s="9"/>
      <c r="IUG1" s="8"/>
      <c r="IUH1" s="9"/>
      <c r="IUI1" s="8"/>
      <c r="IUJ1" s="9"/>
      <c r="IUK1" s="8"/>
      <c r="IUL1" s="9"/>
      <c r="IUM1" s="8"/>
      <c r="IUN1" s="9"/>
      <c r="IUO1" s="8"/>
      <c r="IUP1" s="9"/>
      <c r="IUQ1" s="8"/>
      <c r="IUR1" s="9"/>
      <c r="IUS1" s="8"/>
      <c r="IUT1" s="9"/>
      <c r="IUU1" s="8"/>
      <c r="IUV1" s="9"/>
      <c r="IUW1" s="8"/>
      <c r="IUX1" s="9"/>
      <c r="IUY1" s="8"/>
      <c r="IUZ1" s="9"/>
      <c r="IVA1" s="8"/>
      <c r="IVB1" s="9"/>
      <c r="IVC1" s="8"/>
      <c r="IVD1" s="9"/>
      <c r="IVE1" s="8"/>
      <c r="IVF1" s="9"/>
      <c r="IVG1" s="8"/>
      <c r="IVH1" s="9"/>
      <c r="IVI1" s="8"/>
      <c r="IVJ1" s="9"/>
      <c r="IVK1" s="8"/>
      <c r="IVL1" s="9"/>
      <c r="IVM1" s="8"/>
      <c r="IVN1" s="9"/>
      <c r="IVO1" s="8"/>
      <c r="IVP1" s="9"/>
      <c r="IVQ1" s="8"/>
      <c r="IVR1" s="9"/>
      <c r="IVS1" s="8"/>
      <c r="IVT1" s="9"/>
      <c r="IVU1" s="8"/>
      <c r="IVV1" s="9"/>
      <c r="IVW1" s="8"/>
      <c r="IVX1" s="9"/>
      <c r="IVY1" s="8"/>
      <c r="IVZ1" s="9"/>
      <c r="IWA1" s="8"/>
      <c r="IWB1" s="9"/>
      <c r="IWC1" s="8"/>
      <c r="IWD1" s="9"/>
      <c r="IWE1" s="8"/>
      <c r="IWF1" s="9"/>
      <c r="IWG1" s="8"/>
      <c r="IWH1" s="9"/>
      <c r="IWI1" s="8"/>
      <c r="IWJ1" s="9"/>
      <c r="IWK1" s="8"/>
      <c r="IWL1" s="9"/>
      <c r="IWM1" s="8"/>
      <c r="IWN1" s="9"/>
      <c r="IWO1" s="8"/>
      <c r="IWP1" s="9"/>
      <c r="IWQ1" s="8"/>
      <c r="IWR1" s="9"/>
      <c r="IWS1" s="8"/>
      <c r="IWT1" s="9"/>
      <c r="IWU1" s="8"/>
      <c r="IWV1" s="9"/>
      <c r="IWW1" s="8"/>
      <c r="IWX1" s="9"/>
      <c r="IWY1" s="8"/>
      <c r="IWZ1" s="9"/>
      <c r="IXA1" s="8"/>
      <c r="IXB1" s="9"/>
      <c r="IXC1" s="8"/>
      <c r="IXD1" s="9"/>
      <c r="IXE1" s="8"/>
      <c r="IXF1" s="9"/>
      <c r="IXG1" s="8"/>
      <c r="IXH1" s="9"/>
      <c r="IXI1" s="8"/>
      <c r="IXJ1" s="9"/>
      <c r="IXK1" s="8"/>
      <c r="IXL1" s="9"/>
      <c r="IXM1" s="8"/>
      <c r="IXN1" s="9"/>
      <c r="IXO1" s="8"/>
      <c r="IXP1" s="9"/>
      <c r="IXQ1" s="8"/>
      <c r="IXR1" s="9"/>
      <c r="IXS1" s="8"/>
      <c r="IXT1" s="9"/>
      <c r="IXU1" s="8"/>
      <c r="IXV1" s="9"/>
      <c r="IXW1" s="8"/>
      <c r="IXX1" s="9"/>
      <c r="IXY1" s="8"/>
      <c r="IXZ1" s="9"/>
      <c r="IYA1" s="8"/>
      <c r="IYB1" s="9"/>
      <c r="IYC1" s="8"/>
      <c r="IYD1" s="9"/>
      <c r="IYE1" s="8"/>
      <c r="IYF1" s="9"/>
      <c r="IYG1" s="8"/>
      <c r="IYH1" s="9"/>
      <c r="IYI1" s="8"/>
      <c r="IYJ1" s="9"/>
      <c r="IYK1" s="8"/>
      <c r="IYL1" s="9"/>
      <c r="IYM1" s="8"/>
      <c r="IYN1" s="9"/>
      <c r="IYO1" s="8"/>
      <c r="IYP1" s="9"/>
      <c r="IYQ1" s="8"/>
      <c r="IYR1" s="9"/>
      <c r="IYS1" s="8"/>
      <c r="IYT1" s="9"/>
      <c r="IYU1" s="8"/>
      <c r="IYV1" s="9"/>
      <c r="IYW1" s="8"/>
      <c r="IYX1" s="9"/>
      <c r="IYY1" s="8"/>
      <c r="IYZ1" s="9"/>
      <c r="IZA1" s="8"/>
      <c r="IZB1" s="9"/>
      <c r="IZC1" s="8"/>
      <c r="IZD1" s="9"/>
      <c r="IZE1" s="8"/>
      <c r="IZF1" s="9"/>
      <c r="IZG1" s="8"/>
      <c r="IZH1" s="9"/>
      <c r="IZI1" s="8"/>
      <c r="IZJ1" s="9"/>
      <c r="IZK1" s="8"/>
      <c r="IZL1" s="9"/>
      <c r="IZM1" s="8"/>
      <c r="IZN1" s="9"/>
      <c r="IZO1" s="8"/>
      <c r="IZP1" s="9"/>
      <c r="IZQ1" s="8"/>
      <c r="IZR1" s="9"/>
      <c r="IZS1" s="8"/>
      <c r="IZT1" s="9"/>
      <c r="IZU1" s="8"/>
      <c r="IZV1" s="9"/>
      <c r="IZW1" s="8"/>
      <c r="IZX1" s="9"/>
      <c r="IZY1" s="8"/>
      <c r="IZZ1" s="9"/>
      <c r="JAA1" s="8"/>
      <c r="JAB1" s="9"/>
      <c r="JAC1" s="8"/>
      <c r="JAD1" s="9"/>
      <c r="JAE1" s="8"/>
      <c r="JAF1" s="9"/>
      <c r="JAG1" s="8"/>
      <c r="JAH1" s="9"/>
      <c r="JAI1" s="8"/>
      <c r="JAJ1" s="9"/>
      <c r="JAK1" s="8"/>
      <c r="JAL1" s="9"/>
      <c r="JAM1" s="8"/>
      <c r="JAN1" s="9"/>
      <c r="JAO1" s="8"/>
      <c r="JAP1" s="9"/>
      <c r="JAQ1" s="8"/>
      <c r="JAR1" s="9"/>
      <c r="JAS1" s="8"/>
      <c r="JAT1" s="9"/>
      <c r="JAU1" s="8"/>
      <c r="JAV1" s="9"/>
      <c r="JAW1" s="8"/>
      <c r="JAX1" s="9"/>
      <c r="JAY1" s="8"/>
      <c r="JAZ1" s="9"/>
      <c r="JBA1" s="8"/>
      <c r="JBB1" s="9"/>
      <c r="JBC1" s="8"/>
      <c r="JBD1" s="9"/>
      <c r="JBE1" s="8"/>
      <c r="JBF1" s="9"/>
      <c r="JBG1" s="8"/>
      <c r="JBH1" s="9"/>
      <c r="JBI1" s="8"/>
      <c r="JBJ1" s="9"/>
      <c r="JBK1" s="8"/>
      <c r="JBL1" s="9"/>
      <c r="JBM1" s="8"/>
      <c r="JBN1" s="9"/>
      <c r="JBO1" s="8"/>
      <c r="JBP1" s="9"/>
      <c r="JBQ1" s="8"/>
      <c r="JBR1" s="9"/>
      <c r="JBS1" s="8"/>
      <c r="JBT1" s="9"/>
      <c r="JBU1" s="8"/>
      <c r="JBV1" s="9"/>
      <c r="JBW1" s="8"/>
      <c r="JBX1" s="9"/>
      <c r="JBY1" s="8"/>
      <c r="JBZ1" s="9"/>
      <c r="JCA1" s="8"/>
      <c r="JCB1" s="9"/>
      <c r="JCC1" s="8"/>
      <c r="JCD1" s="9"/>
      <c r="JCE1" s="8"/>
      <c r="JCF1" s="9"/>
      <c r="JCG1" s="8"/>
      <c r="JCH1" s="9"/>
      <c r="JCI1" s="8"/>
      <c r="JCJ1" s="9"/>
      <c r="JCK1" s="8"/>
      <c r="JCL1" s="9"/>
      <c r="JCM1" s="8"/>
      <c r="JCN1" s="9"/>
      <c r="JCO1" s="8"/>
      <c r="JCP1" s="9"/>
      <c r="JCQ1" s="8"/>
      <c r="JCR1" s="9"/>
      <c r="JCS1" s="8"/>
      <c r="JCT1" s="9"/>
      <c r="JCU1" s="8"/>
      <c r="JCV1" s="9"/>
      <c r="JCW1" s="8"/>
      <c r="JCX1" s="9"/>
      <c r="JCY1" s="8"/>
      <c r="JCZ1" s="9"/>
      <c r="JDA1" s="8"/>
      <c r="JDB1" s="9"/>
      <c r="JDC1" s="8"/>
      <c r="JDD1" s="9"/>
      <c r="JDE1" s="8"/>
      <c r="JDF1" s="9"/>
      <c r="JDG1" s="8"/>
      <c r="JDH1" s="9"/>
      <c r="JDI1" s="8"/>
      <c r="JDJ1" s="9"/>
      <c r="JDK1" s="8"/>
      <c r="JDL1" s="9"/>
      <c r="JDM1" s="8"/>
      <c r="JDN1" s="9"/>
      <c r="JDO1" s="8"/>
      <c r="JDP1" s="9"/>
      <c r="JDQ1" s="8"/>
      <c r="JDR1" s="9"/>
      <c r="JDS1" s="8"/>
      <c r="JDT1" s="9"/>
      <c r="JDU1" s="8"/>
      <c r="JDV1" s="9"/>
      <c r="JDW1" s="8"/>
      <c r="JDX1" s="9"/>
      <c r="JDY1" s="8"/>
      <c r="JDZ1" s="9"/>
      <c r="JEA1" s="8"/>
      <c r="JEB1" s="9"/>
      <c r="JEC1" s="8"/>
      <c r="JED1" s="9"/>
      <c r="JEE1" s="8"/>
      <c r="JEF1" s="9"/>
      <c r="JEG1" s="8"/>
      <c r="JEH1" s="9"/>
      <c r="JEI1" s="8"/>
      <c r="JEJ1" s="9"/>
      <c r="JEK1" s="8"/>
      <c r="JEL1" s="9"/>
      <c r="JEM1" s="8"/>
      <c r="JEN1" s="9"/>
      <c r="JEO1" s="8"/>
      <c r="JEP1" s="9"/>
      <c r="JEQ1" s="8"/>
      <c r="JER1" s="9"/>
      <c r="JES1" s="8"/>
      <c r="JET1" s="9"/>
      <c r="JEU1" s="8"/>
      <c r="JEV1" s="9"/>
      <c r="JEW1" s="8"/>
      <c r="JEX1" s="9"/>
      <c r="JEY1" s="8"/>
      <c r="JEZ1" s="9"/>
      <c r="JFA1" s="8"/>
      <c r="JFB1" s="9"/>
      <c r="JFC1" s="8"/>
      <c r="JFD1" s="9"/>
      <c r="JFE1" s="8"/>
      <c r="JFF1" s="9"/>
      <c r="JFG1" s="8"/>
      <c r="JFH1" s="9"/>
      <c r="JFI1" s="8"/>
      <c r="JFJ1" s="9"/>
      <c r="JFK1" s="8"/>
      <c r="JFL1" s="9"/>
      <c r="JFM1" s="8"/>
      <c r="JFN1" s="9"/>
      <c r="JFO1" s="8"/>
      <c r="JFP1" s="9"/>
      <c r="JFQ1" s="8"/>
      <c r="JFR1" s="9"/>
      <c r="JFS1" s="8"/>
      <c r="JFT1" s="9"/>
      <c r="JFU1" s="8"/>
      <c r="JFV1" s="9"/>
      <c r="JFW1" s="8"/>
      <c r="JFX1" s="9"/>
      <c r="JFY1" s="8"/>
      <c r="JFZ1" s="9"/>
      <c r="JGA1" s="8"/>
      <c r="JGB1" s="9"/>
      <c r="JGC1" s="8"/>
      <c r="JGD1" s="9"/>
      <c r="JGE1" s="8"/>
      <c r="JGF1" s="9"/>
      <c r="JGG1" s="8"/>
      <c r="JGH1" s="9"/>
      <c r="JGI1" s="8"/>
      <c r="JGJ1" s="9"/>
      <c r="JGK1" s="8"/>
      <c r="JGL1" s="9"/>
      <c r="JGM1" s="8"/>
      <c r="JGN1" s="9"/>
      <c r="JGO1" s="8"/>
      <c r="JGP1" s="9"/>
      <c r="JGQ1" s="8"/>
      <c r="JGR1" s="9"/>
      <c r="JGS1" s="8"/>
      <c r="JGT1" s="9"/>
      <c r="JGU1" s="8"/>
      <c r="JGV1" s="9"/>
      <c r="JGW1" s="8"/>
      <c r="JGX1" s="9"/>
      <c r="JGY1" s="8"/>
      <c r="JGZ1" s="9"/>
      <c r="JHA1" s="8"/>
      <c r="JHB1" s="9"/>
      <c r="JHC1" s="8"/>
      <c r="JHD1" s="9"/>
      <c r="JHE1" s="8"/>
      <c r="JHF1" s="9"/>
      <c r="JHG1" s="8"/>
      <c r="JHH1" s="9"/>
      <c r="JHI1" s="8"/>
      <c r="JHJ1" s="9"/>
      <c r="JHK1" s="8"/>
      <c r="JHL1" s="9"/>
      <c r="JHM1" s="8"/>
      <c r="JHN1" s="9"/>
      <c r="JHO1" s="8"/>
      <c r="JHP1" s="9"/>
      <c r="JHQ1" s="8"/>
      <c r="JHR1" s="9"/>
      <c r="JHS1" s="8"/>
      <c r="JHT1" s="9"/>
      <c r="JHU1" s="8"/>
      <c r="JHV1" s="9"/>
      <c r="JHW1" s="8"/>
      <c r="JHX1" s="9"/>
      <c r="JHY1" s="8"/>
      <c r="JHZ1" s="9"/>
      <c r="JIA1" s="8"/>
      <c r="JIB1" s="9"/>
      <c r="JIC1" s="8"/>
      <c r="JID1" s="9"/>
      <c r="JIE1" s="8"/>
      <c r="JIF1" s="9"/>
      <c r="JIG1" s="8"/>
      <c r="JIH1" s="9"/>
      <c r="JII1" s="8"/>
      <c r="JIJ1" s="9"/>
      <c r="JIK1" s="8"/>
      <c r="JIL1" s="9"/>
      <c r="JIM1" s="8"/>
      <c r="JIN1" s="9"/>
      <c r="JIO1" s="8"/>
      <c r="JIP1" s="9"/>
      <c r="JIQ1" s="8"/>
      <c r="JIR1" s="9"/>
      <c r="JIS1" s="8"/>
      <c r="JIT1" s="9"/>
      <c r="JIU1" s="8"/>
      <c r="JIV1" s="9"/>
      <c r="JIW1" s="8"/>
      <c r="JIX1" s="9"/>
      <c r="JIY1" s="8"/>
      <c r="JIZ1" s="9"/>
      <c r="JJA1" s="8"/>
      <c r="JJB1" s="9"/>
      <c r="JJC1" s="8"/>
      <c r="JJD1" s="9"/>
      <c r="JJE1" s="8"/>
      <c r="JJF1" s="9"/>
      <c r="JJG1" s="8"/>
      <c r="JJH1" s="9"/>
      <c r="JJI1" s="8"/>
      <c r="JJJ1" s="9"/>
      <c r="JJK1" s="8"/>
      <c r="JJL1" s="9"/>
      <c r="JJM1" s="8"/>
      <c r="JJN1" s="9"/>
      <c r="JJO1" s="8"/>
      <c r="JJP1" s="9"/>
      <c r="JJQ1" s="8"/>
      <c r="JJR1" s="9"/>
      <c r="JJS1" s="8"/>
      <c r="JJT1" s="9"/>
      <c r="JJU1" s="8"/>
      <c r="JJV1" s="9"/>
      <c r="JJW1" s="8"/>
      <c r="JJX1" s="9"/>
      <c r="JJY1" s="8"/>
      <c r="JJZ1" s="9"/>
      <c r="JKA1" s="8"/>
      <c r="JKB1" s="9"/>
      <c r="JKC1" s="8"/>
      <c r="JKD1" s="9"/>
      <c r="JKE1" s="8"/>
      <c r="JKF1" s="9"/>
      <c r="JKG1" s="8"/>
      <c r="JKH1" s="9"/>
      <c r="JKI1" s="8"/>
      <c r="JKJ1" s="9"/>
      <c r="JKK1" s="8"/>
      <c r="JKL1" s="9"/>
      <c r="JKM1" s="8"/>
      <c r="JKN1" s="9"/>
      <c r="JKO1" s="8"/>
      <c r="JKP1" s="9"/>
      <c r="JKQ1" s="8"/>
      <c r="JKR1" s="9"/>
      <c r="JKS1" s="8"/>
      <c r="JKT1" s="9"/>
      <c r="JKU1" s="8"/>
      <c r="JKV1" s="9"/>
      <c r="JKW1" s="8"/>
      <c r="JKX1" s="9"/>
      <c r="JKY1" s="8"/>
      <c r="JKZ1" s="9"/>
      <c r="JLA1" s="8"/>
      <c r="JLB1" s="9"/>
      <c r="JLC1" s="8"/>
      <c r="JLD1" s="9"/>
      <c r="JLE1" s="8"/>
      <c r="JLF1" s="9"/>
      <c r="JLG1" s="8"/>
      <c r="JLH1" s="9"/>
      <c r="JLI1" s="8"/>
      <c r="JLJ1" s="9"/>
      <c r="JLK1" s="8"/>
      <c r="JLL1" s="9"/>
      <c r="JLM1" s="8"/>
      <c r="JLN1" s="9"/>
      <c r="JLO1" s="8"/>
      <c r="JLP1" s="9"/>
      <c r="JLQ1" s="8"/>
      <c r="JLR1" s="9"/>
      <c r="JLS1" s="8"/>
      <c r="JLT1" s="9"/>
      <c r="JLU1" s="8"/>
      <c r="JLV1" s="9"/>
      <c r="JLW1" s="8"/>
      <c r="JLX1" s="9"/>
      <c r="JLY1" s="8"/>
      <c r="JLZ1" s="9"/>
      <c r="JMA1" s="8"/>
      <c r="JMB1" s="9"/>
      <c r="JMC1" s="8"/>
      <c r="JMD1" s="9"/>
      <c r="JME1" s="8"/>
      <c r="JMF1" s="9"/>
      <c r="JMG1" s="8"/>
      <c r="JMH1" s="9"/>
      <c r="JMI1" s="8"/>
      <c r="JMJ1" s="9"/>
      <c r="JMK1" s="8"/>
      <c r="JML1" s="9"/>
      <c r="JMM1" s="8"/>
      <c r="JMN1" s="9"/>
      <c r="JMO1" s="8"/>
      <c r="JMP1" s="9"/>
      <c r="JMQ1" s="8"/>
      <c r="JMR1" s="9"/>
      <c r="JMS1" s="8"/>
      <c r="JMT1" s="9"/>
      <c r="JMU1" s="8"/>
      <c r="JMV1" s="9"/>
      <c r="JMW1" s="8"/>
      <c r="JMX1" s="9"/>
      <c r="JMY1" s="8"/>
      <c r="JMZ1" s="9"/>
      <c r="JNA1" s="8"/>
      <c r="JNB1" s="9"/>
      <c r="JNC1" s="8"/>
      <c r="JND1" s="9"/>
      <c r="JNE1" s="8"/>
      <c r="JNF1" s="9"/>
      <c r="JNG1" s="8"/>
      <c r="JNH1" s="9"/>
      <c r="JNI1" s="8"/>
      <c r="JNJ1" s="9"/>
      <c r="JNK1" s="8"/>
      <c r="JNL1" s="9"/>
      <c r="JNM1" s="8"/>
      <c r="JNN1" s="9"/>
      <c r="JNO1" s="8"/>
      <c r="JNP1" s="9"/>
      <c r="JNQ1" s="8"/>
      <c r="JNR1" s="9"/>
      <c r="JNS1" s="8"/>
      <c r="JNT1" s="9"/>
      <c r="JNU1" s="8"/>
      <c r="JNV1" s="9"/>
      <c r="JNW1" s="8"/>
      <c r="JNX1" s="9"/>
      <c r="JNY1" s="8"/>
      <c r="JNZ1" s="9"/>
      <c r="JOA1" s="8"/>
      <c r="JOB1" s="9"/>
      <c r="JOC1" s="8"/>
      <c r="JOD1" s="9"/>
      <c r="JOE1" s="8"/>
      <c r="JOF1" s="9"/>
      <c r="JOG1" s="8"/>
      <c r="JOH1" s="9"/>
      <c r="JOI1" s="8"/>
      <c r="JOJ1" s="9"/>
      <c r="JOK1" s="8"/>
      <c r="JOL1" s="9"/>
      <c r="JOM1" s="8"/>
      <c r="JON1" s="9"/>
      <c r="JOO1" s="8"/>
      <c r="JOP1" s="9"/>
      <c r="JOQ1" s="8"/>
      <c r="JOR1" s="9"/>
      <c r="JOS1" s="8"/>
      <c r="JOT1" s="9"/>
      <c r="JOU1" s="8"/>
      <c r="JOV1" s="9"/>
      <c r="JOW1" s="8"/>
      <c r="JOX1" s="9"/>
      <c r="JOY1" s="8"/>
      <c r="JOZ1" s="9"/>
      <c r="JPA1" s="8"/>
      <c r="JPB1" s="9"/>
      <c r="JPC1" s="8"/>
      <c r="JPD1" s="9"/>
      <c r="JPE1" s="8"/>
      <c r="JPF1" s="9"/>
      <c r="JPG1" s="8"/>
      <c r="JPH1" s="9"/>
      <c r="JPI1" s="8"/>
      <c r="JPJ1" s="9"/>
      <c r="JPK1" s="8"/>
      <c r="JPL1" s="9"/>
      <c r="JPM1" s="8"/>
      <c r="JPN1" s="9"/>
      <c r="JPO1" s="8"/>
      <c r="JPP1" s="9"/>
      <c r="JPQ1" s="8"/>
      <c r="JPR1" s="9"/>
      <c r="JPS1" s="8"/>
      <c r="JPT1" s="9"/>
      <c r="JPU1" s="8"/>
      <c r="JPV1" s="9"/>
      <c r="JPW1" s="8"/>
      <c r="JPX1" s="9"/>
      <c r="JPY1" s="8"/>
      <c r="JPZ1" s="9"/>
      <c r="JQA1" s="8"/>
      <c r="JQB1" s="9"/>
      <c r="JQC1" s="8"/>
      <c r="JQD1" s="9"/>
      <c r="JQE1" s="8"/>
      <c r="JQF1" s="9"/>
      <c r="JQG1" s="8"/>
      <c r="JQH1" s="9"/>
      <c r="JQI1" s="8"/>
      <c r="JQJ1" s="9"/>
      <c r="JQK1" s="8"/>
      <c r="JQL1" s="9"/>
      <c r="JQM1" s="8"/>
      <c r="JQN1" s="9"/>
      <c r="JQO1" s="8"/>
      <c r="JQP1" s="9"/>
      <c r="JQQ1" s="8"/>
      <c r="JQR1" s="9"/>
      <c r="JQS1" s="8"/>
      <c r="JQT1" s="9"/>
      <c r="JQU1" s="8"/>
      <c r="JQV1" s="9"/>
      <c r="JQW1" s="8"/>
      <c r="JQX1" s="9"/>
      <c r="JQY1" s="8"/>
      <c r="JQZ1" s="9"/>
      <c r="JRA1" s="8"/>
      <c r="JRB1" s="9"/>
      <c r="JRC1" s="8"/>
      <c r="JRD1" s="9"/>
      <c r="JRE1" s="8"/>
      <c r="JRF1" s="9"/>
      <c r="JRG1" s="8"/>
      <c r="JRH1" s="9"/>
      <c r="JRI1" s="8"/>
      <c r="JRJ1" s="9"/>
      <c r="JRK1" s="8"/>
      <c r="JRL1" s="9"/>
      <c r="JRM1" s="8"/>
      <c r="JRN1" s="9"/>
      <c r="JRO1" s="8"/>
      <c r="JRP1" s="9"/>
      <c r="JRQ1" s="8"/>
      <c r="JRR1" s="9"/>
      <c r="JRS1" s="8"/>
      <c r="JRT1" s="9"/>
      <c r="JRU1" s="8"/>
      <c r="JRV1" s="9"/>
      <c r="JRW1" s="8"/>
      <c r="JRX1" s="9"/>
      <c r="JRY1" s="8"/>
      <c r="JRZ1" s="9"/>
      <c r="JSA1" s="8"/>
      <c r="JSB1" s="9"/>
      <c r="JSC1" s="8"/>
      <c r="JSD1" s="9"/>
      <c r="JSE1" s="8"/>
      <c r="JSF1" s="9"/>
      <c r="JSG1" s="8"/>
      <c r="JSH1" s="9"/>
      <c r="JSI1" s="8"/>
      <c r="JSJ1" s="9"/>
      <c r="JSK1" s="8"/>
      <c r="JSL1" s="9"/>
      <c r="JSM1" s="8"/>
      <c r="JSN1" s="9"/>
      <c r="JSO1" s="8"/>
      <c r="JSP1" s="9"/>
      <c r="JSQ1" s="8"/>
      <c r="JSR1" s="9"/>
      <c r="JSS1" s="8"/>
      <c r="JST1" s="9"/>
      <c r="JSU1" s="8"/>
      <c r="JSV1" s="9"/>
      <c r="JSW1" s="8"/>
      <c r="JSX1" s="9"/>
      <c r="JSY1" s="8"/>
      <c r="JSZ1" s="9"/>
      <c r="JTA1" s="8"/>
      <c r="JTB1" s="9"/>
      <c r="JTC1" s="8"/>
      <c r="JTD1" s="9"/>
      <c r="JTE1" s="8"/>
      <c r="JTF1" s="9"/>
      <c r="JTG1" s="8"/>
      <c r="JTH1" s="9"/>
      <c r="JTI1" s="8"/>
      <c r="JTJ1" s="9"/>
      <c r="JTK1" s="8"/>
      <c r="JTL1" s="9"/>
      <c r="JTM1" s="8"/>
      <c r="JTN1" s="9"/>
      <c r="JTO1" s="8"/>
      <c r="JTP1" s="9"/>
      <c r="JTQ1" s="8"/>
      <c r="JTR1" s="9"/>
      <c r="JTS1" s="8"/>
      <c r="JTT1" s="9"/>
      <c r="JTU1" s="8"/>
      <c r="JTV1" s="9"/>
      <c r="JTW1" s="8"/>
      <c r="JTX1" s="9"/>
      <c r="JTY1" s="8"/>
      <c r="JTZ1" s="9"/>
      <c r="JUA1" s="8"/>
      <c r="JUB1" s="9"/>
      <c r="JUC1" s="8"/>
      <c r="JUD1" s="9"/>
      <c r="JUE1" s="8"/>
      <c r="JUF1" s="9"/>
      <c r="JUG1" s="8"/>
      <c r="JUH1" s="9"/>
      <c r="JUI1" s="8"/>
      <c r="JUJ1" s="9"/>
      <c r="JUK1" s="8"/>
      <c r="JUL1" s="9"/>
      <c r="JUM1" s="8"/>
      <c r="JUN1" s="9"/>
      <c r="JUO1" s="8"/>
      <c r="JUP1" s="9"/>
      <c r="JUQ1" s="8"/>
      <c r="JUR1" s="9"/>
      <c r="JUS1" s="8"/>
      <c r="JUT1" s="9"/>
      <c r="JUU1" s="8"/>
      <c r="JUV1" s="9"/>
      <c r="JUW1" s="8"/>
      <c r="JUX1" s="9"/>
      <c r="JUY1" s="8"/>
      <c r="JUZ1" s="9"/>
      <c r="JVA1" s="8"/>
      <c r="JVB1" s="9"/>
      <c r="JVC1" s="8"/>
      <c r="JVD1" s="9"/>
      <c r="JVE1" s="8"/>
      <c r="JVF1" s="9"/>
      <c r="JVG1" s="8"/>
      <c r="JVH1" s="9"/>
      <c r="JVI1" s="8"/>
      <c r="JVJ1" s="9"/>
      <c r="JVK1" s="8"/>
      <c r="JVL1" s="9"/>
      <c r="JVM1" s="8"/>
      <c r="JVN1" s="9"/>
      <c r="JVO1" s="8"/>
      <c r="JVP1" s="9"/>
      <c r="JVQ1" s="8"/>
      <c r="JVR1" s="9"/>
      <c r="JVS1" s="8"/>
      <c r="JVT1" s="9"/>
      <c r="JVU1" s="8"/>
      <c r="JVV1" s="9"/>
      <c r="JVW1" s="8"/>
      <c r="JVX1" s="9"/>
      <c r="JVY1" s="8"/>
      <c r="JVZ1" s="9"/>
      <c r="JWA1" s="8"/>
      <c r="JWB1" s="9"/>
      <c r="JWC1" s="8"/>
      <c r="JWD1" s="9"/>
      <c r="JWE1" s="8"/>
      <c r="JWF1" s="9"/>
      <c r="JWG1" s="8"/>
      <c r="JWH1" s="9"/>
      <c r="JWI1" s="8"/>
      <c r="JWJ1" s="9"/>
      <c r="JWK1" s="8"/>
      <c r="JWL1" s="9"/>
      <c r="JWM1" s="8"/>
      <c r="JWN1" s="9"/>
      <c r="JWO1" s="8"/>
      <c r="JWP1" s="9"/>
      <c r="JWQ1" s="8"/>
      <c r="JWR1" s="9"/>
      <c r="JWS1" s="8"/>
      <c r="JWT1" s="9"/>
      <c r="JWU1" s="8"/>
      <c r="JWV1" s="9"/>
      <c r="JWW1" s="8"/>
      <c r="JWX1" s="9"/>
      <c r="JWY1" s="8"/>
      <c r="JWZ1" s="9"/>
      <c r="JXA1" s="8"/>
      <c r="JXB1" s="9"/>
      <c r="JXC1" s="8"/>
      <c r="JXD1" s="9"/>
      <c r="JXE1" s="8"/>
      <c r="JXF1" s="9"/>
      <c r="JXG1" s="8"/>
      <c r="JXH1" s="9"/>
      <c r="JXI1" s="8"/>
      <c r="JXJ1" s="9"/>
      <c r="JXK1" s="8"/>
      <c r="JXL1" s="9"/>
      <c r="JXM1" s="8"/>
      <c r="JXN1" s="9"/>
      <c r="JXO1" s="8"/>
      <c r="JXP1" s="9"/>
      <c r="JXQ1" s="8"/>
      <c r="JXR1" s="9"/>
      <c r="JXS1" s="8"/>
      <c r="JXT1" s="9"/>
      <c r="JXU1" s="8"/>
      <c r="JXV1" s="9"/>
      <c r="JXW1" s="8"/>
      <c r="JXX1" s="9"/>
      <c r="JXY1" s="8"/>
      <c r="JXZ1" s="9"/>
      <c r="JYA1" s="8"/>
      <c r="JYB1" s="9"/>
      <c r="JYC1" s="8"/>
      <c r="JYD1" s="9"/>
      <c r="JYE1" s="8"/>
      <c r="JYF1" s="9"/>
      <c r="JYG1" s="8"/>
      <c r="JYH1" s="9"/>
      <c r="JYI1" s="8"/>
      <c r="JYJ1" s="9"/>
      <c r="JYK1" s="8"/>
      <c r="JYL1" s="9"/>
      <c r="JYM1" s="8"/>
      <c r="JYN1" s="9"/>
      <c r="JYO1" s="8"/>
      <c r="JYP1" s="9"/>
      <c r="JYQ1" s="8"/>
      <c r="JYR1" s="9"/>
      <c r="JYS1" s="8"/>
      <c r="JYT1" s="9"/>
      <c r="JYU1" s="8"/>
      <c r="JYV1" s="9"/>
      <c r="JYW1" s="8"/>
      <c r="JYX1" s="9"/>
      <c r="JYY1" s="8"/>
      <c r="JYZ1" s="9"/>
      <c r="JZA1" s="8"/>
      <c r="JZB1" s="9"/>
      <c r="JZC1" s="8"/>
      <c r="JZD1" s="9"/>
      <c r="JZE1" s="8"/>
      <c r="JZF1" s="9"/>
      <c r="JZG1" s="8"/>
      <c r="JZH1" s="9"/>
      <c r="JZI1" s="8"/>
      <c r="JZJ1" s="9"/>
      <c r="JZK1" s="8"/>
      <c r="JZL1" s="9"/>
      <c r="JZM1" s="8"/>
      <c r="JZN1" s="9"/>
      <c r="JZO1" s="8"/>
      <c r="JZP1" s="9"/>
      <c r="JZQ1" s="8"/>
      <c r="JZR1" s="9"/>
      <c r="JZS1" s="8"/>
      <c r="JZT1" s="9"/>
      <c r="JZU1" s="8"/>
      <c r="JZV1" s="9"/>
      <c r="JZW1" s="8"/>
      <c r="JZX1" s="9"/>
      <c r="JZY1" s="8"/>
      <c r="JZZ1" s="9"/>
      <c r="KAA1" s="8"/>
      <c r="KAB1" s="9"/>
      <c r="KAC1" s="8"/>
      <c r="KAD1" s="9"/>
      <c r="KAE1" s="8"/>
      <c r="KAF1" s="9"/>
      <c r="KAG1" s="8"/>
      <c r="KAH1" s="9"/>
      <c r="KAI1" s="8"/>
      <c r="KAJ1" s="9"/>
      <c r="KAK1" s="8"/>
      <c r="KAL1" s="9"/>
      <c r="KAM1" s="8"/>
      <c r="KAN1" s="9"/>
      <c r="KAO1" s="8"/>
      <c r="KAP1" s="9"/>
      <c r="KAQ1" s="8"/>
      <c r="KAR1" s="9"/>
      <c r="KAS1" s="8"/>
      <c r="KAT1" s="9"/>
      <c r="KAU1" s="8"/>
      <c r="KAV1" s="9"/>
      <c r="KAW1" s="8"/>
      <c r="KAX1" s="9"/>
      <c r="KAY1" s="8"/>
      <c r="KAZ1" s="9"/>
      <c r="KBA1" s="8"/>
      <c r="KBB1" s="9"/>
      <c r="KBC1" s="8"/>
      <c r="KBD1" s="9"/>
      <c r="KBE1" s="8"/>
      <c r="KBF1" s="9"/>
      <c r="KBG1" s="8"/>
      <c r="KBH1" s="9"/>
      <c r="KBI1" s="8"/>
      <c r="KBJ1" s="9"/>
      <c r="KBK1" s="8"/>
      <c r="KBL1" s="9"/>
      <c r="KBM1" s="8"/>
      <c r="KBN1" s="9"/>
      <c r="KBO1" s="8"/>
      <c r="KBP1" s="9"/>
      <c r="KBQ1" s="8"/>
      <c r="KBR1" s="9"/>
      <c r="KBS1" s="8"/>
      <c r="KBT1" s="9"/>
      <c r="KBU1" s="8"/>
      <c r="KBV1" s="9"/>
      <c r="KBW1" s="8"/>
      <c r="KBX1" s="9"/>
      <c r="KBY1" s="8"/>
      <c r="KBZ1" s="9"/>
      <c r="KCA1" s="8"/>
      <c r="KCB1" s="9"/>
      <c r="KCC1" s="8"/>
      <c r="KCD1" s="9"/>
      <c r="KCE1" s="8"/>
      <c r="KCF1" s="9"/>
      <c r="KCG1" s="8"/>
      <c r="KCH1" s="9"/>
      <c r="KCI1" s="8"/>
      <c r="KCJ1" s="9"/>
      <c r="KCK1" s="8"/>
      <c r="KCL1" s="9"/>
      <c r="KCM1" s="8"/>
      <c r="KCN1" s="9"/>
      <c r="KCO1" s="8"/>
      <c r="KCP1" s="9"/>
      <c r="KCQ1" s="8"/>
      <c r="KCR1" s="9"/>
      <c r="KCS1" s="8"/>
      <c r="KCT1" s="9"/>
      <c r="KCU1" s="8"/>
      <c r="KCV1" s="9"/>
      <c r="KCW1" s="8"/>
      <c r="KCX1" s="9"/>
      <c r="KCY1" s="8"/>
      <c r="KCZ1" s="9"/>
      <c r="KDA1" s="8"/>
      <c r="KDB1" s="9"/>
      <c r="KDC1" s="8"/>
      <c r="KDD1" s="9"/>
      <c r="KDE1" s="8"/>
      <c r="KDF1" s="9"/>
      <c r="KDG1" s="8"/>
      <c r="KDH1" s="9"/>
      <c r="KDI1" s="8"/>
      <c r="KDJ1" s="9"/>
      <c r="KDK1" s="8"/>
      <c r="KDL1" s="9"/>
      <c r="KDM1" s="8"/>
      <c r="KDN1" s="9"/>
      <c r="KDO1" s="8"/>
      <c r="KDP1" s="9"/>
      <c r="KDQ1" s="8"/>
      <c r="KDR1" s="9"/>
      <c r="KDS1" s="8"/>
      <c r="KDT1" s="9"/>
      <c r="KDU1" s="8"/>
      <c r="KDV1" s="9"/>
      <c r="KDW1" s="8"/>
      <c r="KDX1" s="9"/>
      <c r="KDY1" s="8"/>
      <c r="KDZ1" s="9"/>
      <c r="KEA1" s="8"/>
      <c r="KEB1" s="9"/>
      <c r="KEC1" s="8"/>
      <c r="KED1" s="9"/>
      <c r="KEE1" s="8"/>
      <c r="KEF1" s="9"/>
      <c r="KEG1" s="8"/>
      <c r="KEH1" s="9"/>
      <c r="KEI1" s="8"/>
      <c r="KEJ1" s="9"/>
      <c r="KEK1" s="8"/>
      <c r="KEL1" s="9"/>
      <c r="KEM1" s="8"/>
      <c r="KEN1" s="9"/>
      <c r="KEO1" s="8"/>
      <c r="KEP1" s="9"/>
      <c r="KEQ1" s="8"/>
      <c r="KER1" s="9"/>
      <c r="KES1" s="8"/>
      <c r="KET1" s="9"/>
      <c r="KEU1" s="8"/>
      <c r="KEV1" s="9"/>
      <c r="KEW1" s="8"/>
      <c r="KEX1" s="9"/>
      <c r="KEY1" s="8"/>
      <c r="KEZ1" s="9"/>
      <c r="KFA1" s="8"/>
      <c r="KFB1" s="9"/>
      <c r="KFC1" s="8"/>
      <c r="KFD1" s="9"/>
      <c r="KFE1" s="8"/>
      <c r="KFF1" s="9"/>
      <c r="KFG1" s="8"/>
      <c r="KFH1" s="9"/>
      <c r="KFI1" s="8"/>
      <c r="KFJ1" s="9"/>
      <c r="KFK1" s="8"/>
      <c r="KFL1" s="9"/>
      <c r="KFM1" s="8"/>
      <c r="KFN1" s="9"/>
      <c r="KFO1" s="8"/>
      <c r="KFP1" s="9"/>
      <c r="KFQ1" s="8"/>
      <c r="KFR1" s="9"/>
      <c r="KFS1" s="8"/>
      <c r="KFT1" s="9"/>
      <c r="KFU1" s="8"/>
      <c r="KFV1" s="9"/>
      <c r="KFW1" s="8"/>
      <c r="KFX1" s="9"/>
      <c r="KFY1" s="8"/>
      <c r="KFZ1" s="9"/>
      <c r="KGA1" s="8"/>
      <c r="KGB1" s="9"/>
      <c r="KGC1" s="8"/>
      <c r="KGD1" s="9"/>
      <c r="KGE1" s="8"/>
      <c r="KGF1" s="9"/>
      <c r="KGG1" s="8"/>
      <c r="KGH1" s="9"/>
      <c r="KGI1" s="8"/>
      <c r="KGJ1" s="9"/>
      <c r="KGK1" s="8"/>
      <c r="KGL1" s="9"/>
      <c r="KGM1" s="8"/>
      <c r="KGN1" s="9"/>
      <c r="KGO1" s="8"/>
      <c r="KGP1" s="9"/>
      <c r="KGQ1" s="8"/>
      <c r="KGR1" s="9"/>
      <c r="KGS1" s="8"/>
      <c r="KGT1" s="9"/>
      <c r="KGU1" s="8"/>
      <c r="KGV1" s="9"/>
      <c r="KGW1" s="8"/>
      <c r="KGX1" s="9"/>
      <c r="KGY1" s="8"/>
      <c r="KGZ1" s="9"/>
      <c r="KHA1" s="8"/>
      <c r="KHB1" s="9"/>
      <c r="KHC1" s="8"/>
      <c r="KHD1" s="9"/>
      <c r="KHE1" s="8"/>
      <c r="KHF1" s="9"/>
      <c r="KHG1" s="8"/>
      <c r="KHH1" s="9"/>
      <c r="KHI1" s="8"/>
      <c r="KHJ1" s="9"/>
      <c r="KHK1" s="8"/>
      <c r="KHL1" s="9"/>
      <c r="KHM1" s="8"/>
      <c r="KHN1" s="9"/>
      <c r="KHO1" s="8"/>
      <c r="KHP1" s="9"/>
      <c r="KHQ1" s="8"/>
      <c r="KHR1" s="9"/>
      <c r="KHS1" s="8"/>
      <c r="KHT1" s="9"/>
      <c r="KHU1" s="8"/>
      <c r="KHV1" s="9"/>
      <c r="KHW1" s="8"/>
      <c r="KHX1" s="9"/>
      <c r="KHY1" s="8"/>
      <c r="KHZ1" s="9"/>
      <c r="KIA1" s="8"/>
      <c r="KIB1" s="9"/>
      <c r="KIC1" s="8"/>
      <c r="KID1" s="9"/>
      <c r="KIE1" s="8"/>
      <c r="KIF1" s="9"/>
      <c r="KIG1" s="8"/>
      <c r="KIH1" s="9"/>
      <c r="KII1" s="8"/>
      <c r="KIJ1" s="9"/>
      <c r="KIK1" s="8"/>
      <c r="KIL1" s="9"/>
      <c r="KIM1" s="8"/>
      <c r="KIN1" s="9"/>
      <c r="KIO1" s="8"/>
      <c r="KIP1" s="9"/>
      <c r="KIQ1" s="8"/>
      <c r="KIR1" s="9"/>
      <c r="KIS1" s="8"/>
      <c r="KIT1" s="9"/>
      <c r="KIU1" s="8"/>
      <c r="KIV1" s="9"/>
      <c r="KIW1" s="8"/>
      <c r="KIX1" s="9"/>
      <c r="KIY1" s="8"/>
      <c r="KIZ1" s="9"/>
      <c r="KJA1" s="8"/>
      <c r="KJB1" s="9"/>
      <c r="KJC1" s="8"/>
      <c r="KJD1" s="9"/>
      <c r="KJE1" s="8"/>
      <c r="KJF1" s="9"/>
      <c r="KJG1" s="8"/>
      <c r="KJH1" s="9"/>
      <c r="KJI1" s="8"/>
      <c r="KJJ1" s="9"/>
      <c r="KJK1" s="8"/>
      <c r="KJL1" s="9"/>
      <c r="KJM1" s="8"/>
      <c r="KJN1" s="9"/>
      <c r="KJO1" s="8"/>
      <c r="KJP1" s="9"/>
      <c r="KJQ1" s="8"/>
      <c r="KJR1" s="9"/>
      <c r="KJS1" s="8"/>
      <c r="KJT1" s="9"/>
      <c r="KJU1" s="8"/>
      <c r="KJV1" s="9"/>
      <c r="KJW1" s="8"/>
      <c r="KJX1" s="9"/>
      <c r="KJY1" s="8"/>
      <c r="KJZ1" s="9"/>
      <c r="KKA1" s="8"/>
      <c r="KKB1" s="9"/>
      <c r="KKC1" s="8"/>
      <c r="KKD1" s="9"/>
      <c r="KKE1" s="8"/>
      <c r="KKF1" s="9"/>
      <c r="KKG1" s="8"/>
      <c r="KKH1" s="9"/>
      <c r="KKI1" s="8"/>
      <c r="KKJ1" s="9"/>
      <c r="KKK1" s="8"/>
      <c r="KKL1" s="9"/>
      <c r="KKM1" s="8"/>
      <c r="KKN1" s="9"/>
      <c r="KKO1" s="8"/>
      <c r="KKP1" s="9"/>
      <c r="KKQ1" s="8"/>
      <c r="KKR1" s="9"/>
      <c r="KKS1" s="8"/>
      <c r="KKT1" s="9"/>
      <c r="KKU1" s="8"/>
      <c r="KKV1" s="9"/>
      <c r="KKW1" s="8"/>
      <c r="KKX1" s="9"/>
      <c r="KKY1" s="8"/>
      <c r="KKZ1" s="9"/>
      <c r="KLA1" s="8"/>
      <c r="KLB1" s="9"/>
      <c r="KLC1" s="8"/>
      <c r="KLD1" s="9"/>
      <c r="KLE1" s="8"/>
      <c r="KLF1" s="9"/>
      <c r="KLG1" s="8"/>
      <c r="KLH1" s="9"/>
      <c r="KLI1" s="8"/>
      <c r="KLJ1" s="9"/>
      <c r="KLK1" s="8"/>
      <c r="KLL1" s="9"/>
      <c r="KLM1" s="8"/>
      <c r="KLN1" s="9"/>
      <c r="KLO1" s="8"/>
      <c r="KLP1" s="9"/>
      <c r="KLQ1" s="8"/>
      <c r="KLR1" s="9"/>
      <c r="KLS1" s="8"/>
      <c r="KLT1" s="9"/>
      <c r="KLU1" s="8"/>
      <c r="KLV1" s="9"/>
      <c r="KLW1" s="8"/>
      <c r="KLX1" s="9"/>
      <c r="KLY1" s="8"/>
      <c r="KLZ1" s="9"/>
      <c r="KMA1" s="8"/>
      <c r="KMB1" s="9"/>
      <c r="KMC1" s="8"/>
      <c r="KMD1" s="9"/>
      <c r="KME1" s="8"/>
      <c r="KMF1" s="9"/>
      <c r="KMG1" s="8"/>
      <c r="KMH1" s="9"/>
      <c r="KMI1" s="8"/>
      <c r="KMJ1" s="9"/>
      <c r="KMK1" s="8"/>
      <c r="KML1" s="9"/>
      <c r="KMM1" s="8"/>
      <c r="KMN1" s="9"/>
      <c r="KMO1" s="8"/>
      <c r="KMP1" s="9"/>
      <c r="KMQ1" s="8"/>
      <c r="KMR1" s="9"/>
      <c r="KMS1" s="8"/>
      <c r="KMT1" s="9"/>
      <c r="KMU1" s="8"/>
      <c r="KMV1" s="9"/>
      <c r="KMW1" s="8"/>
      <c r="KMX1" s="9"/>
      <c r="KMY1" s="8"/>
      <c r="KMZ1" s="9"/>
      <c r="KNA1" s="8"/>
      <c r="KNB1" s="9"/>
      <c r="KNC1" s="8"/>
      <c r="KND1" s="9"/>
      <c r="KNE1" s="8"/>
      <c r="KNF1" s="9"/>
      <c r="KNG1" s="8"/>
      <c r="KNH1" s="9"/>
      <c r="KNI1" s="8"/>
      <c r="KNJ1" s="9"/>
      <c r="KNK1" s="8"/>
      <c r="KNL1" s="9"/>
      <c r="KNM1" s="8"/>
      <c r="KNN1" s="9"/>
      <c r="KNO1" s="8"/>
      <c r="KNP1" s="9"/>
      <c r="KNQ1" s="8"/>
      <c r="KNR1" s="9"/>
      <c r="KNS1" s="8"/>
      <c r="KNT1" s="9"/>
      <c r="KNU1" s="8"/>
      <c r="KNV1" s="9"/>
      <c r="KNW1" s="8"/>
      <c r="KNX1" s="9"/>
      <c r="KNY1" s="8"/>
      <c r="KNZ1" s="9"/>
      <c r="KOA1" s="8"/>
      <c r="KOB1" s="9"/>
      <c r="KOC1" s="8"/>
      <c r="KOD1" s="9"/>
      <c r="KOE1" s="8"/>
      <c r="KOF1" s="9"/>
      <c r="KOG1" s="8"/>
      <c r="KOH1" s="9"/>
      <c r="KOI1" s="8"/>
      <c r="KOJ1" s="9"/>
      <c r="KOK1" s="8"/>
      <c r="KOL1" s="9"/>
      <c r="KOM1" s="8"/>
      <c r="KON1" s="9"/>
      <c r="KOO1" s="8"/>
      <c r="KOP1" s="9"/>
      <c r="KOQ1" s="8"/>
      <c r="KOR1" s="9"/>
      <c r="KOS1" s="8"/>
      <c r="KOT1" s="9"/>
      <c r="KOU1" s="8"/>
      <c r="KOV1" s="9"/>
      <c r="KOW1" s="8"/>
      <c r="KOX1" s="9"/>
      <c r="KOY1" s="8"/>
      <c r="KOZ1" s="9"/>
      <c r="KPA1" s="8"/>
      <c r="KPB1" s="9"/>
      <c r="KPC1" s="8"/>
      <c r="KPD1" s="9"/>
      <c r="KPE1" s="8"/>
      <c r="KPF1" s="9"/>
      <c r="KPG1" s="8"/>
      <c r="KPH1" s="9"/>
      <c r="KPI1" s="8"/>
      <c r="KPJ1" s="9"/>
      <c r="KPK1" s="8"/>
      <c r="KPL1" s="9"/>
      <c r="KPM1" s="8"/>
      <c r="KPN1" s="9"/>
      <c r="KPO1" s="8"/>
      <c r="KPP1" s="9"/>
      <c r="KPQ1" s="8"/>
      <c r="KPR1" s="9"/>
      <c r="KPS1" s="8"/>
      <c r="KPT1" s="9"/>
      <c r="KPU1" s="8"/>
      <c r="KPV1" s="9"/>
      <c r="KPW1" s="8"/>
      <c r="KPX1" s="9"/>
      <c r="KPY1" s="8"/>
      <c r="KPZ1" s="9"/>
      <c r="KQA1" s="8"/>
      <c r="KQB1" s="9"/>
      <c r="KQC1" s="8"/>
      <c r="KQD1" s="9"/>
      <c r="KQE1" s="8"/>
      <c r="KQF1" s="9"/>
      <c r="KQG1" s="8"/>
      <c r="KQH1" s="9"/>
      <c r="KQI1" s="8"/>
      <c r="KQJ1" s="9"/>
      <c r="KQK1" s="8"/>
      <c r="KQL1" s="9"/>
      <c r="KQM1" s="8"/>
      <c r="KQN1" s="9"/>
      <c r="KQO1" s="8"/>
      <c r="KQP1" s="9"/>
      <c r="KQQ1" s="8"/>
      <c r="KQR1" s="9"/>
      <c r="KQS1" s="8"/>
      <c r="KQT1" s="9"/>
      <c r="KQU1" s="8"/>
      <c r="KQV1" s="9"/>
      <c r="KQW1" s="8"/>
      <c r="KQX1" s="9"/>
      <c r="KQY1" s="8"/>
      <c r="KQZ1" s="9"/>
      <c r="KRA1" s="8"/>
      <c r="KRB1" s="9"/>
      <c r="KRC1" s="8"/>
      <c r="KRD1" s="9"/>
      <c r="KRE1" s="8"/>
      <c r="KRF1" s="9"/>
      <c r="KRG1" s="8"/>
      <c r="KRH1" s="9"/>
      <c r="KRI1" s="8"/>
      <c r="KRJ1" s="9"/>
      <c r="KRK1" s="8"/>
      <c r="KRL1" s="9"/>
      <c r="KRM1" s="8"/>
      <c r="KRN1" s="9"/>
      <c r="KRO1" s="8"/>
      <c r="KRP1" s="9"/>
      <c r="KRQ1" s="8"/>
      <c r="KRR1" s="9"/>
      <c r="KRS1" s="8"/>
      <c r="KRT1" s="9"/>
      <c r="KRU1" s="8"/>
      <c r="KRV1" s="9"/>
      <c r="KRW1" s="8"/>
      <c r="KRX1" s="9"/>
      <c r="KRY1" s="8"/>
      <c r="KRZ1" s="9"/>
      <c r="KSA1" s="8"/>
      <c r="KSB1" s="9"/>
      <c r="KSC1" s="8"/>
      <c r="KSD1" s="9"/>
      <c r="KSE1" s="8"/>
      <c r="KSF1" s="9"/>
      <c r="KSG1" s="8"/>
      <c r="KSH1" s="9"/>
      <c r="KSI1" s="8"/>
      <c r="KSJ1" s="9"/>
      <c r="KSK1" s="8"/>
      <c r="KSL1" s="9"/>
      <c r="KSM1" s="8"/>
      <c r="KSN1" s="9"/>
      <c r="KSO1" s="8"/>
      <c r="KSP1" s="9"/>
      <c r="KSQ1" s="8"/>
      <c r="KSR1" s="9"/>
      <c r="KSS1" s="8"/>
      <c r="KST1" s="9"/>
      <c r="KSU1" s="8"/>
      <c r="KSV1" s="9"/>
      <c r="KSW1" s="8"/>
      <c r="KSX1" s="9"/>
      <c r="KSY1" s="8"/>
      <c r="KSZ1" s="9"/>
      <c r="KTA1" s="8"/>
      <c r="KTB1" s="9"/>
      <c r="KTC1" s="8"/>
      <c r="KTD1" s="9"/>
      <c r="KTE1" s="8"/>
      <c r="KTF1" s="9"/>
      <c r="KTG1" s="8"/>
      <c r="KTH1" s="9"/>
      <c r="KTI1" s="8"/>
      <c r="KTJ1" s="9"/>
      <c r="KTK1" s="8"/>
      <c r="KTL1" s="9"/>
      <c r="KTM1" s="8"/>
      <c r="KTN1" s="9"/>
      <c r="KTO1" s="8"/>
      <c r="KTP1" s="9"/>
      <c r="KTQ1" s="8"/>
      <c r="KTR1" s="9"/>
      <c r="KTS1" s="8"/>
      <c r="KTT1" s="9"/>
      <c r="KTU1" s="8"/>
      <c r="KTV1" s="9"/>
      <c r="KTW1" s="8"/>
      <c r="KTX1" s="9"/>
      <c r="KTY1" s="8"/>
      <c r="KTZ1" s="9"/>
      <c r="KUA1" s="8"/>
      <c r="KUB1" s="9"/>
      <c r="KUC1" s="8"/>
      <c r="KUD1" s="9"/>
      <c r="KUE1" s="8"/>
      <c r="KUF1" s="9"/>
      <c r="KUG1" s="8"/>
      <c r="KUH1" s="9"/>
      <c r="KUI1" s="8"/>
      <c r="KUJ1" s="9"/>
      <c r="KUK1" s="8"/>
      <c r="KUL1" s="9"/>
      <c r="KUM1" s="8"/>
      <c r="KUN1" s="9"/>
      <c r="KUO1" s="8"/>
      <c r="KUP1" s="9"/>
      <c r="KUQ1" s="8"/>
      <c r="KUR1" s="9"/>
      <c r="KUS1" s="8"/>
      <c r="KUT1" s="9"/>
      <c r="KUU1" s="8"/>
      <c r="KUV1" s="9"/>
      <c r="KUW1" s="8"/>
      <c r="KUX1" s="9"/>
      <c r="KUY1" s="8"/>
      <c r="KUZ1" s="9"/>
      <c r="KVA1" s="8"/>
      <c r="KVB1" s="9"/>
      <c r="KVC1" s="8"/>
      <c r="KVD1" s="9"/>
      <c r="KVE1" s="8"/>
      <c r="KVF1" s="9"/>
      <c r="KVG1" s="8"/>
      <c r="KVH1" s="9"/>
      <c r="KVI1" s="8"/>
      <c r="KVJ1" s="9"/>
      <c r="KVK1" s="8"/>
      <c r="KVL1" s="9"/>
      <c r="KVM1" s="8"/>
      <c r="KVN1" s="9"/>
      <c r="KVO1" s="8"/>
      <c r="KVP1" s="9"/>
      <c r="KVQ1" s="8"/>
      <c r="KVR1" s="9"/>
      <c r="KVS1" s="8"/>
      <c r="KVT1" s="9"/>
      <c r="KVU1" s="8"/>
      <c r="KVV1" s="9"/>
      <c r="KVW1" s="8"/>
      <c r="KVX1" s="9"/>
      <c r="KVY1" s="8"/>
      <c r="KVZ1" s="9"/>
      <c r="KWA1" s="8"/>
      <c r="KWB1" s="9"/>
      <c r="KWC1" s="8"/>
      <c r="KWD1" s="9"/>
      <c r="KWE1" s="8"/>
      <c r="KWF1" s="9"/>
      <c r="KWG1" s="8"/>
      <c r="KWH1" s="9"/>
      <c r="KWI1" s="8"/>
      <c r="KWJ1" s="9"/>
      <c r="KWK1" s="8"/>
      <c r="KWL1" s="9"/>
      <c r="KWM1" s="8"/>
      <c r="KWN1" s="9"/>
      <c r="KWO1" s="8"/>
      <c r="KWP1" s="9"/>
      <c r="KWQ1" s="8"/>
      <c r="KWR1" s="9"/>
      <c r="KWS1" s="8"/>
      <c r="KWT1" s="9"/>
      <c r="KWU1" s="8"/>
      <c r="KWV1" s="9"/>
      <c r="KWW1" s="8"/>
      <c r="KWX1" s="9"/>
      <c r="KWY1" s="8"/>
      <c r="KWZ1" s="9"/>
      <c r="KXA1" s="8"/>
      <c r="KXB1" s="9"/>
      <c r="KXC1" s="8"/>
      <c r="KXD1" s="9"/>
      <c r="KXE1" s="8"/>
      <c r="KXF1" s="9"/>
      <c r="KXG1" s="8"/>
      <c r="KXH1" s="9"/>
      <c r="KXI1" s="8"/>
      <c r="KXJ1" s="9"/>
      <c r="KXK1" s="8"/>
      <c r="KXL1" s="9"/>
      <c r="KXM1" s="8"/>
      <c r="KXN1" s="9"/>
      <c r="KXO1" s="8"/>
      <c r="KXP1" s="9"/>
      <c r="KXQ1" s="8"/>
      <c r="KXR1" s="9"/>
      <c r="KXS1" s="8"/>
      <c r="KXT1" s="9"/>
      <c r="KXU1" s="8"/>
      <c r="KXV1" s="9"/>
      <c r="KXW1" s="8"/>
      <c r="KXX1" s="9"/>
      <c r="KXY1" s="8"/>
      <c r="KXZ1" s="9"/>
      <c r="KYA1" s="8"/>
      <c r="KYB1" s="9"/>
      <c r="KYC1" s="8"/>
      <c r="KYD1" s="9"/>
      <c r="KYE1" s="8"/>
      <c r="KYF1" s="9"/>
      <c r="KYG1" s="8"/>
      <c r="KYH1" s="9"/>
      <c r="KYI1" s="8"/>
      <c r="KYJ1" s="9"/>
      <c r="KYK1" s="8"/>
      <c r="KYL1" s="9"/>
      <c r="KYM1" s="8"/>
      <c r="KYN1" s="9"/>
      <c r="KYO1" s="8"/>
      <c r="KYP1" s="9"/>
      <c r="KYQ1" s="8"/>
      <c r="KYR1" s="9"/>
      <c r="KYS1" s="8"/>
      <c r="KYT1" s="9"/>
      <c r="KYU1" s="8"/>
      <c r="KYV1" s="9"/>
      <c r="KYW1" s="8"/>
      <c r="KYX1" s="9"/>
      <c r="KYY1" s="8"/>
      <c r="KYZ1" s="9"/>
      <c r="KZA1" s="8"/>
      <c r="KZB1" s="9"/>
      <c r="KZC1" s="8"/>
      <c r="KZD1" s="9"/>
      <c r="KZE1" s="8"/>
      <c r="KZF1" s="9"/>
      <c r="KZG1" s="8"/>
      <c r="KZH1" s="9"/>
      <c r="KZI1" s="8"/>
      <c r="KZJ1" s="9"/>
      <c r="KZK1" s="8"/>
      <c r="KZL1" s="9"/>
      <c r="KZM1" s="8"/>
      <c r="KZN1" s="9"/>
      <c r="KZO1" s="8"/>
      <c r="KZP1" s="9"/>
      <c r="KZQ1" s="8"/>
      <c r="KZR1" s="9"/>
      <c r="KZS1" s="8"/>
      <c r="KZT1" s="9"/>
      <c r="KZU1" s="8"/>
      <c r="KZV1" s="9"/>
      <c r="KZW1" s="8"/>
      <c r="KZX1" s="9"/>
      <c r="KZY1" s="8"/>
      <c r="KZZ1" s="9"/>
      <c r="LAA1" s="8"/>
      <c r="LAB1" s="9"/>
      <c r="LAC1" s="8"/>
      <c r="LAD1" s="9"/>
      <c r="LAE1" s="8"/>
      <c r="LAF1" s="9"/>
      <c r="LAG1" s="8"/>
      <c r="LAH1" s="9"/>
      <c r="LAI1" s="8"/>
      <c r="LAJ1" s="9"/>
      <c r="LAK1" s="8"/>
      <c r="LAL1" s="9"/>
      <c r="LAM1" s="8"/>
      <c r="LAN1" s="9"/>
      <c r="LAO1" s="8"/>
      <c r="LAP1" s="9"/>
      <c r="LAQ1" s="8"/>
      <c r="LAR1" s="9"/>
      <c r="LAS1" s="8"/>
      <c r="LAT1" s="9"/>
      <c r="LAU1" s="8"/>
      <c r="LAV1" s="9"/>
      <c r="LAW1" s="8"/>
      <c r="LAX1" s="9"/>
      <c r="LAY1" s="8"/>
      <c r="LAZ1" s="9"/>
      <c r="LBA1" s="8"/>
      <c r="LBB1" s="9"/>
      <c r="LBC1" s="8"/>
      <c r="LBD1" s="9"/>
      <c r="LBE1" s="8"/>
      <c r="LBF1" s="9"/>
      <c r="LBG1" s="8"/>
      <c r="LBH1" s="9"/>
      <c r="LBI1" s="8"/>
      <c r="LBJ1" s="9"/>
      <c r="LBK1" s="8"/>
      <c r="LBL1" s="9"/>
      <c r="LBM1" s="8"/>
      <c r="LBN1" s="9"/>
      <c r="LBO1" s="8"/>
      <c r="LBP1" s="9"/>
      <c r="LBQ1" s="8"/>
      <c r="LBR1" s="9"/>
      <c r="LBS1" s="8"/>
      <c r="LBT1" s="9"/>
      <c r="LBU1" s="8"/>
      <c r="LBV1" s="9"/>
      <c r="LBW1" s="8"/>
      <c r="LBX1" s="9"/>
      <c r="LBY1" s="8"/>
      <c r="LBZ1" s="9"/>
      <c r="LCA1" s="8"/>
      <c r="LCB1" s="9"/>
      <c r="LCC1" s="8"/>
      <c r="LCD1" s="9"/>
      <c r="LCE1" s="8"/>
      <c r="LCF1" s="9"/>
      <c r="LCG1" s="8"/>
      <c r="LCH1" s="9"/>
      <c r="LCI1" s="8"/>
      <c r="LCJ1" s="9"/>
      <c r="LCK1" s="8"/>
      <c r="LCL1" s="9"/>
      <c r="LCM1" s="8"/>
      <c r="LCN1" s="9"/>
      <c r="LCO1" s="8"/>
      <c r="LCP1" s="9"/>
      <c r="LCQ1" s="8"/>
      <c r="LCR1" s="9"/>
      <c r="LCS1" s="8"/>
      <c r="LCT1" s="9"/>
      <c r="LCU1" s="8"/>
      <c r="LCV1" s="9"/>
      <c r="LCW1" s="8"/>
      <c r="LCX1" s="9"/>
      <c r="LCY1" s="8"/>
      <c r="LCZ1" s="9"/>
      <c r="LDA1" s="8"/>
      <c r="LDB1" s="9"/>
      <c r="LDC1" s="8"/>
      <c r="LDD1" s="9"/>
      <c r="LDE1" s="8"/>
      <c r="LDF1" s="9"/>
      <c r="LDG1" s="8"/>
      <c r="LDH1" s="9"/>
      <c r="LDI1" s="8"/>
      <c r="LDJ1" s="9"/>
      <c r="LDK1" s="8"/>
      <c r="LDL1" s="9"/>
      <c r="LDM1" s="8"/>
      <c r="LDN1" s="9"/>
      <c r="LDO1" s="8"/>
      <c r="LDP1" s="9"/>
      <c r="LDQ1" s="8"/>
      <c r="LDR1" s="9"/>
      <c r="LDS1" s="8"/>
      <c r="LDT1" s="9"/>
      <c r="LDU1" s="8"/>
      <c r="LDV1" s="9"/>
      <c r="LDW1" s="8"/>
      <c r="LDX1" s="9"/>
      <c r="LDY1" s="8"/>
      <c r="LDZ1" s="9"/>
      <c r="LEA1" s="8"/>
      <c r="LEB1" s="9"/>
      <c r="LEC1" s="8"/>
      <c r="LED1" s="9"/>
      <c r="LEE1" s="8"/>
      <c r="LEF1" s="9"/>
      <c r="LEG1" s="8"/>
      <c r="LEH1" s="9"/>
      <c r="LEI1" s="8"/>
      <c r="LEJ1" s="9"/>
      <c r="LEK1" s="8"/>
      <c r="LEL1" s="9"/>
      <c r="LEM1" s="8"/>
      <c r="LEN1" s="9"/>
      <c r="LEO1" s="8"/>
      <c r="LEP1" s="9"/>
      <c r="LEQ1" s="8"/>
      <c r="LER1" s="9"/>
      <c r="LES1" s="8"/>
      <c r="LET1" s="9"/>
      <c r="LEU1" s="8"/>
      <c r="LEV1" s="9"/>
      <c r="LEW1" s="8"/>
      <c r="LEX1" s="9"/>
      <c r="LEY1" s="8"/>
      <c r="LEZ1" s="9"/>
      <c r="LFA1" s="8"/>
      <c r="LFB1" s="9"/>
      <c r="LFC1" s="8"/>
      <c r="LFD1" s="9"/>
      <c r="LFE1" s="8"/>
      <c r="LFF1" s="9"/>
      <c r="LFG1" s="8"/>
      <c r="LFH1" s="9"/>
      <c r="LFI1" s="8"/>
      <c r="LFJ1" s="9"/>
      <c r="LFK1" s="8"/>
      <c r="LFL1" s="9"/>
      <c r="LFM1" s="8"/>
      <c r="LFN1" s="9"/>
      <c r="LFO1" s="8"/>
      <c r="LFP1" s="9"/>
      <c r="LFQ1" s="8"/>
      <c r="LFR1" s="9"/>
      <c r="LFS1" s="8"/>
      <c r="LFT1" s="9"/>
      <c r="LFU1" s="8"/>
      <c r="LFV1" s="9"/>
      <c r="LFW1" s="8"/>
      <c r="LFX1" s="9"/>
      <c r="LFY1" s="8"/>
      <c r="LFZ1" s="9"/>
      <c r="LGA1" s="8"/>
      <c r="LGB1" s="9"/>
      <c r="LGC1" s="8"/>
      <c r="LGD1" s="9"/>
      <c r="LGE1" s="8"/>
      <c r="LGF1" s="9"/>
      <c r="LGG1" s="8"/>
      <c r="LGH1" s="9"/>
      <c r="LGI1" s="8"/>
      <c r="LGJ1" s="9"/>
      <c r="LGK1" s="8"/>
      <c r="LGL1" s="9"/>
      <c r="LGM1" s="8"/>
      <c r="LGN1" s="9"/>
      <c r="LGO1" s="8"/>
      <c r="LGP1" s="9"/>
      <c r="LGQ1" s="8"/>
      <c r="LGR1" s="9"/>
      <c r="LGS1" s="8"/>
      <c r="LGT1" s="9"/>
      <c r="LGU1" s="8"/>
      <c r="LGV1" s="9"/>
      <c r="LGW1" s="8"/>
      <c r="LGX1" s="9"/>
      <c r="LGY1" s="8"/>
      <c r="LGZ1" s="9"/>
      <c r="LHA1" s="8"/>
      <c r="LHB1" s="9"/>
      <c r="LHC1" s="8"/>
      <c r="LHD1" s="9"/>
      <c r="LHE1" s="8"/>
      <c r="LHF1" s="9"/>
      <c r="LHG1" s="8"/>
      <c r="LHH1" s="9"/>
      <c r="LHI1" s="8"/>
      <c r="LHJ1" s="9"/>
      <c r="LHK1" s="8"/>
      <c r="LHL1" s="9"/>
      <c r="LHM1" s="8"/>
      <c r="LHN1" s="9"/>
      <c r="LHO1" s="8"/>
      <c r="LHP1" s="9"/>
      <c r="LHQ1" s="8"/>
      <c r="LHR1" s="9"/>
      <c r="LHS1" s="8"/>
      <c r="LHT1" s="9"/>
      <c r="LHU1" s="8"/>
      <c r="LHV1" s="9"/>
      <c r="LHW1" s="8"/>
      <c r="LHX1" s="9"/>
      <c r="LHY1" s="8"/>
      <c r="LHZ1" s="9"/>
      <c r="LIA1" s="8"/>
      <c r="LIB1" s="9"/>
      <c r="LIC1" s="8"/>
      <c r="LID1" s="9"/>
      <c r="LIE1" s="8"/>
      <c r="LIF1" s="9"/>
      <c r="LIG1" s="8"/>
      <c r="LIH1" s="9"/>
      <c r="LII1" s="8"/>
      <c r="LIJ1" s="9"/>
      <c r="LIK1" s="8"/>
      <c r="LIL1" s="9"/>
      <c r="LIM1" s="8"/>
      <c r="LIN1" s="9"/>
      <c r="LIO1" s="8"/>
      <c r="LIP1" s="9"/>
      <c r="LIQ1" s="8"/>
      <c r="LIR1" s="9"/>
      <c r="LIS1" s="8"/>
      <c r="LIT1" s="9"/>
      <c r="LIU1" s="8"/>
      <c r="LIV1" s="9"/>
      <c r="LIW1" s="8"/>
      <c r="LIX1" s="9"/>
      <c r="LIY1" s="8"/>
      <c r="LIZ1" s="9"/>
      <c r="LJA1" s="8"/>
      <c r="LJB1" s="9"/>
      <c r="LJC1" s="8"/>
      <c r="LJD1" s="9"/>
      <c r="LJE1" s="8"/>
      <c r="LJF1" s="9"/>
      <c r="LJG1" s="8"/>
      <c r="LJH1" s="9"/>
      <c r="LJI1" s="8"/>
      <c r="LJJ1" s="9"/>
      <c r="LJK1" s="8"/>
      <c r="LJL1" s="9"/>
      <c r="LJM1" s="8"/>
      <c r="LJN1" s="9"/>
      <c r="LJO1" s="8"/>
      <c r="LJP1" s="9"/>
      <c r="LJQ1" s="8"/>
      <c r="LJR1" s="9"/>
      <c r="LJS1" s="8"/>
      <c r="LJT1" s="9"/>
      <c r="LJU1" s="8"/>
      <c r="LJV1" s="9"/>
      <c r="LJW1" s="8"/>
      <c r="LJX1" s="9"/>
      <c r="LJY1" s="8"/>
      <c r="LJZ1" s="9"/>
      <c r="LKA1" s="8"/>
      <c r="LKB1" s="9"/>
      <c r="LKC1" s="8"/>
      <c r="LKD1" s="9"/>
      <c r="LKE1" s="8"/>
      <c r="LKF1" s="9"/>
      <c r="LKG1" s="8"/>
      <c r="LKH1" s="9"/>
      <c r="LKI1" s="8"/>
      <c r="LKJ1" s="9"/>
      <c r="LKK1" s="8"/>
      <c r="LKL1" s="9"/>
      <c r="LKM1" s="8"/>
      <c r="LKN1" s="9"/>
      <c r="LKO1" s="8"/>
      <c r="LKP1" s="9"/>
      <c r="LKQ1" s="8"/>
      <c r="LKR1" s="9"/>
      <c r="LKS1" s="8"/>
      <c r="LKT1" s="9"/>
      <c r="LKU1" s="8"/>
      <c r="LKV1" s="9"/>
      <c r="LKW1" s="8"/>
      <c r="LKX1" s="9"/>
      <c r="LKY1" s="8"/>
      <c r="LKZ1" s="9"/>
      <c r="LLA1" s="8"/>
      <c r="LLB1" s="9"/>
      <c r="LLC1" s="8"/>
      <c r="LLD1" s="9"/>
      <c r="LLE1" s="8"/>
      <c r="LLF1" s="9"/>
      <c r="LLG1" s="8"/>
      <c r="LLH1" s="9"/>
      <c r="LLI1" s="8"/>
      <c r="LLJ1" s="9"/>
      <c r="LLK1" s="8"/>
      <c r="LLL1" s="9"/>
      <c r="LLM1" s="8"/>
      <c r="LLN1" s="9"/>
      <c r="LLO1" s="8"/>
      <c r="LLP1" s="9"/>
      <c r="LLQ1" s="8"/>
      <c r="LLR1" s="9"/>
      <c r="LLS1" s="8"/>
      <c r="LLT1" s="9"/>
      <c r="LLU1" s="8"/>
      <c r="LLV1" s="9"/>
      <c r="LLW1" s="8"/>
      <c r="LLX1" s="9"/>
      <c r="LLY1" s="8"/>
      <c r="LLZ1" s="9"/>
      <c r="LMA1" s="8"/>
      <c r="LMB1" s="9"/>
      <c r="LMC1" s="8"/>
      <c r="LMD1" s="9"/>
      <c r="LME1" s="8"/>
      <c r="LMF1" s="9"/>
      <c r="LMG1" s="8"/>
      <c r="LMH1" s="9"/>
      <c r="LMI1" s="8"/>
      <c r="LMJ1" s="9"/>
      <c r="LMK1" s="8"/>
      <c r="LML1" s="9"/>
      <c r="LMM1" s="8"/>
      <c r="LMN1" s="9"/>
      <c r="LMO1" s="8"/>
      <c r="LMP1" s="9"/>
      <c r="LMQ1" s="8"/>
      <c r="LMR1" s="9"/>
      <c r="LMS1" s="8"/>
      <c r="LMT1" s="9"/>
      <c r="LMU1" s="8"/>
      <c r="LMV1" s="9"/>
      <c r="LMW1" s="8"/>
      <c r="LMX1" s="9"/>
      <c r="LMY1" s="8"/>
      <c r="LMZ1" s="9"/>
      <c r="LNA1" s="8"/>
      <c r="LNB1" s="9"/>
      <c r="LNC1" s="8"/>
      <c r="LND1" s="9"/>
      <c r="LNE1" s="8"/>
      <c r="LNF1" s="9"/>
      <c r="LNG1" s="8"/>
      <c r="LNH1" s="9"/>
      <c r="LNI1" s="8"/>
      <c r="LNJ1" s="9"/>
      <c r="LNK1" s="8"/>
      <c r="LNL1" s="9"/>
      <c r="LNM1" s="8"/>
      <c r="LNN1" s="9"/>
      <c r="LNO1" s="8"/>
      <c r="LNP1" s="9"/>
      <c r="LNQ1" s="8"/>
      <c r="LNR1" s="9"/>
      <c r="LNS1" s="8"/>
      <c r="LNT1" s="9"/>
      <c r="LNU1" s="8"/>
      <c r="LNV1" s="9"/>
      <c r="LNW1" s="8"/>
      <c r="LNX1" s="9"/>
      <c r="LNY1" s="8"/>
      <c r="LNZ1" s="9"/>
      <c r="LOA1" s="8"/>
      <c r="LOB1" s="9"/>
      <c r="LOC1" s="8"/>
      <c r="LOD1" s="9"/>
      <c r="LOE1" s="8"/>
      <c r="LOF1" s="9"/>
      <c r="LOG1" s="8"/>
      <c r="LOH1" s="9"/>
      <c r="LOI1" s="8"/>
      <c r="LOJ1" s="9"/>
      <c r="LOK1" s="8"/>
      <c r="LOL1" s="9"/>
      <c r="LOM1" s="8"/>
      <c r="LON1" s="9"/>
      <c r="LOO1" s="8"/>
      <c r="LOP1" s="9"/>
      <c r="LOQ1" s="8"/>
      <c r="LOR1" s="9"/>
      <c r="LOS1" s="8"/>
      <c r="LOT1" s="9"/>
      <c r="LOU1" s="8"/>
      <c r="LOV1" s="9"/>
      <c r="LOW1" s="8"/>
      <c r="LOX1" s="9"/>
      <c r="LOY1" s="8"/>
      <c r="LOZ1" s="9"/>
      <c r="LPA1" s="8"/>
      <c r="LPB1" s="9"/>
      <c r="LPC1" s="8"/>
      <c r="LPD1" s="9"/>
      <c r="LPE1" s="8"/>
      <c r="LPF1" s="9"/>
      <c r="LPG1" s="8"/>
      <c r="LPH1" s="9"/>
      <c r="LPI1" s="8"/>
      <c r="LPJ1" s="9"/>
      <c r="LPK1" s="8"/>
      <c r="LPL1" s="9"/>
      <c r="LPM1" s="8"/>
      <c r="LPN1" s="9"/>
      <c r="LPO1" s="8"/>
      <c r="LPP1" s="9"/>
      <c r="LPQ1" s="8"/>
      <c r="LPR1" s="9"/>
      <c r="LPS1" s="8"/>
      <c r="LPT1" s="9"/>
      <c r="LPU1" s="8"/>
      <c r="LPV1" s="9"/>
      <c r="LPW1" s="8"/>
      <c r="LPX1" s="9"/>
      <c r="LPY1" s="8"/>
      <c r="LPZ1" s="9"/>
      <c r="LQA1" s="8"/>
      <c r="LQB1" s="9"/>
      <c r="LQC1" s="8"/>
      <c r="LQD1" s="9"/>
      <c r="LQE1" s="8"/>
      <c r="LQF1" s="9"/>
      <c r="LQG1" s="8"/>
      <c r="LQH1" s="9"/>
      <c r="LQI1" s="8"/>
      <c r="LQJ1" s="9"/>
      <c r="LQK1" s="8"/>
      <c r="LQL1" s="9"/>
      <c r="LQM1" s="8"/>
      <c r="LQN1" s="9"/>
      <c r="LQO1" s="8"/>
      <c r="LQP1" s="9"/>
      <c r="LQQ1" s="8"/>
      <c r="LQR1" s="9"/>
      <c r="LQS1" s="8"/>
      <c r="LQT1" s="9"/>
      <c r="LQU1" s="8"/>
      <c r="LQV1" s="9"/>
      <c r="LQW1" s="8"/>
      <c r="LQX1" s="9"/>
      <c r="LQY1" s="8"/>
      <c r="LQZ1" s="9"/>
      <c r="LRA1" s="8"/>
      <c r="LRB1" s="9"/>
      <c r="LRC1" s="8"/>
      <c r="LRD1" s="9"/>
      <c r="LRE1" s="8"/>
      <c r="LRF1" s="9"/>
      <c r="LRG1" s="8"/>
      <c r="LRH1" s="9"/>
      <c r="LRI1" s="8"/>
      <c r="LRJ1" s="9"/>
      <c r="LRK1" s="8"/>
      <c r="LRL1" s="9"/>
      <c r="LRM1" s="8"/>
      <c r="LRN1" s="9"/>
      <c r="LRO1" s="8"/>
      <c r="LRP1" s="9"/>
      <c r="LRQ1" s="8"/>
      <c r="LRR1" s="9"/>
      <c r="LRS1" s="8"/>
      <c r="LRT1" s="9"/>
      <c r="LRU1" s="8"/>
      <c r="LRV1" s="9"/>
      <c r="LRW1" s="8"/>
      <c r="LRX1" s="9"/>
      <c r="LRY1" s="8"/>
      <c r="LRZ1" s="9"/>
      <c r="LSA1" s="8"/>
      <c r="LSB1" s="9"/>
      <c r="LSC1" s="8"/>
      <c r="LSD1" s="9"/>
      <c r="LSE1" s="8"/>
      <c r="LSF1" s="9"/>
      <c r="LSG1" s="8"/>
      <c r="LSH1" s="9"/>
      <c r="LSI1" s="8"/>
      <c r="LSJ1" s="9"/>
      <c r="LSK1" s="8"/>
      <c r="LSL1" s="9"/>
      <c r="LSM1" s="8"/>
      <c r="LSN1" s="9"/>
      <c r="LSO1" s="8"/>
      <c r="LSP1" s="9"/>
      <c r="LSQ1" s="8"/>
      <c r="LSR1" s="9"/>
      <c r="LSS1" s="8"/>
      <c r="LST1" s="9"/>
      <c r="LSU1" s="8"/>
      <c r="LSV1" s="9"/>
      <c r="LSW1" s="8"/>
      <c r="LSX1" s="9"/>
      <c r="LSY1" s="8"/>
      <c r="LSZ1" s="9"/>
      <c r="LTA1" s="8"/>
      <c r="LTB1" s="9"/>
      <c r="LTC1" s="8"/>
      <c r="LTD1" s="9"/>
      <c r="LTE1" s="8"/>
      <c r="LTF1" s="9"/>
      <c r="LTG1" s="8"/>
      <c r="LTH1" s="9"/>
      <c r="LTI1" s="8"/>
      <c r="LTJ1" s="9"/>
      <c r="LTK1" s="8"/>
      <c r="LTL1" s="9"/>
      <c r="LTM1" s="8"/>
      <c r="LTN1" s="9"/>
      <c r="LTO1" s="8"/>
      <c r="LTP1" s="9"/>
      <c r="LTQ1" s="8"/>
      <c r="LTR1" s="9"/>
      <c r="LTS1" s="8"/>
      <c r="LTT1" s="9"/>
      <c r="LTU1" s="8"/>
      <c r="LTV1" s="9"/>
      <c r="LTW1" s="8"/>
      <c r="LTX1" s="9"/>
      <c r="LTY1" s="8"/>
      <c r="LTZ1" s="9"/>
      <c r="LUA1" s="8"/>
      <c r="LUB1" s="9"/>
      <c r="LUC1" s="8"/>
      <c r="LUD1" s="9"/>
      <c r="LUE1" s="8"/>
      <c r="LUF1" s="9"/>
      <c r="LUG1" s="8"/>
      <c r="LUH1" s="9"/>
      <c r="LUI1" s="8"/>
      <c r="LUJ1" s="9"/>
      <c r="LUK1" s="8"/>
      <c r="LUL1" s="9"/>
      <c r="LUM1" s="8"/>
      <c r="LUN1" s="9"/>
      <c r="LUO1" s="8"/>
      <c r="LUP1" s="9"/>
      <c r="LUQ1" s="8"/>
      <c r="LUR1" s="9"/>
      <c r="LUS1" s="8"/>
      <c r="LUT1" s="9"/>
      <c r="LUU1" s="8"/>
      <c r="LUV1" s="9"/>
      <c r="LUW1" s="8"/>
      <c r="LUX1" s="9"/>
      <c r="LUY1" s="8"/>
      <c r="LUZ1" s="9"/>
      <c r="LVA1" s="8"/>
      <c r="LVB1" s="9"/>
      <c r="LVC1" s="8"/>
      <c r="LVD1" s="9"/>
      <c r="LVE1" s="8"/>
      <c r="LVF1" s="9"/>
      <c r="LVG1" s="8"/>
      <c r="LVH1" s="9"/>
      <c r="LVI1" s="8"/>
      <c r="LVJ1" s="9"/>
      <c r="LVK1" s="8"/>
      <c r="LVL1" s="9"/>
      <c r="LVM1" s="8"/>
      <c r="LVN1" s="9"/>
      <c r="LVO1" s="8"/>
      <c r="LVP1" s="9"/>
      <c r="LVQ1" s="8"/>
      <c r="LVR1" s="9"/>
      <c r="LVS1" s="8"/>
      <c r="LVT1" s="9"/>
      <c r="LVU1" s="8"/>
      <c r="LVV1" s="9"/>
      <c r="LVW1" s="8"/>
      <c r="LVX1" s="9"/>
      <c r="LVY1" s="8"/>
      <c r="LVZ1" s="9"/>
      <c r="LWA1" s="8"/>
      <c r="LWB1" s="9"/>
      <c r="LWC1" s="8"/>
      <c r="LWD1" s="9"/>
      <c r="LWE1" s="8"/>
      <c r="LWF1" s="9"/>
      <c r="LWG1" s="8"/>
      <c r="LWH1" s="9"/>
      <c r="LWI1" s="8"/>
      <c r="LWJ1" s="9"/>
      <c r="LWK1" s="8"/>
      <c r="LWL1" s="9"/>
      <c r="LWM1" s="8"/>
      <c r="LWN1" s="9"/>
      <c r="LWO1" s="8"/>
      <c r="LWP1" s="9"/>
      <c r="LWQ1" s="8"/>
      <c r="LWR1" s="9"/>
      <c r="LWS1" s="8"/>
      <c r="LWT1" s="9"/>
      <c r="LWU1" s="8"/>
      <c r="LWV1" s="9"/>
      <c r="LWW1" s="8"/>
      <c r="LWX1" s="9"/>
      <c r="LWY1" s="8"/>
      <c r="LWZ1" s="9"/>
      <c r="LXA1" s="8"/>
      <c r="LXB1" s="9"/>
      <c r="LXC1" s="8"/>
      <c r="LXD1" s="9"/>
      <c r="LXE1" s="8"/>
      <c r="LXF1" s="9"/>
      <c r="LXG1" s="8"/>
      <c r="LXH1" s="9"/>
      <c r="LXI1" s="8"/>
      <c r="LXJ1" s="9"/>
      <c r="LXK1" s="8"/>
      <c r="LXL1" s="9"/>
      <c r="LXM1" s="8"/>
      <c r="LXN1" s="9"/>
      <c r="LXO1" s="8"/>
      <c r="LXP1" s="9"/>
      <c r="LXQ1" s="8"/>
      <c r="LXR1" s="9"/>
      <c r="LXS1" s="8"/>
      <c r="LXT1" s="9"/>
      <c r="LXU1" s="8"/>
      <c r="LXV1" s="9"/>
      <c r="LXW1" s="8"/>
      <c r="LXX1" s="9"/>
      <c r="LXY1" s="8"/>
      <c r="LXZ1" s="9"/>
      <c r="LYA1" s="8"/>
      <c r="LYB1" s="9"/>
      <c r="LYC1" s="8"/>
      <c r="LYD1" s="9"/>
      <c r="LYE1" s="8"/>
      <c r="LYF1" s="9"/>
      <c r="LYG1" s="8"/>
      <c r="LYH1" s="9"/>
      <c r="LYI1" s="8"/>
      <c r="LYJ1" s="9"/>
      <c r="LYK1" s="8"/>
      <c r="LYL1" s="9"/>
      <c r="LYM1" s="8"/>
      <c r="LYN1" s="9"/>
      <c r="LYO1" s="8"/>
      <c r="LYP1" s="9"/>
      <c r="LYQ1" s="8"/>
      <c r="LYR1" s="9"/>
      <c r="LYS1" s="8"/>
      <c r="LYT1" s="9"/>
      <c r="LYU1" s="8"/>
      <c r="LYV1" s="9"/>
      <c r="LYW1" s="8"/>
      <c r="LYX1" s="9"/>
      <c r="LYY1" s="8"/>
      <c r="LYZ1" s="9"/>
      <c r="LZA1" s="8"/>
      <c r="LZB1" s="9"/>
      <c r="LZC1" s="8"/>
      <c r="LZD1" s="9"/>
      <c r="LZE1" s="8"/>
      <c r="LZF1" s="9"/>
      <c r="LZG1" s="8"/>
      <c r="LZH1" s="9"/>
      <c r="LZI1" s="8"/>
      <c r="LZJ1" s="9"/>
      <c r="LZK1" s="8"/>
      <c r="LZL1" s="9"/>
      <c r="LZM1" s="8"/>
      <c r="LZN1" s="9"/>
      <c r="LZO1" s="8"/>
      <c r="LZP1" s="9"/>
      <c r="LZQ1" s="8"/>
      <c r="LZR1" s="9"/>
      <c r="LZS1" s="8"/>
      <c r="LZT1" s="9"/>
      <c r="LZU1" s="8"/>
      <c r="LZV1" s="9"/>
      <c r="LZW1" s="8"/>
      <c r="LZX1" s="9"/>
      <c r="LZY1" s="8"/>
      <c r="LZZ1" s="9"/>
      <c r="MAA1" s="8"/>
      <c r="MAB1" s="9"/>
      <c r="MAC1" s="8"/>
      <c r="MAD1" s="9"/>
      <c r="MAE1" s="8"/>
      <c r="MAF1" s="9"/>
      <c r="MAG1" s="8"/>
      <c r="MAH1" s="9"/>
      <c r="MAI1" s="8"/>
      <c r="MAJ1" s="9"/>
      <c r="MAK1" s="8"/>
      <c r="MAL1" s="9"/>
      <c r="MAM1" s="8"/>
      <c r="MAN1" s="9"/>
      <c r="MAO1" s="8"/>
      <c r="MAP1" s="9"/>
      <c r="MAQ1" s="8"/>
      <c r="MAR1" s="9"/>
      <c r="MAS1" s="8"/>
      <c r="MAT1" s="9"/>
      <c r="MAU1" s="8"/>
      <c r="MAV1" s="9"/>
      <c r="MAW1" s="8"/>
      <c r="MAX1" s="9"/>
      <c r="MAY1" s="8"/>
      <c r="MAZ1" s="9"/>
      <c r="MBA1" s="8"/>
      <c r="MBB1" s="9"/>
      <c r="MBC1" s="8"/>
      <c r="MBD1" s="9"/>
      <c r="MBE1" s="8"/>
      <c r="MBF1" s="9"/>
      <c r="MBG1" s="8"/>
      <c r="MBH1" s="9"/>
      <c r="MBI1" s="8"/>
      <c r="MBJ1" s="9"/>
      <c r="MBK1" s="8"/>
      <c r="MBL1" s="9"/>
      <c r="MBM1" s="8"/>
      <c r="MBN1" s="9"/>
      <c r="MBO1" s="8"/>
      <c r="MBP1" s="9"/>
      <c r="MBQ1" s="8"/>
      <c r="MBR1" s="9"/>
      <c r="MBS1" s="8"/>
      <c r="MBT1" s="9"/>
      <c r="MBU1" s="8"/>
      <c r="MBV1" s="9"/>
      <c r="MBW1" s="8"/>
      <c r="MBX1" s="9"/>
      <c r="MBY1" s="8"/>
      <c r="MBZ1" s="9"/>
      <c r="MCA1" s="8"/>
      <c r="MCB1" s="9"/>
      <c r="MCC1" s="8"/>
      <c r="MCD1" s="9"/>
      <c r="MCE1" s="8"/>
      <c r="MCF1" s="9"/>
      <c r="MCG1" s="8"/>
      <c r="MCH1" s="9"/>
      <c r="MCI1" s="8"/>
      <c r="MCJ1" s="9"/>
      <c r="MCK1" s="8"/>
      <c r="MCL1" s="9"/>
      <c r="MCM1" s="8"/>
      <c r="MCN1" s="9"/>
      <c r="MCO1" s="8"/>
      <c r="MCP1" s="9"/>
      <c r="MCQ1" s="8"/>
      <c r="MCR1" s="9"/>
      <c r="MCS1" s="8"/>
      <c r="MCT1" s="9"/>
      <c r="MCU1" s="8"/>
      <c r="MCV1" s="9"/>
      <c r="MCW1" s="8"/>
      <c r="MCX1" s="9"/>
      <c r="MCY1" s="8"/>
      <c r="MCZ1" s="9"/>
      <c r="MDA1" s="8"/>
      <c r="MDB1" s="9"/>
      <c r="MDC1" s="8"/>
      <c r="MDD1" s="9"/>
      <c r="MDE1" s="8"/>
      <c r="MDF1" s="9"/>
      <c r="MDG1" s="8"/>
      <c r="MDH1" s="9"/>
      <c r="MDI1" s="8"/>
      <c r="MDJ1" s="9"/>
      <c r="MDK1" s="8"/>
      <c r="MDL1" s="9"/>
      <c r="MDM1" s="8"/>
      <c r="MDN1" s="9"/>
      <c r="MDO1" s="8"/>
      <c r="MDP1" s="9"/>
      <c r="MDQ1" s="8"/>
      <c r="MDR1" s="9"/>
      <c r="MDS1" s="8"/>
      <c r="MDT1" s="9"/>
      <c r="MDU1" s="8"/>
      <c r="MDV1" s="9"/>
      <c r="MDW1" s="8"/>
      <c r="MDX1" s="9"/>
      <c r="MDY1" s="8"/>
      <c r="MDZ1" s="9"/>
      <c r="MEA1" s="8"/>
      <c r="MEB1" s="9"/>
      <c r="MEC1" s="8"/>
      <c r="MED1" s="9"/>
      <c r="MEE1" s="8"/>
      <c r="MEF1" s="9"/>
      <c r="MEG1" s="8"/>
      <c r="MEH1" s="9"/>
      <c r="MEI1" s="8"/>
      <c r="MEJ1" s="9"/>
      <c r="MEK1" s="8"/>
      <c r="MEL1" s="9"/>
      <c r="MEM1" s="8"/>
      <c r="MEN1" s="9"/>
      <c r="MEO1" s="8"/>
      <c r="MEP1" s="9"/>
      <c r="MEQ1" s="8"/>
      <c r="MER1" s="9"/>
      <c r="MES1" s="8"/>
      <c r="MET1" s="9"/>
      <c r="MEU1" s="8"/>
      <c r="MEV1" s="9"/>
      <c r="MEW1" s="8"/>
      <c r="MEX1" s="9"/>
      <c r="MEY1" s="8"/>
      <c r="MEZ1" s="9"/>
      <c r="MFA1" s="8"/>
      <c r="MFB1" s="9"/>
      <c r="MFC1" s="8"/>
      <c r="MFD1" s="9"/>
      <c r="MFE1" s="8"/>
      <c r="MFF1" s="9"/>
      <c r="MFG1" s="8"/>
      <c r="MFH1" s="9"/>
      <c r="MFI1" s="8"/>
      <c r="MFJ1" s="9"/>
      <c r="MFK1" s="8"/>
      <c r="MFL1" s="9"/>
      <c r="MFM1" s="8"/>
      <c r="MFN1" s="9"/>
      <c r="MFO1" s="8"/>
      <c r="MFP1" s="9"/>
      <c r="MFQ1" s="8"/>
      <c r="MFR1" s="9"/>
      <c r="MFS1" s="8"/>
      <c r="MFT1" s="9"/>
      <c r="MFU1" s="8"/>
      <c r="MFV1" s="9"/>
      <c r="MFW1" s="8"/>
      <c r="MFX1" s="9"/>
      <c r="MFY1" s="8"/>
      <c r="MFZ1" s="9"/>
      <c r="MGA1" s="8"/>
      <c r="MGB1" s="9"/>
      <c r="MGC1" s="8"/>
      <c r="MGD1" s="9"/>
      <c r="MGE1" s="8"/>
      <c r="MGF1" s="9"/>
      <c r="MGG1" s="8"/>
      <c r="MGH1" s="9"/>
      <c r="MGI1" s="8"/>
      <c r="MGJ1" s="9"/>
      <c r="MGK1" s="8"/>
      <c r="MGL1" s="9"/>
      <c r="MGM1" s="8"/>
      <c r="MGN1" s="9"/>
      <c r="MGO1" s="8"/>
      <c r="MGP1" s="9"/>
      <c r="MGQ1" s="8"/>
      <c r="MGR1" s="9"/>
      <c r="MGS1" s="8"/>
      <c r="MGT1" s="9"/>
      <c r="MGU1" s="8"/>
      <c r="MGV1" s="9"/>
      <c r="MGW1" s="8"/>
      <c r="MGX1" s="9"/>
      <c r="MGY1" s="8"/>
      <c r="MGZ1" s="9"/>
      <c r="MHA1" s="8"/>
      <c r="MHB1" s="9"/>
      <c r="MHC1" s="8"/>
      <c r="MHD1" s="9"/>
      <c r="MHE1" s="8"/>
      <c r="MHF1" s="9"/>
      <c r="MHG1" s="8"/>
      <c r="MHH1" s="9"/>
      <c r="MHI1" s="8"/>
      <c r="MHJ1" s="9"/>
      <c r="MHK1" s="8"/>
      <c r="MHL1" s="9"/>
      <c r="MHM1" s="8"/>
      <c r="MHN1" s="9"/>
      <c r="MHO1" s="8"/>
      <c r="MHP1" s="9"/>
      <c r="MHQ1" s="8"/>
      <c r="MHR1" s="9"/>
      <c r="MHS1" s="8"/>
      <c r="MHT1" s="9"/>
      <c r="MHU1" s="8"/>
      <c r="MHV1" s="9"/>
      <c r="MHW1" s="8"/>
      <c r="MHX1" s="9"/>
      <c r="MHY1" s="8"/>
      <c r="MHZ1" s="9"/>
      <c r="MIA1" s="8"/>
      <c r="MIB1" s="9"/>
      <c r="MIC1" s="8"/>
      <c r="MID1" s="9"/>
      <c r="MIE1" s="8"/>
      <c r="MIF1" s="9"/>
      <c r="MIG1" s="8"/>
      <c r="MIH1" s="9"/>
      <c r="MII1" s="8"/>
      <c r="MIJ1" s="9"/>
      <c r="MIK1" s="8"/>
      <c r="MIL1" s="9"/>
      <c r="MIM1" s="8"/>
      <c r="MIN1" s="9"/>
      <c r="MIO1" s="8"/>
      <c r="MIP1" s="9"/>
      <c r="MIQ1" s="8"/>
      <c r="MIR1" s="9"/>
      <c r="MIS1" s="8"/>
      <c r="MIT1" s="9"/>
      <c r="MIU1" s="8"/>
      <c r="MIV1" s="9"/>
      <c r="MIW1" s="8"/>
      <c r="MIX1" s="9"/>
      <c r="MIY1" s="8"/>
      <c r="MIZ1" s="9"/>
      <c r="MJA1" s="8"/>
      <c r="MJB1" s="9"/>
      <c r="MJC1" s="8"/>
      <c r="MJD1" s="9"/>
      <c r="MJE1" s="8"/>
      <c r="MJF1" s="9"/>
      <c r="MJG1" s="8"/>
      <c r="MJH1" s="9"/>
      <c r="MJI1" s="8"/>
      <c r="MJJ1" s="9"/>
      <c r="MJK1" s="8"/>
      <c r="MJL1" s="9"/>
      <c r="MJM1" s="8"/>
      <c r="MJN1" s="9"/>
      <c r="MJO1" s="8"/>
      <c r="MJP1" s="9"/>
      <c r="MJQ1" s="8"/>
      <c r="MJR1" s="9"/>
      <c r="MJS1" s="8"/>
      <c r="MJT1" s="9"/>
      <c r="MJU1" s="8"/>
      <c r="MJV1" s="9"/>
      <c r="MJW1" s="8"/>
      <c r="MJX1" s="9"/>
      <c r="MJY1" s="8"/>
      <c r="MJZ1" s="9"/>
      <c r="MKA1" s="8"/>
      <c r="MKB1" s="9"/>
      <c r="MKC1" s="8"/>
      <c r="MKD1" s="9"/>
      <c r="MKE1" s="8"/>
      <c r="MKF1" s="9"/>
      <c r="MKG1" s="8"/>
      <c r="MKH1" s="9"/>
      <c r="MKI1" s="8"/>
      <c r="MKJ1" s="9"/>
      <c r="MKK1" s="8"/>
      <c r="MKL1" s="9"/>
      <c r="MKM1" s="8"/>
      <c r="MKN1" s="9"/>
      <c r="MKO1" s="8"/>
      <c r="MKP1" s="9"/>
      <c r="MKQ1" s="8"/>
      <c r="MKR1" s="9"/>
      <c r="MKS1" s="8"/>
      <c r="MKT1" s="9"/>
      <c r="MKU1" s="8"/>
      <c r="MKV1" s="9"/>
      <c r="MKW1" s="8"/>
      <c r="MKX1" s="9"/>
      <c r="MKY1" s="8"/>
      <c r="MKZ1" s="9"/>
      <c r="MLA1" s="8"/>
      <c r="MLB1" s="9"/>
      <c r="MLC1" s="8"/>
      <c r="MLD1" s="9"/>
      <c r="MLE1" s="8"/>
      <c r="MLF1" s="9"/>
      <c r="MLG1" s="8"/>
      <c r="MLH1" s="9"/>
      <c r="MLI1" s="8"/>
      <c r="MLJ1" s="9"/>
      <c r="MLK1" s="8"/>
      <c r="MLL1" s="9"/>
      <c r="MLM1" s="8"/>
      <c r="MLN1" s="9"/>
      <c r="MLO1" s="8"/>
      <c r="MLP1" s="9"/>
      <c r="MLQ1" s="8"/>
      <c r="MLR1" s="9"/>
      <c r="MLS1" s="8"/>
      <c r="MLT1" s="9"/>
      <c r="MLU1" s="8"/>
      <c r="MLV1" s="9"/>
      <c r="MLW1" s="8"/>
      <c r="MLX1" s="9"/>
      <c r="MLY1" s="8"/>
      <c r="MLZ1" s="9"/>
      <c r="MMA1" s="8"/>
      <c r="MMB1" s="9"/>
      <c r="MMC1" s="8"/>
      <c r="MMD1" s="9"/>
      <c r="MME1" s="8"/>
      <c r="MMF1" s="9"/>
      <c r="MMG1" s="8"/>
      <c r="MMH1" s="9"/>
      <c r="MMI1" s="8"/>
      <c r="MMJ1" s="9"/>
      <c r="MMK1" s="8"/>
      <c r="MML1" s="9"/>
      <c r="MMM1" s="8"/>
      <c r="MMN1" s="9"/>
      <c r="MMO1" s="8"/>
      <c r="MMP1" s="9"/>
      <c r="MMQ1" s="8"/>
      <c r="MMR1" s="9"/>
      <c r="MMS1" s="8"/>
      <c r="MMT1" s="9"/>
      <c r="MMU1" s="8"/>
      <c r="MMV1" s="9"/>
      <c r="MMW1" s="8"/>
      <c r="MMX1" s="9"/>
      <c r="MMY1" s="8"/>
      <c r="MMZ1" s="9"/>
      <c r="MNA1" s="8"/>
      <c r="MNB1" s="9"/>
      <c r="MNC1" s="8"/>
      <c r="MND1" s="9"/>
      <c r="MNE1" s="8"/>
      <c r="MNF1" s="9"/>
      <c r="MNG1" s="8"/>
      <c r="MNH1" s="9"/>
      <c r="MNI1" s="8"/>
      <c r="MNJ1" s="9"/>
      <c r="MNK1" s="8"/>
      <c r="MNL1" s="9"/>
      <c r="MNM1" s="8"/>
      <c r="MNN1" s="9"/>
      <c r="MNO1" s="8"/>
      <c r="MNP1" s="9"/>
      <c r="MNQ1" s="8"/>
      <c r="MNR1" s="9"/>
      <c r="MNS1" s="8"/>
      <c r="MNT1" s="9"/>
      <c r="MNU1" s="8"/>
      <c r="MNV1" s="9"/>
      <c r="MNW1" s="8"/>
      <c r="MNX1" s="9"/>
      <c r="MNY1" s="8"/>
      <c r="MNZ1" s="9"/>
      <c r="MOA1" s="8"/>
      <c r="MOB1" s="9"/>
      <c r="MOC1" s="8"/>
      <c r="MOD1" s="9"/>
      <c r="MOE1" s="8"/>
      <c r="MOF1" s="9"/>
      <c r="MOG1" s="8"/>
      <c r="MOH1" s="9"/>
      <c r="MOI1" s="8"/>
      <c r="MOJ1" s="9"/>
      <c r="MOK1" s="8"/>
      <c r="MOL1" s="9"/>
      <c r="MOM1" s="8"/>
      <c r="MON1" s="9"/>
      <c r="MOO1" s="8"/>
      <c r="MOP1" s="9"/>
      <c r="MOQ1" s="8"/>
      <c r="MOR1" s="9"/>
      <c r="MOS1" s="8"/>
      <c r="MOT1" s="9"/>
      <c r="MOU1" s="8"/>
      <c r="MOV1" s="9"/>
      <c r="MOW1" s="8"/>
      <c r="MOX1" s="9"/>
      <c r="MOY1" s="8"/>
      <c r="MOZ1" s="9"/>
      <c r="MPA1" s="8"/>
      <c r="MPB1" s="9"/>
      <c r="MPC1" s="8"/>
      <c r="MPD1" s="9"/>
      <c r="MPE1" s="8"/>
      <c r="MPF1" s="9"/>
      <c r="MPG1" s="8"/>
      <c r="MPH1" s="9"/>
      <c r="MPI1" s="8"/>
      <c r="MPJ1" s="9"/>
      <c r="MPK1" s="8"/>
      <c r="MPL1" s="9"/>
      <c r="MPM1" s="8"/>
      <c r="MPN1" s="9"/>
      <c r="MPO1" s="8"/>
      <c r="MPP1" s="9"/>
      <c r="MPQ1" s="8"/>
      <c r="MPR1" s="9"/>
      <c r="MPS1" s="8"/>
      <c r="MPT1" s="9"/>
      <c r="MPU1" s="8"/>
      <c r="MPV1" s="9"/>
      <c r="MPW1" s="8"/>
      <c r="MPX1" s="9"/>
      <c r="MPY1" s="8"/>
      <c r="MPZ1" s="9"/>
      <c r="MQA1" s="8"/>
      <c r="MQB1" s="9"/>
      <c r="MQC1" s="8"/>
      <c r="MQD1" s="9"/>
      <c r="MQE1" s="8"/>
      <c r="MQF1" s="9"/>
      <c r="MQG1" s="8"/>
      <c r="MQH1" s="9"/>
      <c r="MQI1" s="8"/>
      <c r="MQJ1" s="9"/>
      <c r="MQK1" s="8"/>
      <c r="MQL1" s="9"/>
      <c r="MQM1" s="8"/>
      <c r="MQN1" s="9"/>
      <c r="MQO1" s="8"/>
      <c r="MQP1" s="9"/>
      <c r="MQQ1" s="8"/>
      <c r="MQR1" s="9"/>
      <c r="MQS1" s="8"/>
      <c r="MQT1" s="9"/>
      <c r="MQU1" s="8"/>
      <c r="MQV1" s="9"/>
      <c r="MQW1" s="8"/>
      <c r="MQX1" s="9"/>
      <c r="MQY1" s="8"/>
      <c r="MQZ1" s="9"/>
      <c r="MRA1" s="8"/>
      <c r="MRB1" s="9"/>
      <c r="MRC1" s="8"/>
      <c r="MRD1" s="9"/>
      <c r="MRE1" s="8"/>
      <c r="MRF1" s="9"/>
      <c r="MRG1" s="8"/>
      <c r="MRH1" s="9"/>
      <c r="MRI1" s="8"/>
      <c r="MRJ1" s="9"/>
      <c r="MRK1" s="8"/>
      <c r="MRL1" s="9"/>
      <c r="MRM1" s="8"/>
      <c r="MRN1" s="9"/>
      <c r="MRO1" s="8"/>
      <c r="MRP1" s="9"/>
      <c r="MRQ1" s="8"/>
      <c r="MRR1" s="9"/>
      <c r="MRS1" s="8"/>
      <c r="MRT1" s="9"/>
      <c r="MRU1" s="8"/>
      <c r="MRV1" s="9"/>
      <c r="MRW1" s="8"/>
      <c r="MRX1" s="9"/>
      <c r="MRY1" s="8"/>
      <c r="MRZ1" s="9"/>
      <c r="MSA1" s="8"/>
      <c r="MSB1" s="9"/>
      <c r="MSC1" s="8"/>
      <c r="MSD1" s="9"/>
      <c r="MSE1" s="8"/>
      <c r="MSF1" s="9"/>
      <c r="MSG1" s="8"/>
      <c r="MSH1" s="9"/>
      <c r="MSI1" s="8"/>
      <c r="MSJ1" s="9"/>
      <c r="MSK1" s="8"/>
      <c r="MSL1" s="9"/>
      <c r="MSM1" s="8"/>
      <c r="MSN1" s="9"/>
      <c r="MSO1" s="8"/>
      <c r="MSP1" s="9"/>
      <c r="MSQ1" s="8"/>
      <c r="MSR1" s="9"/>
      <c r="MSS1" s="8"/>
      <c r="MST1" s="9"/>
      <c r="MSU1" s="8"/>
      <c r="MSV1" s="9"/>
      <c r="MSW1" s="8"/>
      <c r="MSX1" s="9"/>
      <c r="MSY1" s="8"/>
      <c r="MSZ1" s="9"/>
      <c r="MTA1" s="8"/>
      <c r="MTB1" s="9"/>
      <c r="MTC1" s="8"/>
      <c r="MTD1" s="9"/>
      <c r="MTE1" s="8"/>
      <c r="MTF1" s="9"/>
      <c r="MTG1" s="8"/>
      <c r="MTH1" s="9"/>
      <c r="MTI1" s="8"/>
      <c r="MTJ1" s="9"/>
      <c r="MTK1" s="8"/>
      <c r="MTL1" s="9"/>
      <c r="MTM1" s="8"/>
      <c r="MTN1" s="9"/>
      <c r="MTO1" s="8"/>
      <c r="MTP1" s="9"/>
      <c r="MTQ1" s="8"/>
      <c r="MTR1" s="9"/>
      <c r="MTS1" s="8"/>
      <c r="MTT1" s="9"/>
      <c r="MTU1" s="8"/>
      <c r="MTV1" s="9"/>
      <c r="MTW1" s="8"/>
      <c r="MTX1" s="9"/>
      <c r="MTY1" s="8"/>
      <c r="MTZ1" s="9"/>
      <c r="MUA1" s="8"/>
      <c r="MUB1" s="9"/>
      <c r="MUC1" s="8"/>
      <c r="MUD1" s="9"/>
      <c r="MUE1" s="8"/>
      <c r="MUF1" s="9"/>
      <c r="MUG1" s="8"/>
      <c r="MUH1" s="9"/>
      <c r="MUI1" s="8"/>
      <c r="MUJ1" s="9"/>
      <c r="MUK1" s="8"/>
      <c r="MUL1" s="9"/>
      <c r="MUM1" s="8"/>
      <c r="MUN1" s="9"/>
      <c r="MUO1" s="8"/>
      <c r="MUP1" s="9"/>
      <c r="MUQ1" s="8"/>
      <c r="MUR1" s="9"/>
      <c r="MUS1" s="8"/>
      <c r="MUT1" s="9"/>
      <c r="MUU1" s="8"/>
      <c r="MUV1" s="9"/>
      <c r="MUW1" s="8"/>
      <c r="MUX1" s="9"/>
      <c r="MUY1" s="8"/>
      <c r="MUZ1" s="9"/>
      <c r="MVA1" s="8"/>
      <c r="MVB1" s="9"/>
      <c r="MVC1" s="8"/>
      <c r="MVD1" s="9"/>
      <c r="MVE1" s="8"/>
      <c r="MVF1" s="9"/>
      <c r="MVG1" s="8"/>
      <c r="MVH1" s="9"/>
      <c r="MVI1" s="8"/>
      <c r="MVJ1" s="9"/>
      <c r="MVK1" s="8"/>
      <c r="MVL1" s="9"/>
      <c r="MVM1" s="8"/>
      <c r="MVN1" s="9"/>
      <c r="MVO1" s="8"/>
      <c r="MVP1" s="9"/>
      <c r="MVQ1" s="8"/>
      <c r="MVR1" s="9"/>
      <c r="MVS1" s="8"/>
      <c r="MVT1" s="9"/>
      <c r="MVU1" s="8"/>
      <c r="MVV1" s="9"/>
      <c r="MVW1" s="8"/>
      <c r="MVX1" s="9"/>
      <c r="MVY1" s="8"/>
      <c r="MVZ1" s="9"/>
      <c r="MWA1" s="8"/>
      <c r="MWB1" s="9"/>
      <c r="MWC1" s="8"/>
      <c r="MWD1" s="9"/>
      <c r="MWE1" s="8"/>
      <c r="MWF1" s="9"/>
      <c r="MWG1" s="8"/>
      <c r="MWH1" s="9"/>
      <c r="MWI1" s="8"/>
      <c r="MWJ1" s="9"/>
      <c r="MWK1" s="8"/>
      <c r="MWL1" s="9"/>
      <c r="MWM1" s="8"/>
      <c r="MWN1" s="9"/>
      <c r="MWO1" s="8"/>
      <c r="MWP1" s="9"/>
      <c r="MWQ1" s="8"/>
      <c r="MWR1" s="9"/>
      <c r="MWS1" s="8"/>
      <c r="MWT1" s="9"/>
      <c r="MWU1" s="8"/>
      <c r="MWV1" s="9"/>
      <c r="MWW1" s="8"/>
      <c r="MWX1" s="9"/>
      <c r="MWY1" s="8"/>
      <c r="MWZ1" s="9"/>
      <c r="MXA1" s="8"/>
      <c r="MXB1" s="9"/>
      <c r="MXC1" s="8"/>
      <c r="MXD1" s="9"/>
      <c r="MXE1" s="8"/>
      <c r="MXF1" s="9"/>
      <c r="MXG1" s="8"/>
      <c r="MXH1" s="9"/>
      <c r="MXI1" s="8"/>
      <c r="MXJ1" s="9"/>
      <c r="MXK1" s="8"/>
      <c r="MXL1" s="9"/>
      <c r="MXM1" s="8"/>
      <c r="MXN1" s="9"/>
      <c r="MXO1" s="8"/>
      <c r="MXP1" s="9"/>
      <c r="MXQ1" s="8"/>
      <c r="MXR1" s="9"/>
      <c r="MXS1" s="8"/>
      <c r="MXT1" s="9"/>
      <c r="MXU1" s="8"/>
      <c r="MXV1" s="9"/>
      <c r="MXW1" s="8"/>
      <c r="MXX1" s="9"/>
      <c r="MXY1" s="8"/>
      <c r="MXZ1" s="9"/>
      <c r="MYA1" s="8"/>
      <c r="MYB1" s="9"/>
      <c r="MYC1" s="8"/>
      <c r="MYD1" s="9"/>
      <c r="MYE1" s="8"/>
      <c r="MYF1" s="9"/>
      <c r="MYG1" s="8"/>
      <c r="MYH1" s="9"/>
      <c r="MYI1" s="8"/>
      <c r="MYJ1" s="9"/>
      <c r="MYK1" s="8"/>
      <c r="MYL1" s="9"/>
      <c r="MYM1" s="8"/>
      <c r="MYN1" s="9"/>
      <c r="MYO1" s="8"/>
      <c r="MYP1" s="9"/>
      <c r="MYQ1" s="8"/>
      <c r="MYR1" s="9"/>
      <c r="MYS1" s="8"/>
      <c r="MYT1" s="9"/>
      <c r="MYU1" s="8"/>
      <c r="MYV1" s="9"/>
      <c r="MYW1" s="8"/>
      <c r="MYX1" s="9"/>
      <c r="MYY1" s="8"/>
      <c r="MYZ1" s="9"/>
      <c r="MZA1" s="8"/>
      <c r="MZB1" s="9"/>
      <c r="MZC1" s="8"/>
      <c r="MZD1" s="9"/>
      <c r="MZE1" s="8"/>
      <c r="MZF1" s="9"/>
      <c r="MZG1" s="8"/>
      <c r="MZH1" s="9"/>
      <c r="MZI1" s="8"/>
      <c r="MZJ1" s="9"/>
      <c r="MZK1" s="8"/>
      <c r="MZL1" s="9"/>
      <c r="MZM1" s="8"/>
      <c r="MZN1" s="9"/>
      <c r="MZO1" s="8"/>
      <c r="MZP1" s="9"/>
      <c r="MZQ1" s="8"/>
      <c r="MZR1" s="9"/>
      <c r="MZS1" s="8"/>
      <c r="MZT1" s="9"/>
      <c r="MZU1" s="8"/>
      <c r="MZV1" s="9"/>
      <c r="MZW1" s="8"/>
      <c r="MZX1" s="9"/>
      <c r="MZY1" s="8"/>
      <c r="MZZ1" s="9"/>
      <c r="NAA1" s="8"/>
      <c r="NAB1" s="9"/>
      <c r="NAC1" s="8"/>
      <c r="NAD1" s="9"/>
      <c r="NAE1" s="8"/>
      <c r="NAF1" s="9"/>
      <c r="NAG1" s="8"/>
      <c r="NAH1" s="9"/>
      <c r="NAI1" s="8"/>
      <c r="NAJ1" s="9"/>
      <c r="NAK1" s="8"/>
      <c r="NAL1" s="9"/>
      <c r="NAM1" s="8"/>
      <c r="NAN1" s="9"/>
      <c r="NAO1" s="8"/>
      <c r="NAP1" s="9"/>
      <c r="NAQ1" s="8"/>
      <c r="NAR1" s="9"/>
      <c r="NAS1" s="8"/>
      <c r="NAT1" s="9"/>
      <c r="NAU1" s="8"/>
      <c r="NAV1" s="9"/>
      <c r="NAW1" s="8"/>
      <c r="NAX1" s="9"/>
      <c r="NAY1" s="8"/>
      <c r="NAZ1" s="9"/>
      <c r="NBA1" s="8"/>
      <c r="NBB1" s="9"/>
      <c r="NBC1" s="8"/>
      <c r="NBD1" s="9"/>
      <c r="NBE1" s="8"/>
      <c r="NBF1" s="9"/>
      <c r="NBG1" s="8"/>
      <c r="NBH1" s="9"/>
      <c r="NBI1" s="8"/>
      <c r="NBJ1" s="9"/>
      <c r="NBK1" s="8"/>
      <c r="NBL1" s="9"/>
      <c r="NBM1" s="8"/>
      <c r="NBN1" s="9"/>
      <c r="NBO1" s="8"/>
      <c r="NBP1" s="9"/>
      <c r="NBQ1" s="8"/>
      <c r="NBR1" s="9"/>
      <c r="NBS1" s="8"/>
      <c r="NBT1" s="9"/>
      <c r="NBU1" s="8"/>
      <c r="NBV1" s="9"/>
      <c r="NBW1" s="8"/>
      <c r="NBX1" s="9"/>
      <c r="NBY1" s="8"/>
      <c r="NBZ1" s="9"/>
      <c r="NCA1" s="8"/>
      <c r="NCB1" s="9"/>
      <c r="NCC1" s="8"/>
      <c r="NCD1" s="9"/>
      <c r="NCE1" s="8"/>
      <c r="NCF1" s="9"/>
      <c r="NCG1" s="8"/>
      <c r="NCH1" s="9"/>
      <c r="NCI1" s="8"/>
      <c r="NCJ1" s="9"/>
      <c r="NCK1" s="8"/>
      <c r="NCL1" s="9"/>
      <c r="NCM1" s="8"/>
      <c r="NCN1" s="9"/>
      <c r="NCO1" s="8"/>
      <c r="NCP1" s="9"/>
      <c r="NCQ1" s="8"/>
      <c r="NCR1" s="9"/>
      <c r="NCS1" s="8"/>
      <c r="NCT1" s="9"/>
      <c r="NCU1" s="8"/>
      <c r="NCV1" s="9"/>
      <c r="NCW1" s="8"/>
      <c r="NCX1" s="9"/>
      <c r="NCY1" s="8"/>
      <c r="NCZ1" s="9"/>
      <c r="NDA1" s="8"/>
      <c r="NDB1" s="9"/>
      <c r="NDC1" s="8"/>
      <c r="NDD1" s="9"/>
      <c r="NDE1" s="8"/>
      <c r="NDF1" s="9"/>
      <c r="NDG1" s="8"/>
      <c r="NDH1" s="9"/>
      <c r="NDI1" s="8"/>
      <c r="NDJ1" s="9"/>
      <c r="NDK1" s="8"/>
      <c r="NDL1" s="9"/>
      <c r="NDM1" s="8"/>
      <c r="NDN1" s="9"/>
      <c r="NDO1" s="8"/>
      <c r="NDP1" s="9"/>
      <c r="NDQ1" s="8"/>
      <c r="NDR1" s="9"/>
      <c r="NDS1" s="8"/>
      <c r="NDT1" s="9"/>
      <c r="NDU1" s="8"/>
      <c r="NDV1" s="9"/>
      <c r="NDW1" s="8"/>
      <c r="NDX1" s="9"/>
      <c r="NDY1" s="8"/>
      <c r="NDZ1" s="9"/>
      <c r="NEA1" s="8"/>
      <c r="NEB1" s="9"/>
      <c r="NEC1" s="8"/>
      <c r="NED1" s="9"/>
      <c r="NEE1" s="8"/>
      <c r="NEF1" s="9"/>
      <c r="NEG1" s="8"/>
      <c r="NEH1" s="9"/>
      <c r="NEI1" s="8"/>
      <c r="NEJ1" s="9"/>
      <c r="NEK1" s="8"/>
      <c r="NEL1" s="9"/>
      <c r="NEM1" s="8"/>
      <c r="NEN1" s="9"/>
      <c r="NEO1" s="8"/>
      <c r="NEP1" s="9"/>
      <c r="NEQ1" s="8"/>
      <c r="NER1" s="9"/>
      <c r="NES1" s="8"/>
      <c r="NET1" s="9"/>
      <c r="NEU1" s="8"/>
      <c r="NEV1" s="9"/>
      <c r="NEW1" s="8"/>
      <c r="NEX1" s="9"/>
      <c r="NEY1" s="8"/>
      <c r="NEZ1" s="9"/>
      <c r="NFA1" s="8"/>
      <c r="NFB1" s="9"/>
      <c r="NFC1" s="8"/>
      <c r="NFD1" s="9"/>
      <c r="NFE1" s="8"/>
      <c r="NFF1" s="9"/>
      <c r="NFG1" s="8"/>
      <c r="NFH1" s="9"/>
      <c r="NFI1" s="8"/>
      <c r="NFJ1" s="9"/>
      <c r="NFK1" s="8"/>
      <c r="NFL1" s="9"/>
      <c r="NFM1" s="8"/>
      <c r="NFN1" s="9"/>
      <c r="NFO1" s="8"/>
      <c r="NFP1" s="9"/>
      <c r="NFQ1" s="8"/>
      <c r="NFR1" s="9"/>
      <c r="NFS1" s="8"/>
      <c r="NFT1" s="9"/>
      <c r="NFU1" s="8"/>
      <c r="NFV1" s="9"/>
      <c r="NFW1" s="8"/>
      <c r="NFX1" s="9"/>
      <c r="NFY1" s="8"/>
      <c r="NFZ1" s="9"/>
      <c r="NGA1" s="8"/>
      <c r="NGB1" s="9"/>
      <c r="NGC1" s="8"/>
      <c r="NGD1" s="9"/>
      <c r="NGE1" s="8"/>
      <c r="NGF1" s="9"/>
      <c r="NGG1" s="8"/>
      <c r="NGH1" s="9"/>
      <c r="NGI1" s="8"/>
      <c r="NGJ1" s="9"/>
      <c r="NGK1" s="8"/>
      <c r="NGL1" s="9"/>
      <c r="NGM1" s="8"/>
      <c r="NGN1" s="9"/>
      <c r="NGO1" s="8"/>
      <c r="NGP1" s="9"/>
      <c r="NGQ1" s="8"/>
      <c r="NGR1" s="9"/>
      <c r="NGS1" s="8"/>
      <c r="NGT1" s="9"/>
      <c r="NGU1" s="8"/>
      <c r="NGV1" s="9"/>
      <c r="NGW1" s="8"/>
      <c r="NGX1" s="9"/>
      <c r="NGY1" s="8"/>
      <c r="NGZ1" s="9"/>
      <c r="NHA1" s="8"/>
      <c r="NHB1" s="9"/>
      <c r="NHC1" s="8"/>
      <c r="NHD1" s="9"/>
      <c r="NHE1" s="8"/>
      <c r="NHF1" s="9"/>
      <c r="NHG1" s="8"/>
      <c r="NHH1" s="9"/>
      <c r="NHI1" s="8"/>
      <c r="NHJ1" s="9"/>
      <c r="NHK1" s="8"/>
      <c r="NHL1" s="9"/>
      <c r="NHM1" s="8"/>
      <c r="NHN1" s="9"/>
      <c r="NHO1" s="8"/>
      <c r="NHP1" s="9"/>
      <c r="NHQ1" s="8"/>
      <c r="NHR1" s="9"/>
      <c r="NHS1" s="8"/>
      <c r="NHT1" s="9"/>
      <c r="NHU1" s="8"/>
      <c r="NHV1" s="9"/>
      <c r="NHW1" s="8"/>
      <c r="NHX1" s="9"/>
      <c r="NHY1" s="8"/>
      <c r="NHZ1" s="9"/>
      <c r="NIA1" s="8"/>
      <c r="NIB1" s="9"/>
      <c r="NIC1" s="8"/>
      <c r="NID1" s="9"/>
      <c r="NIE1" s="8"/>
      <c r="NIF1" s="9"/>
      <c r="NIG1" s="8"/>
      <c r="NIH1" s="9"/>
      <c r="NII1" s="8"/>
      <c r="NIJ1" s="9"/>
      <c r="NIK1" s="8"/>
      <c r="NIL1" s="9"/>
      <c r="NIM1" s="8"/>
      <c r="NIN1" s="9"/>
      <c r="NIO1" s="8"/>
      <c r="NIP1" s="9"/>
      <c r="NIQ1" s="8"/>
      <c r="NIR1" s="9"/>
      <c r="NIS1" s="8"/>
      <c r="NIT1" s="9"/>
      <c r="NIU1" s="8"/>
      <c r="NIV1" s="9"/>
      <c r="NIW1" s="8"/>
      <c r="NIX1" s="9"/>
      <c r="NIY1" s="8"/>
      <c r="NIZ1" s="9"/>
      <c r="NJA1" s="8"/>
      <c r="NJB1" s="9"/>
      <c r="NJC1" s="8"/>
      <c r="NJD1" s="9"/>
      <c r="NJE1" s="8"/>
      <c r="NJF1" s="9"/>
      <c r="NJG1" s="8"/>
      <c r="NJH1" s="9"/>
      <c r="NJI1" s="8"/>
      <c r="NJJ1" s="9"/>
      <c r="NJK1" s="8"/>
      <c r="NJL1" s="9"/>
      <c r="NJM1" s="8"/>
      <c r="NJN1" s="9"/>
      <c r="NJO1" s="8"/>
      <c r="NJP1" s="9"/>
      <c r="NJQ1" s="8"/>
      <c r="NJR1" s="9"/>
      <c r="NJS1" s="8"/>
      <c r="NJT1" s="9"/>
      <c r="NJU1" s="8"/>
      <c r="NJV1" s="9"/>
      <c r="NJW1" s="8"/>
      <c r="NJX1" s="9"/>
      <c r="NJY1" s="8"/>
      <c r="NJZ1" s="9"/>
      <c r="NKA1" s="8"/>
      <c r="NKB1" s="9"/>
      <c r="NKC1" s="8"/>
      <c r="NKD1" s="9"/>
      <c r="NKE1" s="8"/>
      <c r="NKF1" s="9"/>
      <c r="NKG1" s="8"/>
      <c r="NKH1" s="9"/>
      <c r="NKI1" s="8"/>
      <c r="NKJ1" s="9"/>
      <c r="NKK1" s="8"/>
      <c r="NKL1" s="9"/>
      <c r="NKM1" s="8"/>
      <c r="NKN1" s="9"/>
      <c r="NKO1" s="8"/>
      <c r="NKP1" s="9"/>
      <c r="NKQ1" s="8"/>
      <c r="NKR1" s="9"/>
      <c r="NKS1" s="8"/>
      <c r="NKT1" s="9"/>
      <c r="NKU1" s="8"/>
      <c r="NKV1" s="9"/>
      <c r="NKW1" s="8"/>
      <c r="NKX1" s="9"/>
      <c r="NKY1" s="8"/>
      <c r="NKZ1" s="9"/>
      <c r="NLA1" s="8"/>
      <c r="NLB1" s="9"/>
      <c r="NLC1" s="8"/>
      <c r="NLD1" s="9"/>
      <c r="NLE1" s="8"/>
      <c r="NLF1" s="9"/>
      <c r="NLG1" s="8"/>
      <c r="NLH1" s="9"/>
      <c r="NLI1" s="8"/>
      <c r="NLJ1" s="9"/>
      <c r="NLK1" s="8"/>
      <c r="NLL1" s="9"/>
      <c r="NLM1" s="8"/>
      <c r="NLN1" s="9"/>
      <c r="NLO1" s="8"/>
      <c r="NLP1" s="9"/>
      <c r="NLQ1" s="8"/>
      <c r="NLR1" s="9"/>
      <c r="NLS1" s="8"/>
      <c r="NLT1" s="9"/>
      <c r="NLU1" s="8"/>
      <c r="NLV1" s="9"/>
      <c r="NLW1" s="8"/>
      <c r="NLX1" s="9"/>
      <c r="NLY1" s="8"/>
      <c r="NLZ1" s="9"/>
      <c r="NMA1" s="8"/>
      <c r="NMB1" s="9"/>
      <c r="NMC1" s="8"/>
      <c r="NMD1" s="9"/>
      <c r="NME1" s="8"/>
      <c r="NMF1" s="9"/>
      <c r="NMG1" s="8"/>
      <c r="NMH1" s="9"/>
      <c r="NMI1" s="8"/>
      <c r="NMJ1" s="9"/>
      <c r="NMK1" s="8"/>
      <c r="NML1" s="9"/>
      <c r="NMM1" s="8"/>
      <c r="NMN1" s="9"/>
      <c r="NMO1" s="8"/>
      <c r="NMP1" s="9"/>
      <c r="NMQ1" s="8"/>
      <c r="NMR1" s="9"/>
      <c r="NMS1" s="8"/>
      <c r="NMT1" s="9"/>
      <c r="NMU1" s="8"/>
      <c r="NMV1" s="9"/>
      <c r="NMW1" s="8"/>
      <c r="NMX1" s="9"/>
      <c r="NMY1" s="8"/>
      <c r="NMZ1" s="9"/>
      <c r="NNA1" s="8"/>
      <c r="NNB1" s="9"/>
      <c r="NNC1" s="8"/>
      <c r="NND1" s="9"/>
      <c r="NNE1" s="8"/>
      <c r="NNF1" s="9"/>
      <c r="NNG1" s="8"/>
      <c r="NNH1" s="9"/>
      <c r="NNI1" s="8"/>
      <c r="NNJ1" s="9"/>
      <c r="NNK1" s="8"/>
      <c r="NNL1" s="9"/>
      <c r="NNM1" s="8"/>
      <c r="NNN1" s="9"/>
      <c r="NNO1" s="8"/>
      <c r="NNP1" s="9"/>
      <c r="NNQ1" s="8"/>
      <c r="NNR1" s="9"/>
      <c r="NNS1" s="8"/>
      <c r="NNT1" s="9"/>
      <c r="NNU1" s="8"/>
      <c r="NNV1" s="9"/>
      <c r="NNW1" s="8"/>
      <c r="NNX1" s="9"/>
      <c r="NNY1" s="8"/>
      <c r="NNZ1" s="9"/>
      <c r="NOA1" s="8"/>
      <c r="NOB1" s="9"/>
      <c r="NOC1" s="8"/>
      <c r="NOD1" s="9"/>
      <c r="NOE1" s="8"/>
      <c r="NOF1" s="9"/>
      <c r="NOG1" s="8"/>
      <c r="NOH1" s="9"/>
      <c r="NOI1" s="8"/>
      <c r="NOJ1" s="9"/>
      <c r="NOK1" s="8"/>
      <c r="NOL1" s="9"/>
      <c r="NOM1" s="8"/>
      <c r="NON1" s="9"/>
      <c r="NOO1" s="8"/>
      <c r="NOP1" s="9"/>
      <c r="NOQ1" s="8"/>
      <c r="NOR1" s="9"/>
      <c r="NOS1" s="8"/>
      <c r="NOT1" s="9"/>
      <c r="NOU1" s="8"/>
      <c r="NOV1" s="9"/>
      <c r="NOW1" s="8"/>
      <c r="NOX1" s="9"/>
      <c r="NOY1" s="8"/>
      <c r="NOZ1" s="9"/>
      <c r="NPA1" s="8"/>
      <c r="NPB1" s="9"/>
      <c r="NPC1" s="8"/>
      <c r="NPD1" s="9"/>
      <c r="NPE1" s="8"/>
      <c r="NPF1" s="9"/>
      <c r="NPG1" s="8"/>
      <c r="NPH1" s="9"/>
      <c r="NPI1" s="8"/>
      <c r="NPJ1" s="9"/>
      <c r="NPK1" s="8"/>
      <c r="NPL1" s="9"/>
      <c r="NPM1" s="8"/>
      <c r="NPN1" s="9"/>
      <c r="NPO1" s="8"/>
      <c r="NPP1" s="9"/>
      <c r="NPQ1" s="8"/>
      <c r="NPR1" s="9"/>
      <c r="NPS1" s="8"/>
      <c r="NPT1" s="9"/>
      <c r="NPU1" s="8"/>
      <c r="NPV1" s="9"/>
      <c r="NPW1" s="8"/>
      <c r="NPX1" s="9"/>
      <c r="NPY1" s="8"/>
      <c r="NPZ1" s="9"/>
      <c r="NQA1" s="8"/>
      <c r="NQB1" s="9"/>
      <c r="NQC1" s="8"/>
      <c r="NQD1" s="9"/>
      <c r="NQE1" s="8"/>
      <c r="NQF1" s="9"/>
      <c r="NQG1" s="8"/>
      <c r="NQH1" s="9"/>
      <c r="NQI1" s="8"/>
      <c r="NQJ1" s="9"/>
      <c r="NQK1" s="8"/>
      <c r="NQL1" s="9"/>
      <c r="NQM1" s="8"/>
      <c r="NQN1" s="9"/>
      <c r="NQO1" s="8"/>
      <c r="NQP1" s="9"/>
      <c r="NQQ1" s="8"/>
      <c r="NQR1" s="9"/>
      <c r="NQS1" s="8"/>
      <c r="NQT1" s="9"/>
      <c r="NQU1" s="8"/>
      <c r="NQV1" s="9"/>
      <c r="NQW1" s="8"/>
      <c r="NQX1" s="9"/>
      <c r="NQY1" s="8"/>
      <c r="NQZ1" s="9"/>
      <c r="NRA1" s="8"/>
      <c r="NRB1" s="9"/>
      <c r="NRC1" s="8"/>
      <c r="NRD1" s="9"/>
      <c r="NRE1" s="8"/>
      <c r="NRF1" s="9"/>
      <c r="NRG1" s="8"/>
      <c r="NRH1" s="9"/>
      <c r="NRI1" s="8"/>
      <c r="NRJ1" s="9"/>
      <c r="NRK1" s="8"/>
      <c r="NRL1" s="9"/>
      <c r="NRM1" s="8"/>
      <c r="NRN1" s="9"/>
      <c r="NRO1" s="8"/>
      <c r="NRP1" s="9"/>
      <c r="NRQ1" s="8"/>
      <c r="NRR1" s="9"/>
      <c r="NRS1" s="8"/>
      <c r="NRT1" s="9"/>
      <c r="NRU1" s="8"/>
      <c r="NRV1" s="9"/>
      <c r="NRW1" s="8"/>
      <c r="NRX1" s="9"/>
      <c r="NRY1" s="8"/>
      <c r="NRZ1" s="9"/>
      <c r="NSA1" s="8"/>
      <c r="NSB1" s="9"/>
      <c r="NSC1" s="8"/>
      <c r="NSD1" s="9"/>
      <c r="NSE1" s="8"/>
      <c r="NSF1" s="9"/>
      <c r="NSG1" s="8"/>
      <c r="NSH1" s="9"/>
      <c r="NSI1" s="8"/>
      <c r="NSJ1" s="9"/>
      <c r="NSK1" s="8"/>
      <c r="NSL1" s="9"/>
      <c r="NSM1" s="8"/>
      <c r="NSN1" s="9"/>
      <c r="NSO1" s="8"/>
      <c r="NSP1" s="9"/>
      <c r="NSQ1" s="8"/>
      <c r="NSR1" s="9"/>
      <c r="NSS1" s="8"/>
      <c r="NST1" s="9"/>
      <c r="NSU1" s="8"/>
      <c r="NSV1" s="9"/>
      <c r="NSW1" s="8"/>
      <c r="NSX1" s="9"/>
      <c r="NSY1" s="8"/>
      <c r="NSZ1" s="9"/>
      <c r="NTA1" s="8"/>
      <c r="NTB1" s="9"/>
      <c r="NTC1" s="8"/>
      <c r="NTD1" s="9"/>
      <c r="NTE1" s="8"/>
      <c r="NTF1" s="9"/>
      <c r="NTG1" s="8"/>
      <c r="NTH1" s="9"/>
      <c r="NTI1" s="8"/>
      <c r="NTJ1" s="9"/>
      <c r="NTK1" s="8"/>
      <c r="NTL1" s="9"/>
      <c r="NTM1" s="8"/>
      <c r="NTN1" s="9"/>
      <c r="NTO1" s="8"/>
      <c r="NTP1" s="9"/>
      <c r="NTQ1" s="8"/>
      <c r="NTR1" s="9"/>
      <c r="NTS1" s="8"/>
      <c r="NTT1" s="9"/>
      <c r="NTU1" s="8"/>
      <c r="NTV1" s="9"/>
      <c r="NTW1" s="8"/>
      <c r="NTX1" s="9"/>
      <c r="NTY1" s="8"/>
      <c r="NTZ1" s="9"/>
      <c r="NUA1" s="8"/>
      <c r="NUB1" s="9"/>
      <c r="NUC1" s="8"/>
      <c r="NUD1" s="9"/>
      <c r="NUE1" s="8"/>
      <c r="NUF1" s="9"/>
      <c r="NUG1" s="8"/>
      <c r="NUH1" s="9"/>
      <c r="NUI1" s="8"/>
      <c r="NUJ1" s="9"/>
      <c r="NUK1" s="8"/>
      <c r="NUL1" s="9"/>
      <c r="NUM1" s="8"/>
      <c r="NUN1" s="9"/>
      <c r="NUO1" s="8"/>
      <c r="NUP1" s="9"/>
      <c r="NUQ1" s="8"/>
      <c r="NUR1" s="9"/>
      <c r="NUS1" s="8"/>
      <c r="NUT1" s="9"/>
      <c r="NUU1" s="8"/>
      <c r="NUV1" s="9"/>
      <c r="NUW1" s="8"/>
      <c r="NUX1" s="9"/>
      <c r="NUY1" s="8"/>
      <c r="NUZ1" s="9"/>
      <c r="NVA1" s="8"/>
      <c r="NVB1" s="9"/>
      <c r="NVC1" s="8"/>
      <c r="NVD1" s="9"/>
      <c r="NVE1" s="8"/>
      <c r="NVF1" s="9"/>
      <c r="NVG1" s="8"/>
      <c r="NVH1" s="9"/>
      <c r="NVI1" s="8"/>
      <c r="NVJ1" s="9"/>
      <c r="NVK1" s="8"/>
      <c r="NVL1" s="9"/>
      <c r="NVM1" s="8"/>
      <c r="NVN1" s="9"/>
      <c r="NVO1" s="8"/>
      <c r="NVP1" s="9"/>
      <c r="NVQ1" s="8"/>
      <c r="NVR1" s="9"/>
      <c r="NVS1" s="8"/>
      <c r="NVT1" s="9"/>
      <c r="NVU1" s="8"/>
      <c r="NVV1" s="9"/>
      <c r="NVW1" s="8"/>
      <c r="NVX1" s="9"/>
      <c r="NVY1" s="8"/>
      <c r="NVZ1" s="9"/>
      <c r="NWA1" s="8"/>
      <c r="NWB1" s="9"/>
      <c r="NWC1" s="8"/>
      <c r="NWD1" s="9"/>
      <c r="NWE1" s="8"/>
      <c r="NWF1" s="9"/>
      <c r="NWG1" s="8"/>
      <c r="NWH1" s="9"/>
      <c r="NWI1" s="8"/>
      <c r="NWJ1" s="9"/>
      <c r="NWK1" s="8"/>
      <c r="NWL1" s="9"/>
      <c r="NWM1" s="8"/>
      <c r="NWN1" s="9"/>
      <c r="NWO1" s="8"/>
      <c r="NWP1" s="9"/>
      <c r="NWQ1" s="8"/>
      <c r="NWR1" s="9"/>
      <c r="NWS1" s="8"/>
      <c r="NWT1" s="9"/>
      <c r="NWU1" s="8"/>
      <c r="NWV1" s="9"/>
      <c r="NWW1" s="8"/>
      <c r="NWX1" s="9"/>
      <c r="NWY1" s="8"/>
      <c r="NWZ1" s="9"/>
      <c r="NXA1" s="8"/>
      <c r="NXB1" s="9"/>
      <c r="NXC1" s="8"/>
      <c r="NXD1" s="9"/>
      <c r="NXE1" s="8"/>
      <c r="NXF1" s="9"/>
      <c r="NXG1" s="8"/>
      <c r="NXH1" s="9"/>
      <c r="NXI1" s="8"/>
      <c r="NXJ1" s="9"/>
      <c r="NXK1" s="8"/>
      <c r="NXL1" s="9"/>
      <c r="NXM1" s="8"/>
      <c r="NXN1" s="9"/>
      <c r="NXO1" s="8"/>
      <c r="NXP1" s="9"/>
      <c r="NXQ1" s="8"/>
      <c r="NXR1" s="9"/>
      <c r="NXS1" s="8"/>
      <c r="NXT1" s="9"/>
      <c r="NXU1" s="8"/>
      <c r="NXV1" s="9"/>
      <c r="NXW1" s="8"/>
      <c r="NXX1" s="9"/>
      <c r="NXY1" s="8"/>
      <c r="NXZ1" s="9"/>
      <c r="NYA1" s="8"/>
      <c r="NYB1" s="9"/>
      <c r="NYC1" s="8"/>
      <c r="NYD1" s="9"/>
      <c r="NYE1" s="8"/>
      <c r="NYF1" s="9"/>
      <c r="NYG1" s="8"/>
      <c r="NYH1" s="9"/>
      <c r="NYI1" s="8"/>
      <c r="NYJ1" s="9"/>
      <c r="NYK1" s="8"/>
      <c r="NYL1" s="9"/>
      <c r="NYM1" s="8"/>
      <c r="NYN1" s="9"/>
      <c r="NYO1" s="8"/>
      <c r="NYP1" s="9"/>
      <c r="NYQ1" s="8"/>
      <c r="NYR1" s="9"/>
      <c r="NYS1" s="8"/>
      <c r="NYT1" s="9"/>
      <c r="NYU1" s="8"/>
      <c r="NYV1" s="9"/>
      <c r="NYW1" s="8"/>
      <c r="NYX1" s="9"/>
      <c r="NYY1" s="8"/>
      <c r="NYZ1" s="9"/>
      <c r="NZA1" s="8"/>
      <c r="NZB1" s="9"/>
      <c r="NZC1" s="8"/>
      <c r="NZD1" s="9"/>
      <c r="NZE1" s="8"/>
      <c r="NZF1" s="9"/>
      <c r="NZG1" s="8"/>
      <c r="NZH1" s="9"/>
      <c r="NZI1" s="8"/>
      <c r="NZJ1" s="9"/>
      <c r="NZK1" s="8"/>
      <c r="NZL1" s="9"/>
      <c r="NZM1" s="8"/>
      <c r="NZN1" s="9"/>
      <c r="NZO1" s="8"/>
      <c r="NZP1" s="9"/>
      <c r="NZQ1" s="8"/>
      <c r="NZR1" s="9"/>
      <c r="NZS1" s="8"/>
      <c r="NZT1" s="9"/>
      <c r="NZU1" s="8"/>
      <c r="NZV1" s="9"/>
      <c r="NZW1" s="8"/>
      <c r="NZX1" s="9"/>
      <c r="NZY1" s="8"/>
      <c r="NZZ1" s="9"/>
      <c r="OAA1" s="8"/>
      <c r="OAB1" s="9"/>
      <c r="OAC1" s="8"/>
      <c r="OAD1" s="9"/>
      <c r="OAE1" s="8"/>
      <c r="OAF1" s="9"/>
      <c r="OAG1" s="8"/>
      <c r="OAH1" s="9"/>
      <c r="OAI1" s="8"/>
      <c r="OAJ1" s="9"/>
      <c r="OAK1" s="8"/>
      <c r="OAL1" s="9"/>
      <c r="OAM1" s="8"/>
      <c r="OAN1" s="9"/>
      <c r="OAO1" s="8"/>
      <c r="OAP1" s="9"/>
      <c r="OAQ1" s="8"/>
      <c r="OAR1" s="9"/>
      <c r="OAS1" s="8"/>
      <c r="OAT1" s="9"/>
      <c r="OAU1" s="8"/>
      <c r="OAV1" s="9"/>
      <c r="OAW1" s="8"/>
      <c r="OAX1" s="9"/>
      <c r="OAY1" s="8"/>
      <c r="OAZ1" s="9"/>
      <c r="OBA1" s="8"/>
      <c r="OBB1" s="9"/>
      <c r="OBC1" s="8"/>
      <c r="OBD1" s="9"/>
      <c r="OBE1" s="8"/>
      <c r="OBF1" s="9"/>
      <c r="OBG1" s="8"/>
      <c r="OBH1" s="9"/>
      <c r="OBI1" s="8"/>
      <c r="OBJ1" s="9"/>
      <c r="OBK1" s="8"/>
      <c r="OBL1" s="9"/>
      <c r="OBM1" s="8"/>
      <c r="OBN1" s="9"/>
      <c r="OBO1" s="8"/>
      <c r="OBP1" s="9"/>
      <c r="OBQ1" s="8"/>
      <c r="OBR1" s="9"/>
      <c r="OBS1" s="8"/>
      <c r="OBT1" s="9"/>
      <c r="OBU1" s="8"/>
      <c r="OBV1" s="9"/>
      <c r="OBW1" s="8"/>
      <c r="OBX1" s="9"/>
      <c r="OBY1" s="8"/>
      <c r="OBZ1" s="9"/>
      <c r="OCA1" s="8"/>
      <c r="OCB1" s="9"/>
      <c r="OCC1" s="8"/>
      <c r="OCD1" s="9"/>
      <c r="OCE1" s="8"/>
      <c r="OCF1" s="9"/>
      <c r="OCG1" s="8"/>
      <c r="OCH1" s="9"/>
      <c r="OCI1" s="8"/>
      <c r="OCJ1" s="9"/>
      <c r="OCK1" s="8"/>
      <c r="OCL1" s="9"/>
      <c r="OCM1" s="8"/>
      <c r="OCN1" s="9"/>
      <c r="OCO1" s="8"/>
      <c r="OCP1" s="9"/>
      <c r="OCQ1" s="8"/>
      <c r="OCR1" s="9"/>
      <c r="OCS1" s="8"/>
      <c r="OCT1" s="9"/>
      <c r="OCU1" s="8"/>
      <c r="OCV1" s="9"/>
      <c r="OCW1" s="8"/>
      <c r="OCX1" s="9"/>
      <c r="OCY1" s="8"/>
      <c r="OCZ1" s="9"/>
      <c r="ODA1" s="8"/>
      <c r="ODB1" s="9"/>
      <c r="ODC1" s="8"/>
      <c r="ODD1" s="9"/>
      <c r="ODE1" s="8"/>
      <c r="ODF1" s="9"/>
      <c r="ODG1" s="8"/>
      <c r="ODH1" s="9"/>
      <c r="ODI1" s="8"/>
      <c r="ODJ1" s="9"/>
      <c r="ODK1" s="8"/>
      <c r="ODL1" s="9"/>
      <c r="ODM1" s="8"/>
      <c r="ODN1" s="9"/>
      <c r="ODO1" s="8"/>
      <c r="ODP1" s="9"/>
      <c r="ODQ1" s="8"/>
      <c r="ODR1" s="9"/>
      <c r="ODS1" s="8"/>
      <c r="ODT1" s="9"/>
      <c r="ODU1" s="8"/>
      <c r="ODV1" s="9"/>
      <c r="ODW1" s="8"/>
      <c r="ODX1" s="9"/>
      <c r="ODY1" s="8"/>
      <c r="ODZ1" s="9"/>
      <c r="OEA1" s="8"/>
      <c r="OEB1" s="9"/>
      <c r="OEC1" s="8"/>
      <c r="OED1" s="9"/>
      <c r="OEE1" s="8"/>
      <c r="OEF1" s="9"/>
      <c r="OEG1" s="8"/>
      <c r="OEH1" s="9"/>
      <c r="OEI1" s="8"/>
      <c r="OEJ1" s="9"/>
      <c r="OEK1" s="8"/>
      <c r="OEL1" s="9"/>
      <c r="OEM1" s="8"/>
      <c r="OEN1" s="9"/>
      <c r="OEO1" s="8"/>
      <c r="OEP1" s="9"/>
      <c r="OEQ1" s="8"/>
      <c r="OER1" s="9"/>
      <c r="OES1" s="8"/>
      <c r="OET1" s="9"/>
      <c r="OEU1" s="8"/>
      <c r="OEV1" s="9"/>
      <c r="OEW1" s="8"/>
      <c r="OEX1" s="9"/>
      <c r="OEY1" s="8"/>
      <c r="OEZ1" s="9"/>
      <c r="OFA1" s="8"/>
      <c r="OFB1" s="9"/>
      <c r="OFC1" s="8"/>
      <c r="OFD1" s="9"/>
      <c r="OFE1" s="8"/>
      <c r="OFF1" s="9"/>
      <c r="OFG1" s="8"/>
      <c r="OFH1" s="9"/>
      <c r="OFI1" s="8"/>
      <c r="OFJ1" s="9"/>
      <c r="OFK1" s="8"/>
      <c r="OFL1" s="9"/>
      <c r="OFM1" s="8"/>
      <c r="OFN1" s="9"/>
      <c r="OFO1" s="8"/>
      <c r="OFP1" s="9"/>
      <c r="OFQ1" s="8"/>
      <c r="OFR1" s="9"/>
      <c r="OFS1" s="8"/>
      <c r="OFT1" s="9"/>
      <c r="OFU1" s="8"/>
      <c r="OFV1" s="9"/>
      <c r="OFW1" s="8"/>
      <c r="OFX1" s="9"/>
      <c r="OFY1" s="8"/>
      <c r="OFZ1" s="9"/>
      <c r="OGA1" s="8"/>
      <c r="OGB1" s="9"/>
      <c r="OGC1" s="8"/>
      <c r="OGD1" s="9"/>
      <c r="OGE1" s="8"/>
      <c r="OGF1" s="9"/>
      <c r="OGG1" s="8"/>
      <c r="OGH1" s="9"/>
      <c r="OGI1" s="8"/>
      <c r="OGJ1" s="9"/>
      <c r="OGK1" s="8"/>
      <c r="OGL1" s="9"/>
      <c r="OGM1" s="8"/>
      <c r="OGN1" s="9"/>
      <c r="OGO1" s="8"/>
      <c r="OGP1" s="9"/>
      <c r="OGQ1" s="8"/>
      <c r="OGR1" s="9"/>
      <c r="OGS1" s="8"/>
      <c r="OGT1" s="9"/>
      <c r="OGU1" s="8"/>
      <c r="OGV1" s="9"/>
      <c r="OGW1" s="8"/>
      <c r="OGX1" s="9"/>
      <c r="OGY1" s="8"/>
      <c r="OGZ1" s="9"/>
      <c r="OHA1" s="8"/>
      <c r="OHB1" s="9"/>
      <c r="OHC1" s="8"/>
      <c r="OHD1" s="9"/>
      <c r="OHE1" s="8"/>
      <c r="OHF1" s="9"/>
      <c r="OHG1" s="8"/>
      <c r="OHH1" s="9"/>
      <c r="OHI1" s="8"/>
      <c r="OHJ1" s="9"/>
      <c r="OHK1" s="8"/>
      <c r="OHL1" s="9"/>
      <c r="OHM1" s="8"/>
      <c r="OHN1" s="9"/>
      <c r="OHO1" s="8"/>
      <c r="OHP1" s="9"/>
      <c r="OHQ1" s="8"/>
      <c r="OHR1" s="9"/>
      <c r="OHS1" s="8"/>
      <c r="OHT1" s="9"/>
      <c r="OHU1" s="8"/>
      <c r="OHV1" s="9"/>
      <c r="OHW1" s="8"/>
      <c r="OHX1" s="9"/>
      <c r="OHY1" s="8"/>
      <c r="OHZ1" s="9"/>
      <c r="OIA1" s="8"/>
      <c r="OIB1" s="9"/>
      <c r="OIC1" s="8"/>
      <c r="OID1" s="9"/>
      <c r="OIE1" s="8"/>
      <c r="OIF1" s="9"/>
      <c r="OIG1" s="8"/>
      <c r="OIH1" s="9"/>
      <c r="OII1" s="8"/>
      <c r="OIJ1" s="9"/>
      <c r="OIK1" s="8"/>
      <c r="OIL1" s="9"/>
      <c r="OIM1" s="8"/>
      <c r="OIN1" s="9"/>
      <c r="OIO1" s="8"/>
      <c r="OIP1" s="9"/>
      <c r="OIQ1" s="8"/>
      <c r="OIR1" s="9"/>
      <c r="OIS1" s="8"/>
      <c r="OIT1" s="9"/>
      <c r="OIU1" s="8"/>
      <c r="OIV1" s="9"/>
      <c r="OIW1" s="8"/>
      <c r="OIX1" s="9"/>
      <c r="OIY1" s="8"/>
      <c r="OIZ1" s="9"/>
      <c r="OJA1" s="8"/>
      <c r="OJB1" s="9"/>
      <c r="OJC1" s="8"/>
      <c r="OJD1" s="9"/>
      <c r="OJE1" s="8"/>
      <c r="OJF1" s="9"/>
      <c r="OJG1" s="8"/>
      <c r="OJH1" s="9"/>
      <c r="OJI1" s="8"/>
      <c r="OJJ1" s="9"/>
      <c r="OJK1" s="8"/>
      <c r="OJL1" s="9"/>
      <c r="OJM1" s="8"/>
      <c r="OJN1" s="9"/>
      <c r="OJO1" s="8"/>
      <c r="OJP1" s="9"/>
      <c r="OJQ1" s="8"/>
      <c r="OJR1" s="9"/>
      <c r="OJS1" s="8"/>
      <c r="OJT1" s="9"/>
      <c r="OJU1" s="8"/>
      <c r="OJV1" s="9"/>
      <c r="OJW1" s="8"/>
      <c r="OJX1" s="9"/>
      <c r="OJY1" s="8"/>
      <c r="OJZ1" s="9"/>
      <c r="OKA1" s="8"/>
      <c r="OKB1" s="9"/>
      <c r="OKC1" s="8"/>
      <c r="OKD1" s="9"/>
      <c r="OKE1" s="8"/>
      <c r="OKF1" s="9"/>
      <c r="OKG1" s="8"/>
      <c r="OKH1" s="9"/>
      <c r="OKI1" s="8"/>
      <c r="OKJ1" s="9"/>
      <c r="OKK1" s="8"/>
      <c r="OKL1" s="9"/>
      <c r="OKM1" s="8"/>
      <c r="OKN1" s="9"/>
      <c r="OKO1" s="8"/>
      <c r="OKP1" s="9"/>
      <c r="OKQ1" s="8"/>
      <c r="OKR1" s="9"/>
      <c r="OKS1" s="8"/>
      <c r="OKT1" s="9"/>
      <c r="OKU1" s="8"/>
      <c r="OKV1" s="9"/>
      <c r="OKW1" s="8"/>
      <c r="OKX1" s="9"/>
      <c r="OKY1" s="8"/>
      <c r="OKZ1" s="9"/>
      <c r="OLA1" s="8"/>
      <c r="OLB1" s="9"/>
      <c r="OLC1" s="8"/>
      <c r="OLD1" s="9"/>
      <c r="OLE1" s="8"/>
      <c r="OLF1" s="9"/>
      <c r="OLG1" s="8"/>
      <c r="OLH1" s="9"/>
      <c r="OLI1" s="8"/>
      <c r="OLJ1" s="9"/>
      <c r="OLK1" s="8"/>
      <c r="OLL1" s="9"/>
      <c r="OLM1" s="8"/>
      <c r="OLN1" s="9"/>
      <c r="OLO1" s="8"/>
      <c r="OLP1" s="9"/>
      <c r="OLQ1" s="8"/>
      <c r="OLR1" s="9"/>
      <c r="OLS1" s="8"/>
      <c r="OLT1" s="9"/>
      <c r="OLU1" s="8"/>
      <c r="OLV1" s="9"/>
      <c r="OLW1" s="8"/>
      <c r="OLX1" s="9"/>
      <c r="OLY1" s="8"/>
      <c r="OLZ1" s="9"/>
      <c r="OMA1" s="8"/>
      <c r="OMB1" s="9"/>
      <c r="OMC1" s="8"/>
      <c r="OMD1" s="9"/>
      <c r="OME1" s="8"/>
      <c r="OMF1" s="9"/>
      <c r="OMG1" s="8"/>
      <c r="OMH1" s="9"/>
      <c r="OMI1" s="8"/>
      <c r="OMJ1" s="9"/>
      <c r="OMK1" s="8"/>
      <c r="OML1" s="9"/>
      <c r="OMM1" s="8"/>
      <c r="OMN1" s="9"/>
      <c r="OMO1" s="8"/>
      <c r="OMP1" s="9"/>
      <c r="OMQ1" s="8"/>
      <c r="OMR1" s="9"/>
      <c r="OMS1" s="8"/>
      <c r="OMT1" s="9"/>
      <c r="OMU1" s="8"/>
      <c r="OMV1" s="9"/>
      <c r="OMW1" s="8"/>
      <c r="OMX1" s="9"/>
      <c r="OMY1" s="8"/>
      <c r="OMZ1" s="9"/>
      <c r="ONA1" s="8"/>
      <c r="ONB1" s="9"/>
      <c r="ONC1" s="8"/>
      <c r="OND1" s="9"/>
      <c r="ONE1" s="8"/>
      <c r="ONF1" s="9"/>
      <c r="ONG1" s="8"/>
      <c r="ONH1" s="9"/>
      <c r="ONI1" s="8"/>
      <c r="ONJ1" s="9"/>
      <c r="ONK1" s="8"/>
      <c r="ONL1" s="9"/>
      <c r="ONM1" s="8"/>
      <c r="ONN1" s="9"/>
      <c r="ONO1" s="8"/>
      <c r="ONP1" s="9"/>
      <c r="ONQ1" s="8"/>
      <c r="ONR1" s="9"/>
      <c r="ONS1" s="8"/>
      <c r="ONT1" s="9"/>
      <c r="ONU1" s="8"/>
      <c r="ONV1" s="9"/>
      <c r="ONW1" s="8"/>
      <c r="ONX1" s="9"/>
      <c r="ONY1" s="8"/>
      <c r="ONZ1" s="9"/>
      <c r="OOA1" s="8"/>
      <c r="OOB1" s="9"/>
      <c r="OOC1" s="8"/>
      <c r="OOD1" s="9"/>
      <c r="OOE1" s="8"/>
      <c r="OOF1" s="9"/>
      <c r="OOG1" s="8"/>
      <c r="OOH1" s="9"/>
      <c r="OOI1" s="8"/>
      <c r="OOJ1" s="9"/>
      <c r="OOK1" s="8"/>
      <c r="OOL1" s="9"/>
      <c r="OOM1" s="8"/>
      <c r="OON1" s="9"/>
      <c r="OOO1" s="8"/>
      <c r="OOP1" s="9"/>
      <c r="OOQ1" s="8"/>
      <c r="OOR1" s="9"/>
      <c r="OOS1" s="8"/>
      <c r="OOT1" s="9"/>
      <c r="OOU1" s="8"/>
      <c r="OOV1" s="9"/>
      <c r="OOW1" s="8"/>
      <c r="OOX1" s="9"/>
      <c r="OOY1" s="8"/>
      <c r="OOZ1" s="9"/>
      <c r="OPA1" s="8"/>
      <c r="OPB1" s="9"/>
      <c r="OPC1" s="8"/>
      <c r="OPD1" s="9"/>
      <c r="OPE1" s="8"/>
      <c r="OPF1" s="9"/>
      <c r="OPG1" s="8"/>
      <c r="OPH1" s="9"/>
      <c r="OPI1" s="8"/>
      <c r="OPJ1" s="9"/>
      <c r="OPK1" s="8"/>
      <c r="OPL1" s="9"/>
      <c r="OPM1" s="8"/>
      <c r="OPN1" s="9"/>
      <c r="OPO1" s="8"/>
      <c r="OPP1" s="9"/>
      <c r="OPQ1" s="8"/>
      <c r="OPR1" s="9"/>
      <c r="OPS1" s="8"/>
      <c r="OPT1" s="9"/>
      <c r="OPU1" s="8"/>
      <c r="OPV1" s="9"/>
      <c r="OPW1" s="8"/>
      <c r="OPX1" s="9"/>
      <c r="OPY1" s="8"/>
      <c r="OPZ1" s="9"/>
      <c r="OQA1" s="8"/>
      <c r="OQB1" s="9"/>
      <c r="OQC1" s="8"/>
      <c r="OQD1" s="9"/>
      <c r="OQE1" s="8"/>
      <c r="OQF1" s="9"/>
      <c r="OQG1" s="8"/>
      <c r="OQH1" s="9"/>
      <c r="OQI1" s="8"/>
      <c r="OQJ1" s="9"/>
      <c r="OQK1" s="8"/>
      <c r="OQL1" s="9"/>
      <c r="OQM1" s="8"/>
      <c r="OQN1" s="9"/>
      <c r="OQO1" s="8"/>
      <c r="OQP1" s="9"/>
      <c r="OQQ1" s="8"/>
      <c r="OQR1" s="9"/>
      <c r="OQS1" s="8"/>
      <c r="OQT1" s="9"/>
      <c r="OQU1" s="8"/>
      <c r="OQV1" s="9"/>
      <c r="OQW1" s="8"/>
      <c r="OQX1" s="9"/>
      <c r="OQY1" s="8"/>
      <c r="OQZ1" s="9"/>
      <c r="ORA1" s="8"/>
      <c r="ORB1" s="9"/>
      <c r="ORC1" s="8"/>
      <c r="ORD1" s="9"/>
      <c r="ORE1" s="8"/>
      <c r="ORF1" s="9"/>
      <c r="ORG1" s="8"/>
      <c r="ORH1" s="9"/>
      <c r="ORI1" s="8"/>
      <c r="ORJ1" s="9"/>
      <c r="ORK1" s="8"/>
      <c r="ORL1" s="9"/>
      <c r="ORM1" s="8"/>
      <c r="ORN1" s="9"/>
      <c r="ORO1" s="8"/>
      <c r="ORP1" s="9"/>
      <c r="ORQ1" s="8"/>
      <c r="ORR1" s="9"/>
      <c r="ORS1" s="8"/>
      <c r="ORT1" s="9"/>
      <c r="ORU1" s="8"/>
      <c r="ORV1" s="9"/>
      <c r="ORW1" s="8"/>
      <c r="ORX1" s="9"/>
      <c r="ORY1" s="8"/>
      <c r="ORZ1" s="9"/>
      <c r="OSA1" s="8"/>
      <c r="OSB1" s="9"/>
      <c r="OSC1" s="8"/>
      <c r="OSD1" s="9"/>
      <c r="OSE1" s="8"/>
      <c r="OSF1" s="9"/>
      <c r="OSG1" s="8"/>
      <c r="OSH1" s="9"/>
      <c r="OSI1" s="8"/>
      <c r="OSJ1" s="9"/>
      <c r="OSK1" s="8"/>
      <c r="OSL1" s="9"/>
      <c r="OSM1" s="8"/>
      <c r="OSN1" s="9"/>
      <c r="OSO1" s="8"/>
      <c r="OSP1" s="9"/>
      <c r="OSQ1" s="8"/>
      <c r="OSR1" s="9"/>
      <c r="OSS1" s="8"/>
      <c r="OST1" s="9"/>
      <c r="OSU1" s="8"/>
      <c r="OSV1" s="9"/>
      <c r="OSW1" s="8"/>
      <c r="OSX1" s="9"/>
      <c r="OSY1" s="8"/>
      <c r="OSZ1" s="9"/>
      <c r="OTA1" s="8"/>
      <c r="OTB1" s="9"/>
      <c r="OTC1" s="8"/>
      <c r="OTD1" s="9"/>
      <c r="OTE1" s="8"/>
      <c r="OTF1" s="9"/>
      <c r="OTG1" s="8"/>
      <c r="OTH1" s="9"/>
      <c r="OTI1" s="8"/>
      <c r="OTJ1" s="9"/>
      <c r="OTK1" s="8"/>
      <c r="OTL1" s="9"/>
      <c r="OTM1" s="8"/>
      <c r="OTN1" s="9"/>
      <c r="OTO1" s="8"/>
      <c r="OTP1" s="9"/>
      <c r="OTQ1" s="8"/>
      <c r="OTR1" s="9"/>
      <c r="OTS1" s="8"/>
      <c r="OTT1" s="9"/>
      <c r="OTU1" s="8"/>
      <c r="OTV1" s="9"/>
      <c r="OTW1" s="8"/>
      <c r="OTX1" s="9"/>
      <c r="OTY1" s="8"/>
      <c r="OTZ1" s="9"/>
      <c r="OUA1" s="8"/>
      <c r="OUB1" s="9"/>
      <c r="OUC1" s="8"/>
      <c r="OUD1" s="9"/>
      <c r="OUE1" s="8"/>
      <c r="OUF1" s="9"/>
      <c r="OUG1" s="8"/>
      <c r="OUH1" s="9"/>
      <c r="OUI1" s="8"/>
      <c r="OUJ1" s="9"/>
      <c r="OUK1" s="8"/>
      <c r="OUL1" s="9"/>
      <c r="OUM1" s="8"/>
      <c r="OUN1" s="9"/>
      <c r="OUO1" s="8"/>
      <c r="OUP1" s="9"/>
      <c r="OUQ1" s="8"/>
      <c r="OUR1" s="9"/>
      <c r="OUS1" s="8"/>
      <c r="OUT1" s="9"/>
      <c r="OUU1" s="8"/>
      <c r="OUV1" s="9"/>
      <c r="OUW1" s="8"/>
      <c r="OUX1" s="9"/>
      <c r="OUY1" s="8"/>
      <c r="OUZ1" s="9"/>
      <c r="OVA1" s="8"/>
      <c r="OVB1" s="9"/>
      <c r="OVC1" s="8"/>
      <c r="OVD1" s="9"/>
      <c r="OVE1" s="8"/>
      <c r="OVF1" s="9"/>
      <c r="OVG1" s="8"/>
      <c r="OVH1" s="9"/>
      <c r="OVI1" s="8"/>
      <c r="OVJ1" s="9"/>
      <c r="OVK1" s="8"/>
      <c r="OVL1" s="9"/>
      <c r="OVM1" s="8"/>
      <c r="OVN1" s="9"/>
      <c r="OVO1" s="8"/>
      <c r="OVP1" s="9"/>
      <c r="OVQ1" s="8"/>
      <c r="OVR1" s="9"/>
      <c r="OVS1" s="8"/>
      <c r="OVT1" s="9"/>
      <c r="OVU1" s="8"/>
      <c r="OVV1" s="9"/>
      <c r="OVW1" s="8"/>
      <c r="OVX1" s="9"/>
      <c r="OVY1" s="8"/>
      <c r="OVZ1" s="9"/>
      <c r="OWA1" s="8"/>
      <c r="OWB1" s="9"/>
      <c r="OWC1" s="8"/>
      <c r="OWD1" s="9"/>
      <c r="OWE1" s="8"/>
      <c r="OWF1" s="9"/>
      <c r="OWG1" s="8"/>
      <c r="OWH1" s="9"/>
      <c r="OWI1" s="8"/>
      <c r="OWJ1" s="9"/>
      <c r="OWK1" s="8"/>
      <c r="OWL1" s="9"/>
      <c r="OWM1" s="8"/>
      <c r="OWN1" s="9"/>
      <c r="OWO1" s="8"/>
      <c r="OWP1" s="9"/>
      <c r="OWQ1" s="8"/>
      <c r="OWR1" s="9"/>
      <c r="OWS1" s="8"/>
      <c r="OWT1" s="9"/>
      <c r="OWU1" s="8"/>
      <c r="OWV1" s="9"/>
      <c r="OWW1" s="8"/>
      <c r="OWX1" s="9"/>
      <c r="OWY1" s="8"/>
      <c r="OWZ1" s="9"/>
      <c r="OXA1" s="8"/>
      <c r="OXB1" s="9"/>
      <c r="OXC1" s="8"/>
      <c r="OXD1" s="9"/>
      <c r="OXE1" s="8"/>
      <c r="OXF1" s="9"/>
      <c r="OXG1" s="8"/>
      <c r="OXH1" s="9"/>
      <c r="OXI1" s="8"/>
      <c r="OXJ1" s="9"/>
      <c r="OXK1" s="8"/>
      <c r="OXL1" s="9"/>
      <c r="OXM1" s="8"/>
      <c r="OXN1" s="9"/>
      <c r="OXO1" s="8"/>
      <c r="OXP1" s="9"/>
      <c r="OXQ1" s="8"/>
      <c r="OXR1" s="9"/>
      <c r="OXS1" s="8"/>
      <c r="OXT1" s="9"/>
      <c r="OXU1" s="8"/>
      <c r="OXV1" s="9"/>
      <c r="OXW1" s="8"/>
      <c r="OXX1" s="9"/>
      <c r="OXY1" s="8"/>
      <c r="OXZ1" s="9"/>
      <c r="OYA1" s="8"/>
      <c r="OYB1" s="9"/>
      <c r="OYC1" s="8"/>
      <c r="OYD1" s="9"/>
      <c r="OYE1" s="8"/>
      <c r="OYF1" s="9"/>
      <c r="OYG1" s="8"/>
      <c r="OYH1" s="9"/>
      <c r="OYI1" s="8"/>
      <c r="OYJ1" s="9"/>
      <c r="OYK1" s="8"/>
      <c r="OYL1" s="9"/>
      <c r="OYM1" s="8"/>
      <c r="OYN1" s="9"/>
      <c r="OYO1" s="8"/>
      <c r="OYP1" s="9"/>
      <c r="OYQ1" s="8"/>
      <c r="OYR1" s="9"/>
      <c r="OYS1" s="8"/>
      <c r="OYT1" s="9"/>
      <c r="OYU1" s="8"/>
      <c r="OYV1" s="9"/>
      <c r="OYW1" s="8"/>
      <c r="OYX1" s="9"/>
      <c r="OYY1" s="8"/>
      <c r="OYZ1" s="9"/>
      <c r="OZA1" s="8"/>
      <c r="OZB1" s="9"/>
      <c r="OZC1" s="8"/>
      <c r="OZD1" s="9"/>
      <c r="OZE1" s="8"/>
      <c r="OZF1" s="9"/>
      <c r="OZG1" s="8"/>
      <c r="OZH1" s="9"/>
      <c r="OZI1" s="8"/>
      <c r="OZJ1" s="9"/>
      <c r="OZK1" s="8"/>
      <c r="OZL1" s="9"/>
      <c r="OZM1" s="8"/>
      <c r="OZN1" s="9"/>
      <c r="OZO1" s="8"/>
      <c r="OZP1" s="9"/>
      <c r="OZQ1" s="8"/>
      <c r="OZR1" s="9"/>
      <c r="OZS1" s="8"/>
      <c r="OZT1" s="9"/>
      <c r="OZU1" s="8"/>
      <c r="OZV1" s="9"/>
      <c r="OZW1" s="8"/>
      <c r="OZX1" s="9"/>
      <c r="OZY1" s="8"/>
      <c r="OZZ1" s="9"/>
      <c r="PAA1" s="8"/>
      <c r="PAB1" s="9"/>
      <c r="PAC1" s="8"/>
      <c r="PAD1" s="9"/>
      <c r="PAE1" s="8"/>
      <c r="PAF1" s="9"/>
      <c r="PAG1" s="8"/>
      <c r="PAH1" s="9"/>
      <c r="PAI1" s="8"/>
      <c r="PAJ1" s="9"/>
      <c r="PAK1" s="8"/>
      <c r="PAL1" s="9"/>
      <c r="PAM1" s="8"/>
      <c r="PAN1" s="9"/>
      <c r="PAO1" s="8"/>
      <c r="PAP1" s="9"/>
      <c r="PAQ1" s="8"/>
      <c r="PAR1" s="9"/>
      <c r="PAS1" s="8"/>
      <c r="PAT1" s="9"/>
      <c r="PAU1" s="8"/>
      <c r="PAV1" s="9"/>
      <c r="PAW1" s="8"/>
      <c r="PAX1" s="9"/>
      <c r="PAY1" s="8"/>
      <c r="PAZ1" s="9"/>
      <c r="PBA1" s="8"/>
      <c r="PBB1" s="9"/>
      <c r="PBC1" s="8"/>
      <c r="PBD1" s="9"/>
      <c r="PBE1" s="8"/>
      <c r="PBF1" s="9"/>
      <c r="PBG1" s="8"/>
      <c r="PBH1" s="9"/>
      <c r="PBI1" s="8"/>
      <c r="PBJ1" s="9"/>
      <c r="PBK1" s="8"/>
      <c r="PBL1" s="9"/>
      <c r="PBM1" s="8"/>
      <c r="PBN1" s="9"/>
      <c r="PBO1" s="8"/>
      <c r="PBP1" s="9"/>
      <c r="PBQ1" s="8"/>
      <c r="PBR1" s="9"/>
      <c r="PBS1" s="8"/>
      <c r="PBT1" s="9"/>
      <c r="PBU1" s="8"/>
      <c r="PBV1" s="9"/>
      <c r="PBW1" s="8"/>
      <c r="PBX1" s="9"/>
      <c r="PBY1" s="8"/>
      <c r="PBZ1" s="9"/>
      <c r="PCA1" s="8"/>
      <c r="PCB1" s="9"/>
      <c r="PCC1" s="8"/>
      <c r="PCD1" s="9"/>
      <c r="PCE1" s="8"/>
      <c r="PCF1" s="9"/>
      <c r="PCG1" s="8"/>
      <c r="PCH1" s="9"/>
      <c r="PCI1" s="8"/>
      <c r="PCJ1" s="9"/>
      <c r="PCK1" s="8"/>
      <c r="PCL1" s="9"/>
      <c r="PCM1" s="8"/>
      <c r="PCN1" s="9"/>
      <c r="PCO1" s="8"/>
      <c r="PCP1" s="9"/>
      <c r="PCQ1" s="8"/>
      <c r="PCR1" s="9"/>
      <c r="PCS1" s="8"/>
      <c r="PCT1" s="9"/>
      <c r="PCU1" s="8"/>
      <c r="PCV1" s="9"/>
      <c r="PCW1" s="8"/>
      <c r="PCX1" s="9"/>
      <c r="PCY1" s="8"/>
      <c r="PCZ1" s="9"/>
      <c r="PDA1" s="8"/>
      <c r="PDB1" s="9"/>
      <c r="PDC1" s="8"/>
      <c r="PDD1" s="9"/>
      <c r="PDE1" s="8"/>
      <c r="PDF1" s="9"/>
      <c r="PDG1" s="8"/>
      <c r="PDH1" s="9"/>
      <c r="PDI1" s="8"/>
      <c r="PDJ1" s="9"/>
      <c r="PDK1" s="8"/>
      <c r="PDL1" s="9"/>
      <c r="PDM1" s="8"/>
      <c r="PDN1" s="9"/>
      <c r="PDO1" s="8"/>
      <c r="PDP1" s="9"/>
      <c r="PDQ1" s="8"/>
      <c r="PDR1" s="9"/>
      <c r="PDS1" s="8"/>
      <c r="PDT1" s="9"/>
      <c r="PDU1" s="8"/>
      <c r="PDV1" s="9"/>
      <c r="PDW1" s="8"/>
      <c r="PDX1" s="9"/>
      <c r="PDY1" s="8"/>
      <c r="PDZ1" s="9"/>
      <c r="PEA1" s="8"/>
      <c r="PEB1" s="9"/>
      <c r="PEC1" s="8"/>
      <c r="PED1" s="9"/>
      <c r="PEE1" s="8"/>
      <c r="PEF1" s="9"/>
      <c r="PEG1" s="8"/>
      <c r="PEH1" s="9"/>
      <c r="PEI1" s="8"/>
      <c r="PEJ1" s="9"/>
      <c r="PEK1" s="8"/>
      <c r="PEL1" s="9"/>
      <c r="PEM1" s="8"/>
      <c r="PEN1" s="9"/>
      <c r="PEO1" s="8"/>
      <c r="PEP1" s="9"/>
      <c r="PEQ1" s="8"/>
      <c r="PER1" s="9"/>
      <c r="PES1" s="8"/>
      <c r="PET1" s="9"/>
      <c r="PEU1" s="8"/>
      <c r="PEV1" s="9"/>
      <c r="PEW1" s="8"/>
      <c r="PEX1" s="9"/>
      <c r="PEY1" s="8"/>
      <c r="PEZ1" s="9"/>
      <c r="PFA1" s="8"/>
      <c r="PFB1" s="9"/>
      <c r="PFC1" s="8"/>
      <c r="PFD1" s="9"/>
      <c r="PFE1" s="8"/>
      <c r="PFF1" s="9"/>
      <c r="PFG1" s="8"/>
      <c r="PFH1" s="9"/>
      <c r="PFI1" s="8"/>
      <c r="PFJ1" s="9"/>
      <c r="PFK1" s="8"/>
      <c r="PFL1" s="9"/>
      <c r="PFM1" s="8"/>
      <c r="PFN1" s="9"/>
      <c r="PFO1" s="8"/>
      <c r="PFP1" s="9"/>
      <c r="PFQ1" s="8"/>
      <c r="PFR1" s="9"/>
      <c r="PFS1" s="8"/>
      <c r="PFT1" s="9"/>
      <c r="PFU1" s="8"/>
      <c r="PFV1" s="9"/>
      <c r="PFW1" s="8"/>
      <c r="PFX1" s="9"/>
      <c r="PFY1" s="8"/>
      <c r="PFZ1" s="9"/>
      <c r="PGA1" s="8"/>
      <c r="PGB1" s="9"/>
      <c r="PGC1" s="8"/>
      <c r="PGD1" s="9"/>
      <c r="PGE1" s="8"/>
      <c r="PGF1" s="9"/>
      <c r="PGG1" s="8"/>
      <c r="PGH1" s="9"/>
      <c r="PGI1" s="8"/>
      <c r="PGJ1" s="9"/>
      <c r="PGK1" s="8"/>
      <c r="PGL1" s="9"/>
      <c r="PGM1" s="8"/>
      <c r="PGN1" s="9"/>
      <c r="PGO1" s="8"/>
      <c r="PGP1" s="9"/>
      <c r="PGQ1" s="8"/>
      <c r="PGR1" s="9"/>
      <c r="PGS1" s="8"/>
      <c r="PGT1" s="9"/>
      <c r="PGU1" s="8"/>
      <c r="PGV1" s="9"/>
      <c r="PGW1" s="8"/>
      <c r="PGX1" s="9"/>
      <c r="PGY1" s="8"/>
      <c r="PGZ1" s="9"/>
      <c r="PHA1" s="8"/>
      <c r="PHB1" s="9"/>
      <c r="PHC1" s="8"/>
      <c r="PHD1" s="9"/>
      <c r="PHE1" s="8"/>
      <c r="PHF1" s="9"/>
      <c r="PHG1" s="8"/>
      <c r="PHH1" s="9"/>
      <c r="PHI1" s="8"/>
      <c r="PHJ1" s="9"/>
      <c r="PHK1" s="8"/>
      <c r="PHL1" s="9"/>
      <c r="PHM1" s="8"/>
      <c r="PHN1" s="9"/>
      <c r="PHO1" s="8"/>
      <c r="PHP1" s="9"/>
      <c r="PHQ1" s="8"/>
      <c r="PHR1" s="9"/>
      <c r="PHS1" s="8"/>
      <c r="PHT1" s="9"/>
      <c r="PHU1" s="8"/>
      <c r="PHV1" s="9"/>
      <c r="PHW1" s="8"/>
      <c r="PHX1" s="9"/>
      <c r="PHY1" s="8"/>
      <c r="PHZ1" s="9"/>
      <c r="PIA1" s="8"/>
      <c r="PIB1" s="9"/>
      <c r="PIC1" s="8"/>
      <c r="PID1" s="9"/>
      <c r="PIE1" s="8"/>
      <c r="PIF1" s="9"/>
      <c r="PIG1" s="8"/>
      <c r="PIH1" s="9"/>
      <c r="PII1" s="8"/>
      <c r="PIJ1" s="9"/>
      <c r="PIK1" s="8"/>
      <c r="PIL1" s="9"/>
      <c r="PIM1" s="8"/>
      <c r="PIN1" s="9"/>
      <c r="PIO1" s="8"/>
      <c r="PIP1" s="9"/>
      <c r="PIQ1" s="8"/>
      <c r="PIR1" s="9"/>
      <c r="PIS1" s="8"/>
      <c r="PIT1" s="9"/>
      <c r="PIU1" s="8"/>
      <c r="PIV1" s="9"/>
      <c r="PIW1" s="8"/>
      <c r="PIX1" s="9"/>
      <c r="PIY1" s="8"/>
      <c r="PIZ1" s="9"/>
      <c r="PJA1" s="8"/>
      <c r="PJB1" s="9"/>
      <c r="PJC1" s="8"/>
      <c r="PJD1" s="9"/>
      <c r="PJE1" s="8"/>
      <c r="PJF1" s="9"/>
      <c r="PJG1" s="8"/>
      <c r="PJH1" s="9"/>
      <c r="PJI1" s="8"/>
      <c r="PJJ1" s="9"/>
      <c r="PJK1" s="8"/>
      <c r="PJL1" s="9"/>
      <c r="PJM1" s="8"/>
      <c r="PJN1" s="9"/>
      <c r="PJO1" s="8"/>
      <c r="PJP1" s="9"/>
      <c r="PJQ1" s="8"/>
      <c r="PJR1" s="9"/>
      <c r="PJS1" s="8"/>
      <c r="PJT1" s="9"/>
      <c r="PJU1" s="8"/>
      <c r="PJV1" s="9"/>
      <c r="PJW1" s="8"/>
      <c r="PJX1" s="9"/>
      <c r="PJY1" s="8"/>
      <c r="PJZ1" s="9"/>
      <c r="PKA1" s="8"/>
      <c r="PKB1" s="9"/>
      <c r="PKC1" s="8"/>
      <c r="PKD1" s="9"/>
      <c r="PKE1" s="8"/>
      <c r="PKF1" s="9"/>
      <c r="PKG1" s="8"/>
      <c r="PKH1" s="9"/>
      <c r="PKI1" s="8"/>
      <c r="PKJ1" s="9"/>
      <c r="PKK1" s="8"/>
      <c r="PKL1" s="9"/>
      <c r="PKM1" s="8"/>
      <c r="PKN1" s="9"/>
      <c r="PKO1" s="8"/>
      <c r="PKP1" s="9"/>
      <c r="PKQ1" s="8"/>
      <c r="PKR1" s="9"/>
      <c r="PKS1" s="8"/>
      <c r="PKT1" s="9"/>
      <c r="PKU1" s="8"/>
      <c r="PKV1" s="9"/>
      <c r="PKW1" s="8"/>
      <c r="PKX1" s="9"/>
      <c r="PKY1" s="8"/>
      <c r="PKZ1" s="9"/>
      <c r="PLA1" s="8"/>
      <c r="PLB1" s="9"/>
      <c r="PLC1" s="8"/>
      <c r="PLD1" s="9"/>
      <c r="PLE1" s="8"/>
      <c r="PLF1" s="9"/>
      <c r="PLG1" s="8"/>
      <c r="PLH1" s="9"/>
      <c r="PLI1" s="8"/>
      <c r="PLJ1" s="9"/>
      <c r="PLK1" s="8"/>
      <c r="PLL1" s="9"/>
      <c r="PLM1" s="8"/>
      <c r="PLN1" s="9"/>
      <c r="PLO1" s="8"/>
      <c r="PLP1" s="9"/>
      <c r="PLQ1" s="8"/>
      <c r="PLR1" s="9"/>
      <c r="PLS1" s="8"/>
      <c r="PLT1" s="9"/>
      <c r="PLU1" s="8"/>
      <c r="PLV1" s="9"/>
      <c r="PLW1" s="8"/>
      <c r="PLX1" s="9"/>
      <c r="PLY1" s="8"/>
      <c r="PLZ1" s="9"/>
      <c r="PMA1" s="8"/>
      <c r="PMB1" s="9"/>
      <c r="PMC1" s="8"/>
      <c r="PMD1" s="9"/>
      <c r="PME1" s="8"/>
      <c r="PMF1" s="9"/>
      <c r="PMG1" s="8"/>
      <c r="PMH1" s="9"/>
      <c r="PMI1" s="8"/>
      <c r="PMJ1" s="9"/>
      <c r="PMK1" s="8"/>
      <c r="PML1" s="9"/>
      <c r="PMM1" s="8"/>
      <c r="PMN1" s="9"/>
      <c r="PMO1" s="8"/>
      <c r="PMP1" s="9"/>
      <c r="PMQ1" s="8"/>
      <c r="PMR1" s="9"/>
      <c r="PMS1" s="8"/>
      <c r="PMT1" s="9"/>
      <c r="PMU1" s="8"/>
      <c r="PMV1" s="9"/>
      <c r="PMW1" s="8"/>
      <c r="PMX1" s="9"/>
      <c r="PMY1" s="8"/>
      <c r="PMZ1" s="9"/>
      <c r="PNA1" s="8"/>
      <c r="PNB1" s="9"/>
      <c r="PNC1" s="8"/>
      <c r="PND1" s="9"/>
      <c r="PNE1" s="8"/>
      <c r="PNF1" s="9"/>
      <c r="PNG1" s="8"/>
      <c r="PNH1" s="9"/>
      <c r="PNI1" s="8"/>
      <c r="PNJ1" s="9"/>
      <c r="PNK1" s="8"/>
      <c r="PNL1" s="9"/>
      <c r="PNM1" s="8"/>
      <c r="PNN1" s="9"/>
      <c r="PNO1" s="8"/>
      <c r="PNP1" s="9"/>
      <c r="PNQ1" s="8"/>
      <c r="PNR1" s="9"/>
      <c r="PNS1" s="8"/>
      <c r="PNT1" s="9"/>
      <c r="PNU1" s="8"/>
      <c r="PNV1" s="9"/>
      <c r="PNW1" s="8"/>
      <c r="PNX1" s="9"/>
      <c r="PNY1" s="8"/>
      <c r="PNZ1" s="9"/>
      <c r="POA1" s="8"/>
      <c r="POB1" s="9"/>
      <c r="POC1" s="8"/>
      <c r="POD1" s="9"/>
      <c r="POE1" s="8"/>
      <c r="POF1" s="9"/>
      <c r="POG1" s="8"/>
      <c r="POH1" s="9"/>
      <c r="POI1" s="8"/>
      <c r="POJ1" s="9"/>
      <c r="POK1" s="8"/>
      <c r="POL1" s="9"/>
      <c r="POM1" s="8"/>
      <c r="PON1" s="9"/>
      <c r="POO1" s="8"/>
      <c r="POP1" s="9"/>
      <c r="POQ1" s="8"/>
      <c r="POR1" s="9"/>
      <c r="POS1" s="8"/>
      <c r="POT1" s="9"/>
      <c r="POU1" s="8"/>
      <c r="POV1" s="9"/>
      <c r="POW1" s="8"/>
      <c r="POX1" s="9"/>
      <c r="POY1" s="8"/>
      <c r="POZ1" s="9"/>
      <c r="PPA1" s="8"/>
      <c r="PPB1" s="9"/>
      <c r="PPC1" s="8"/>
      <c r="PPD1" s="9"/>
      <c r="PPE1" s="8"/>
      <c r="PPF1" s="9"/>
      <c r="PPG1" s="8"/>
      <c r="PPH1" s="9"/>
      <c r="PPI1" s="8"/>
      <c r="PPJ1" s="9"/>
      <c r="PPK1" s="8"/>
      <c r="PPL1" s="9"/>
      <c r="PPM1" s="8"/>
      <c r="PPN1" s="9"/>
      <c r="PPO1" s="8"/>
      <c r="PPP1" s="9"/>
      <c r="PPQ1" s="8"/>
      <c r="PPR1" s="9"/>
      <c r="PPS1" s="8"/>
      <c r="PPT1" s="9"/>
      <c r="PPU1" s="8"/>
      <c r="PPV1" s="9"/>
      <c r="PPW1" s="8"/>
      <c r="PPX1" s="9"/>
      <c r="PPY1" s="8"/>
      <c r="PPZ1" s="9"/>
      <c r="PQA1" s="8"/>
      <c r="PQB1" s="9"/>
      <c r="PQC1" s="8"/>
      <c r="PQD1" s="9"/>
      <c r="PQE1" s="8"/>
      <c r="PQF1" s="9"/>
      <c r="PQG1" s="8"/>
      <c r="PQH1" s="9"/>
      <c r="PQI1" s="8"/>
      <c r="PQJ1" s="9"/>
      <c r="PQK1" s="8"/>
      <c r="PQL1" s="9"/>
      <c r="PQM1" s="8"/>
      <c r="PQN1" s="9"/>
      <c r="PQO1" s="8"/>
      <c r="PQP1" s="9"/>
      <c r="PQQ1" s="8"/>
      <c r="PQR1" s="9"/>
      <c r="PQS1" s="8"/>
      <c r="PQT1" s="9"/>
      <c r="PQU1" s="8"/>
      <c r="PQV1" s="9"/>
      <c r="PQW1" s="8"/>
      <c r="PQX1" s="9"/>
      <c r="PQY1" s="8"/>
      <c r="PQZ1" s="9"/>
      <c r="PRA1" s="8"/>
      <c r="PRB1" s="9"/>
      <c r="PRC1" s="8"/>
      <c r="PRD1" s="9"/>
      <c r="PRE1" s="8"/>
      <c r="PRF1" s="9"/>
      <c r="PRG1" s="8"/>
      <c r="PRH1" s="9"/>
      <c r="PRI1" s="8"/>
      <c r="PRJ1" s="9"/>
      <c r="PRK1" s="8"/>
      <c r="PRL1" s="9"/>
      <c r="PRM1" s="8"/>
      <c r="PRN1" s="9"/>
      <c r="PRO1" s="8"/>
      <c r="PRP1" s="9"/>
      <c r="PRQ1" s="8"/>
      <c r="PRR1" s="9"/>
      <c r="PRS1" s="8"/>
      <c r="PRT1" s="9"/>
      <c r="PRU1" s="8"/>
      <c r="PRV1" s="9"/>
      <c r="PRW1" s="8"/>
      <c r="PRX1" s="9"/>
      <c r="PRY1" s="8"/>
      <c r="PRZ1" s="9"/>
      <c r="PSA1" s="8"/>
      <c r="PSB1" s="9"/>
      <c r="PSC1" s="8"/>
      <c r="PSD1" s="9"/>
      <c r="PSE1" s="8"/>
      <c r="PSF1" s="9"/>
      <c r="PSG1" s="8"/>
      <c r="PSH1" s="9"/>
      <c r="PSI1" s="8"/>
      <c r="PSJ1" s="9"/>
      <c r="PSK1" s="8"/>
      <c r="PSL1" s="9"/>
      <c r="PSM1" s="8"/>
      <c r="PSN1" s="9"/>
      <c r="PSO1" s="8"/>
      <c r="PSP1" s="9"/>
      <c r="PSQ1" s="8"/>
      <c r="PSR1" s="9"/>
      <c r="PSS1" s="8"/>
      <c r="PST1" s="9"/>
      <c r="PSU1" s="8"/>
      <c r="PSV1" s="9"/>
      <c r="PSW1" s="8"/>
      <c r="PSX1" s="9"/>
      <c r="PSY1" s="8"/>
      <c r="PSZ1" s="9"/>
      <c r="PTA1" s="8"/>
      <c r="PTB1" s="9"/>
      <c r="PTC1" s="8"/>
      <c r="PTD1" s="9"/>
      <c r="PTE1" s="8"/>
      <c r="PTF1" s="9"/>
      <c r="PTG1" s="8"/>
      <c r="PTH1" s="9"/>
      <c r="PTI1" s="8"/>
      <c r="PTJ1" s="9"/>
      <c r="PTK1" s="8"/>
      <c r="PTL1" s="9"/>
      <c r="PTM1" s="8"/>
      <c r="PTN1" s="9"/>
      <c r="PTO1" s="8"/>
      <c r="PTP1" s="9"/>
      <c r="PTQ1" s="8"/>
      <c r="PTR1" s="9"/>
      <c r="PTS1" s="8"/>
      <c r="PTT1" s="9"/>
      <c r="PTU1" s="8"/>
      <c r="PTV1" s="9"/>
      <c r="PTW1" s="8"/>
      <c r="PTX1" s="9"/>
      <c r="PTY1" s="8"/>
      <c r="PTZ1" s="9"/>
      <c r="PUA1" s="8"/>
      <c r="PUB1" s="9"/>
      <c r="PUC1" s="8"/>
      <c r="PUD1" s="9"/>
      <c r="PUE1" s="8"/>
      <c r="PUF1" s="9"/>
      <c r="PUG1" s="8"/>
      <c r="PUH1" s="9"/>
      <c r="PUI1" s="8"/>
      <c r="PUJ1" s="9"/>
      <c r="PUK1" s="8"/>
      <c r="PUL1" s="9"/>
      <c r="PUM1" s="8"/>
      <c r="PUN1" s="9"/>
      <c r="PUO1" s="8"/>
      <c r="PUP1" s="9"/>
      <c r="PUQ1" s="8"/>
      <c r="PUR1" s="9"/>
      <c r="PUS1" s="8"/>
      <c r="PUT1" s="9"/>
      <c r="PUU1" s="8"/>
      <c r="PUV1" s="9"/>
      <c r="PUW1" s="8"/>
      <c r="PUX1" s="9"/>
      <c r="PUY1" s="8"/>
      <c r="PUZ1" s="9"/>
      <c r="PVA1" s="8"/>
      <c r="PVB1" s="9"/>
      <c r="PVC1" s="8"/>
      <c r="PVD1" s="9"/>
      <c r="PVE1" s="8"/>
      <c r="PVF1" s="9"/>
      <c r="PVG1" s="8"/>
      <c r="PVH1" s="9"/>
      <c r="PVI1" s="8"/>
      <c r="PVJ1" s="9"/>
      <c r="PVK1" s="8"/>
      <c r="PVL1" s="9"/>
      <c r="PVM1" s="8"/>
      <c r="PVN1" s="9"/>
      <c r="PVO1" s="8"/>
      <c r="PVP1" s="9"/>
      <c r="PVQ1" s="8"/>
      <c r="PVR1" s="9"/>
      <c r="PVS1" s="8"/>
      <c r="PVT1" s="9"/>
      <c r="PVU1" s="8"/>
      <c r="PVV1" s="9"/>
      <c r="PVW1" s="8"/>
      <c r="PVX1" s="9"/>
      <c r="PVY1" s="8"/>
      <c r="PVZ1" s="9"/>
      <c r="PWA1" s="8"/>
      <c r="PWB1" s="9"/>
      <c r="PWC1" s="8"/>
      <c r="PWD1" s="9"/>
      <c r="PWE1" s="8"/>
      <c r="PWF1" s="9"/>
      <c r="PWG1" s="8"/>
      <c r="PWH1" s="9"/>
      <c r="PWI1" s="8"/>
      <c r="PWJ1" s="9"/>
      <c r="PWK1" s="8"/>
      <c r="PWL1" s="9"/>
      <c r="PWM1" s="8"/>
      <c r="PWN1" s="9"/>
      <c r="PWO1" s="8"/>
      <c r="PWP1" s="9"/>
      <c r="PWQ1" s="8"/>
      <c r="PWR1" s="9"/>
      <c r="PWS1" s="8"/>
      <c r="PWT1" s="9"/>
      <c r="PWU1" s="8"/>
      <c r="PWV1" s="9"/>
      <c r="PWW1" s="8"/>
      <c r="PWX1" s="9"/>
      <c r="PWY1" s="8"/>
      <c r="PWZ1" s="9"/>
      <c r="PXA1" s="8"/>
      <c r="PXB1" s="9"/>
      <c r="PXC1" s="8"/>
      <c r="PXD1" s="9"/>
      <c r="PXE1" s="8"/>
      <c r="PXF1" s="9"/>
      <c r="PXG1" s="8"/>
      <c r="PXH1" s="9"/>
      <c r="PXI1" s="8"/>
      <c r="PXJ1" s="9"/>
      <c r="PXK1" s="8"/>
      <c r="PXL1" s="9"/>
      <c r="PXM1" s="8"/>
      <c r="PXN1" s="9"/>
      <c r="PXO1" s="8"/>
      <c r="PXP1" s="9"/>
      <c r="PXQ1" s="8"/>
      <c r="PXR1" s="9"/>
      <c r="PXS1" s="8"/>
      <c r="PXT1" s="9"/>
      <c r="PXU1" s="8"/>
      <c r="PXV1" s="9"/>
      <c r="PXW1" s="8"/>
      <c r="PXX1" s="9"/>
      <c r="PXY1" s="8"/>
      <c r="PXZ1" s="9"/>
      <c r="PYA1" s="8"/>
      <c r="PYB1" s="9"/>
      <c r="PYC1" s="8"/>
      <c r="PYD1" s="9"/>
      <c r="PYE1" s="8"/>
      <c r="PYF1" s="9"/>
      <c r="PYG1" s="8"/>
      <c r="PYH1" s="9"/>
      <c r="PYI1" s="8"/>
      <c r="PYJ1" s="9"/>
      <c r="PYK1" s="8"/>
      <c r="PYL1" s="9"/>
      <c r="PYM1" s="8"/>
      <c r="PYN1" s="9"/>
      <c r="PYO1" s="8"/>
      <c r="PYP1" s="9"/>
      <c r="PYQ1" s="8"/>
      <c r="PYR1" s="9"/>
      <c r="PYS1" s="8"/>
      <c r="PYT1" s="9"/>
      <c r="PYU1" s="8"/>
      <c r="PYV1" s="9"/>
      <c r="PYW1" s="8"/>
      <c r="PYX1" s="9"/>
      <c r="PYY1" s="8"/>
      <c r="PYZ1" s="9"/>
      <c r="PZA1" s="8"/>
      <c r="PZB1" s="9"/>
      <c r="PZC1" s="8"/>
      <c r="PZD1" s="9"/>
      <c r="PZE1" s="8"/>
      <c r="PZF1" s="9"/>
      <c r="PZG1" s="8"/>
      <c r="PZH1" s="9"/>
      <c r="PZI1" s="8"/>
      <c r="PZJ1" s="9"/>
      <c r="PZK1" s="8"/>
      <c r="PZL1" s="9"/>
      <c r="PZM1" s="8"/>
      <c r="PZN1" s="9"/>
      <c r="PZO1" s="8"/>
      <c r="PZP1" s="9"/>
      <c r="PZQ1" s="8"/>
      <c r="PZR1" s="9"/>
      <c r="PZS1" s="8"/>
      <c r="PZT1" s="9"/>
      <c r="PZU1" s="8"/>
      <c r="PZV1" s="9"/>
      <c r="PZW1" s="8"/>
      <c r="PZX1" s="9"/>
      <c r="PZY1" s="8"/>
      <c r="PZZ1" s="9"/>
      <c r="QAA1" s="8"/>
      <c r="QAB1" s="9"/>
      <c r="QAC1" s="8"/>
      <c r="QAD1" s="9"/>
      <c r="QAE1" s="8"/>
      <c r="QAF1" s="9"/>
      <c r="QAG1" s="8"/>
      <c r="QAH1" s="9"/>
      <c r="QAI1" s="8"/>
      <c r="QAJ1" s="9"/>
      <c r="QAK1" s="8"/>
      <c r="QAL1" s="9"/>
      <c r="QAM1" s="8"/>
      <c r="QAN1" s="9"/>
      <c r="QAO1" s="8"/>
      <c r="QAP1" s="9"/>
      <c r="QAQ1" s="8"/>
      <c r="QAR1" s="9"/>
      <c r="QAS1" s="8"/>
      <c r="QAT1" s="9"/>
      <c r="QAU1" s="8"/>
      <c r="QAV1" s="9"/>
      <c r="QAW1" s="8"/>
      <c r="QAX1" s="9"/>
      <c r="QAY1" s="8"/>
      <c r="QAZ1" s="9"/>
      <c r="QBA1" s="8"/>
      <c r="QBB1" s="9"/>
      <c r="QBC1" s="8"/>
      <c r="QBD1" s="9"/>
      <c r="QBE1" s="8"/>
      <c r="QBF1" s="9"/>
      <c r="QBG1" s="8"/>
      <c r="QBH1" s="9"/>
      <c r="QBI1" s="8"/>
      <c r="QBJ1" s="9"/>
      <c r="QBK1" s="8"/>
      <c r="QBL1" s="9"/>
      <c r="QBM1" s="8"/>
      <c r="QBN1" s="9"/>
      <c r="QBO1" s="8"/>
      <c r="QBP1" s="9"/>
      <c r="QBQ1" s="8"/>
      <c r="QBR1" s="9"/>
      <c r="QBS1" s="8"/>
      <c r="QBT1" s="9"/>
      <c r="QBU1" s="8"/>
      <c r="QBV1" s="9"/>
      <c r="QBW1" s="8"/>
      <c r="QBX1" s="9"/>
      <c r="QBY1" s="8"/>
      <c r="QBZ1" s="9"/>
      <c r="QCA1" s="8"/>
      <c r="QCB1" s="9"/>
      <c r="QCC1" s="8"/>
      <c r="QCD1" s="9"/>
      <c r="QCE1" s="8"/>
      <c r="QCF1" s="9"/>
      <c r="QCG1" s="8"/>
      <c r="QCH1" s="9"/>
      <c r="QCI1" s="8"/>
      <c r="QCJ1" s="9"/>
      <c r="QCK1" s="8"/>
      <c r="QCL1" s="9"/>
      <c r="QCM1" s="8"/>
      <c r="QCN1" s="9"/>
      <c r="QCO1" s="8"/>
      <c r="QCP1" s="9"/>
      <c r="QCQ1" s="8"/>
      <c r="QCR1" s="9"/>
      <c r="QCS1" s="8"/>
      <c r="QCT1" s="9"/>
      <c r="QCU1" s="8"/>
      <c r="QCV1" s="9"/>
      <c r="QCW1" s="8"/>
      <c r="QCX1" s="9"/>
      <c r="QCY1" s="8"/>
      <c r="QCZ1" s="9"/>
      <c r="QDA1" s="8"/>
      <c r="QDB1" s="9"/>
      <c r="QDC1" s="8"/>
      <c r="QDD1" s="9"/>
      <c r="QDE1" s="8"/>
      <c r="QDF1" s="9"/>
      <c r="QDG1" s="8"/>
      <c r="QDH1" s="9"/>
      <c r="QDI1" s="8"/>
      <c r="QDJ1" s="9"/>
      <c r="QDK1" s="8"/>
      <c r="QDL1" s="9"/>
      <c r="QDM1" s="8"/>
      <c r="QDN1" s="9"/>
      <c r="QDO1" s="8"/>
      <c r="QDP1" s="9"/>
      <c r="QDQ1" s="8"/>
      <c r="QDR1" s="9"/>
      <c r="QDS1" s="8"/>
      <c r="QDT1" s="9"/>
      <c r="QDU1" s="8"/>
      <c r="QDV1" s="9"/>
      <c r="QDW1" s="8"/>
      <c r="QDX1" s="9"/>
      <c r="QDY1" s="8"/>
      <c r="QDZ1" s="9"/>
      <c r="QEA1" s="8"/>
      <c r="QEB1" s="9"/>
      <c r="QEC1" s="8"/>
      <c r="QED1" s="9"/>
      <c r="QEE1" s="8"/>
      <c r="QEF1" s="9"/>
      <c r="QEG1" s="8"/>
      <c r="QEH1" s="9"/>
      <c r="QEI1" s="8"/>
      <c r="QEJ1" s="9"/>
      <c r="QEK1" s="8"/>
      <c r="QEL1" s="9"/>
      <c r="QEM1" s="8"/>
      <c r="QEN1" s="9"/>
      <c r="QEO1" s="8"/>
      <c r="QEP1" s="9"/>
      <c r="QEQ1" s="8"/>
      <c r="QER1" s="9"/>
      <c r="QES1" s="8"/>
      <c r="QET1" s="9"/>
      <c r="QEU1" s="8"/>
      <c r="QEV1" s="9"/>
      <c r="QEW1" s="8"/>
      <c r="QEX1" s="9"/>
      <c r="QEY1" s="8"/>
      <c r="QEZ1" s="9"/>
      <c r="QFA1" s="8"/>
      <c r="QFB1" s="9"/>
      <c r="QFC1" s="8"/>
      <c r="QFD1" s="9"/>
      <c r="QFE1" s="8"/>
      <c r="QFF1" s="9"/>
      <c r="QFG1" s="8"/>
      <c r="QFH1" s="9"/>
      <c r="QFI1" s="8"/>
      <c r="QFJ1" s="9"/>
      <c r="QFK1" s="8"/>
      <c r="QFL1" s="9"/>
      <c r="QFM1" s="8"/>
      <c r="QFN1" s="9"/>
      <c r="QFO1" s="8"/>
      <c r="QFP1" s="9"/>
      <c r="QFQ1" s="8"/>
      <c r="QFR1" s="9"/>
      <c r="QFS1" s="8"/>
      <c r="QFT1" s="9"/>
      <c r="QFU1" s="8"/>
      <c r="QFV1" s="9"/>
      <c r="QFW1" s="8"/>
      <c r="QFX1" s="9"/>
      <c r="QFY1" s="8"/>
      <c r="QFZ1" s="9"/>
      <c r="QGA1" s="8"/>
      <c r="QGB1" s="9"/>
      <c r="QGC1" s="8"/>
      <c r="QGD1" s="9"/>
      <c r="QGE1" s="8"/>
      <c r="QGF1" s="9"/>
      <c r="QGG1" s="8"/>
      <c r="QGH1" s="9"/>
      <c r="QGI1" s="8"/>
      <c r="QGJ1" s="9"/>
      <c r="QGK1" s="8"/>
      <c r="QGL1" s="9"/>
      <c r="QGM1" s="8"/>
      <c r="QGN1" s="9"/>
      <c r="QGO1" s="8"/>
      <c r="QGP1" s="9"/>
      <c r="QGQ1" s="8"/>
      <c r="QGR1" s="9"/>
      <c r="QGS1" s="8"/>
      <c r="QGT1" s="9"/>
      <c r="QGU1" s="8"/>
      <c r="QGV1" s="9"/>
      <c r="QGW1" s="8"/>
      <c r="QGX1" s="9"/>
      <c r="QGY1" s="8"/>
      <c r="QGZ1" s="9"/>
      <c r="QHA1" s="8"/>
      <c r="QHB1" s="9"/>
      <c r="QHC1" s="8"/>
      <c r="QHD1" s="9"/>
      <c r="QHE1" s="8"/>
      <c r="QHF1" s="9"/>
      <c r="QHG1" s="8"/>
      <c r="QHH1" s="9"/>
      <c r="QHI1" s="8"/>
      <c r="QHJ1" s="9"/>
      <c r="QHK1" s="8"/>
      <c r="QHL1" s="9"/>
      <c r="QHM1" s="8"/>
      <c r="QHN1" s="9"/>
      <c r="QHO1" s="8"/>
      <c r="QHP1" s="9"/>
      <c r="QHQ1" s="8"/>
      <c r="QHR1" s="9"/>
      <c r="QHS1" s="8"/>
      <c r="QHT1" s="9"/>
      <c r="QHU1" s="8"/>
      <c r="QHV1" s="9"/>
      <c r="QHW1" s="8"/>
      <c r="QHX1" s="9"/>
      <c r="QHY1" s="8"/>
      <c r="QHZ1" s="9"/>
      <c r="QIA1" s="8"/>
      <c r="QIB1" s="9"/>
      <c r="QIC1" s="8"/>
      <c r="QID1" s="9"/>
      <c r="QIE1" s="8"/>
      <c r="QIF1" s="9"/>
      <c r="QIG1" s="8"/>
      <c r="QIH1" s="9"/>
      <c r="QII1" s="8"/>
      <c r="QIJ1" s="9"/>
      <c r="QIK1" s="8"/>
      <c r="QIL1" s="9"/>
      <c r="QIM1" s="8"/>
      <c r="QIN1" s="9"/>
      <c r="QIO1" s="8"/>
      <c r="QIP1" s="9"/>
      <c r="QIQ1" s="8"/>
      <c r="QIR1" s="9"/>
      <c r="QIS1" s="8"/>
      <c r="QIT1" s="9"/>
      <c r="QIU1" s="8"/>
      <c r="QIV1" s="9"/>
      <c r="QIW1" s="8"/>
      <c r="QIX1" s="9"/>
      <c r="QIY1" s="8"/>
      <c r="QIZ1" s="9"/>
      <c r="QJA1" s="8"/>
      <c r="QJB1" s="9"/>
      <c r="QJC1" s="8"/>
      <c r="QJD1" s="9"/>
      <c r="QJE1" s="8"/>
      <c r="QJF1" s="9"/>
      <c r="QJG1" s="8"/>
      <c r="QJH1" s="9"/>
      <c r="QJI1" s="8"/>
      <c r="QJJ1" s="9"/>
      <c r="QJK1" s="8"/>
      <c r="QJL1" s="9"/>
      <c r="QJM1" s="8"/>
      <c r="QJN1" s="9"/>
      <c r="QJO1" s="8"/>
      <c r="QJP1" s="9"/>
      <c r="QJQ1" s="8"/>
      <c r="QJR1" s="9"/>
      <c r="QJS1" s="8"/>
      <c r="QJT1" s="9"/>
      <c r="QJU1" s="8"/>
      <c r="QJV1" s="9"/>
      <c r="QJW1" s="8"/>
      <c r="QJX1" s="9"/>
      <c r="QJY1" s="8"/>
      <c r="QJZ1" s="9"/>
      <c r="QKA1" s="8"/>
      <c r="QKB1" s="9"/>
      <c r="QKC1" s="8"/>
      <c r="QKD1" s="9"/>
      <c r="QKE1" s="8"/>
      <c r="QKF1" s="9"/>
      <c r="QKG1" s="8"/>
      <c r="QKH1" s="9"/>
      <c r="QKI1" s="8"/>
      <c r="QKJ1" s="9"/>
      <c r="QKK1" s="8"/>
      <c r="QKL1" s="9"/>
      <c r="QKM1" s="8"/>
      <c r="QKN1" s="9"/>
      <c r="QKO1" s="8"/>
      <c r="QKP1" s="9"/>
      <c r="QKQ1" s="8"/>
      <c r="QKR1" s="9"/>
      <c r="QKS1" s="8"/>
      <c r="QKT1" s="9"/>
      <c r="QKU1" s="8"/>
      <c r="QKV1" s="9"/>
      <c r="QKW1" s="8"/>
      <c r="QKX1" s="9"/>
      <c r="QKY1" s="8"/>
      <c r="QKZ1" s="9"/>
      <c r="QLA1" s="8"/>
      <c r="QLB1" s="9"/>
      <c r="QLC1" s="8"/>
      <c r="QLD1" s="9"/>
      <c r="QLE1" s="8"/>
      <c r="QLF1" s="9"/>
      <c r="QLG1" s="8"/>
      <c r="QLH1" s="9"/>
      <c r="QLI1" s="8"/>
      <c r="QLJ1" s="9"/>
      <c r="QLK1" s="8"/>
      <c r="QLL1" s="9"/>
      <c r="QLM1" s="8"/>
      <c r="QLN1" s="9"/>
      <c r="QLO1" s="8"/>
      <c r="QLP1" s="9"/>
      <c r="QLQ1" s="8"/>
      <c r="QLR1" s="9"/>
      <c r="QLS1" s="8"/>
      <c r="QLT1" s="9"/>
      <c r="QLU1" s="8"/>
      <c r="QLV1" s="9"/>
      <c r="QLW1" s="8"/>
      <c r="QLX1" s="9"/>
      <c r="QLY1" s="8"/>
      <c r="QLZ1" s="9"/>
      <c r="QMA1" s="8"/>
      <c r="QMB1" s="9"/>
      <c r="QMC1" s="8"/>
      <c r="QMD1" s="9"/>
      <c r="QME1" s="8"/>
      <c r="QMF1" s="9"/>
      <c r="QMG1" s="8"/>
      <c r="QMH1" s="9"/>
      <c r="QMI1" s="8"/>
      <c r="QMJ1" s="9"/>
      <c r="QMK1" s="8"/>
      <c r="QML1" s="9"/>
      <c r="QMM1" s="8"/>
      <c r="QMN1" s="9"/>
      <c r="QMO1" s="8"/>
      <c r="QMP1" s="9"/>
      <c r="QMQ1" s="8"/>
      <c r="QMR1" s="9"/>
      <c r="QMS1" s="8"/>
      <c r="QMT1" s="9"/>
      <c r="QMU1" s="8"/>
      <c r="QMV1" s="9"/>
      <c r="QMW1" s="8"/>
      <c r="QMX1" s="9"/>
      <c r="QMY1" s="8"/>
      <c r="QMZ1" s="9"/>
      <c r="QNA1" s="8"/>
      <c r="QNB1" s="9"/>
      <c r="QNC1" s="8"/>
      <c r="QND1" s="9"/>
      <c r="QNE1" s="8"/>
      <c r="QNF1" s="9"/>
      <c r="QNG1" s="8"/>
      <c r="QNH1" s="9"/>
      <c r="QNI1" s="8"/>
      <c r="QNJ1" s="9"/>
      <c r="QNK1" s="8"/>
      <c r="QNL1" s="9"/>
      <c r="QNM1" s="8"/>
      <c r="QNN1" s="9"/>
      <c r="QNO1" s="8"/>
      <c r="QNP1" s="9"/>
      <c r="QNQ1" s="8"/>
      <c r="QNR1" s="9"/>
      <c r="QNS1" s="8"/>
      <c r="QNT1" s="9"/>
      <c r="QNU1" s="8"/>
      <c r="QNV1" s="9"/>
      <c r="QNW1" s="8"/>
      <c r="QNX1" s="9"/>
      <c r="QNY1" s="8"/>
      <c r="QNZ1" s="9"/>
      <c r="QOA1" s="8"/>
      <c r="QOB1" s="9"/>
      <c r="QOC1" s="8"/>
      <c r="QOD1" s="9"/>
      <c r="QOE1" s="8"/>
      <c r="QOF1" s="9"/>
      <c r="QOG1" s="8"/>
      <c r="QOH1" s="9"/>
      <c r="QOI1" s="8"/>
      <c r="QOJ1" s="9"/>
      <c r="QOK1" s="8"/>
      <c r="QOL1" s="9"/>
      <c r="QOM1" s="8"/>
      <c r="QON1" s="9"/>
      <c r="QOO1" s="8"/>
      <c r="QOP1" s="9"/>
      <c r="QOQ1" s="8"/>
      <c r="QOR1" s="9"/>
      <c r="QOS1" s="8"/>
      <c r="QOT1" s="9"/>
      <c r="QOU1" s="8"/>
      <c r="QOV1" s="9"/>
      <c r="QOW1" s="8"/>
      <c r="QOX1" s="9"/>
      <c r="QOY1" s="8"/>
      <c r="QOZ1" s="9"/>
      <c r="QPA1" s="8"/>
      <c r="QPB1" s="9"/>
      <c r="QPC1" s="8"/>
      <c r="QPD1" s="9"/>
      <c r="QPE1" s="8"/>
      <c r="QPF1" s="9"/>
      <c r="QPG1" s="8"/>
      <c r="QPH1" s="9"/>
      <c r="QPI1" s="8"/>
      <c r="QPJ1" s="9"/>
      <c r="QPK1" s="8"/>
      <c r="QPL1" s="9"/>
      <c r="QPM1" s="8"/>
      <c r="QPN1" s="9"/>
      <c r="QPO1" s="8"/>
      <c r="QPP1" s="9"/>
      <c r="QPQ1" s="8"/>
      <c r="QPR1" s="9"/>
      <c r="QPS1" s="8"/>
      <c r="QPT1" s="9"/>
      <c r="QPU1" s="8"/>
      <c r="QPV1" s="9"/>
      <c r="QPW1" s="8"/>
      <c r="QPX1" s="9"/>
      <c r="QPY1" s="8"/>
      <c r="QPZ1" s="9"/>
      <c r="QQA1" s="8"/>
      <c r="QQB1" s="9"/>
      <c r="QQC1" s="8"/>
      <c r="QQD1" s="9"/>
      <c r="QQE1" s="8"/>
      <c r="QQF1" s="9"/>
      <c r="QQG1" s="8"/>
      <c r="QQH1" s="9"/>
      <c r="QQI1" s="8"/>
      <c r="QQJ1" s="9"/>
      <c r="QQK1" s="8"/>
      <c r="QQL1" s="9"/>
      <c r="QQM1" s="8"/>
      <c r="QQN1" s="9"/>
      <c r="QQO1" s="8"/>
      <c r="QQP1" s="9"/>
      <c r="QQQ1" s="8"/>
      <c r="QQR1" s="9"/>
      <c r="QQS1" s="8"/>
      <c r="QQT1" s="9"/>
      <c r="QQU1" s="8"/>
      <c r="QQV1" s="9"/>
      <c r="QQW1" s="8"/>
      <c r="QQX1" s="9"/>
      <c r="QQY1" s="8"/>
      <c r="QQZ1" s="9"/>
      <c r="QRA1" s="8"/>
      <c r="QRB1" s="9"/>
      <c r="QRC1" s="8"/>
      <c r="QRD1" s="9"/>
      <c r="QRE1" s="8"/>
      <c r="QRF1" s="9"/>
      <c r="QRG1" s="8"/>
      <c r="QRH1" s="9"/>
      <c r="QRI1" s="8"/>
      <c r="QRJ1" s="9"/>
      <c r="QRK1" s="8"/>
      <c r="QRL1" s="9"/>
      <c r="QRM1" s="8"/>
      <c r="QRN1" s="9"/>
      <c r="QRO1" s="8"/>
      <c r="QRP1" s="9"/>
      <c r="QRQ1" s="8"/>
      <c r="QRR1" s="9"/>
      <c r="QRS1" s="8"/>
      <c r="QRT1" s="9"/>
      <c r="QRU1" s="8"/>
      <c r="QRV1" s="9"/>
      <c r="QRW1" s="8"/>
      <c r="QRX1" s="9"/>
      <c r="QRY1" s="8"/>
      <c r="QRZ1" s="9"/>
      <c r="QSA1" s="8"/>
      <c r="QSB1" s="9"/>
      <c r="QSC1" s="8"/>
      <c r="QSD1" s="9"/>
      <c r="QSE1" s="8"/>
      <c r="QSF1" s="9"/>
      <c r="QSG1" s="8"/>
      <c r="QSH1" s="9"/>
      <c r="QSI1" s="8"/>
      <c r="QSJ1" s="9"/>
      <c r="QSK1" s="8"/>
      <c r="QSL1" s="9"/>
      <c r="QSM1" s="8"/>
      <c r="QSN1" s="9"/>
      <c r="QSO1" s="8"/>
      <c r="QSP1" s="9"/>
      <c r="QSQ1" s="8"/>
      <c r="QSR1" s="9"/>
      <c r="QSS1" s="8"/>
      <c r="QST1" s="9"/>
      <c r="QSU1" s="8"/>
      <c r="QSV1" s="9"/>
      <c r="QSW1" s="8"/>
      <c r="QSX1" s="9"/>
      <c r="QSY1" s="8"/>
      <c r="QSZ1" s="9"/>
      <c r="QTA1" s="8"/>
      <c r="QTB1" s="9"/>
      <c r="QTC1" s="8"/>
      <c r="QTD1" s="9"/>
      <c r="QTE1" s="8"/>
      <c r="QTF1" s="9"/>
      <c r="QTG1" s="8"/>
      <c r="QTH1" s="9"/>
      <c r="QTI1" s="8"/>
      <c r="QTJ1" s="9"/>
      <c r="QTK1" s="8"/>
      <c r="QTL1" s="9"/>
      <c r="QTM1" s="8"/>
      <c r="QTN1" s="9"/>
      <c r="QTO1" s="8"/>
      <c r="QTP1" s="9"/>
      <c r="QTQ1" s="8"/>
      <c r="QTR1" s="9"/>
      <c r="QTS1" s="8"/>
      <c r="QTT1" s="9"/>
      <c r="QTU1" s="8"/>
      <c r="QTV1" s="9"/>
      <c r="QTW1" s="8"/>
      <c r="QTX1" s="9"/>
      <c r="QTY1" s="8"/>
      <c r="QTZ1" s="9"/>
      <c r="QUA1" s="8"/>
      <c r="QUB1" s="9"/>
      <c r="QUC1" s="8"/>
      <c r="QUD1" s="9"/>
      <c r="QUE1" s="8"/>
      <c r="QUF1" s="9"/>
      <c r="QUG1" s="8"/>
      <c r="QUH1" s="9"/>
      <c r="QUI1" s="8"/>
      <c r="QUJ1" s="9"/>
      <c r="QUK1" s="8"/>
      <c r="QUL1" s="9"/>
      <c r="QUM1" s="8"/>
      <c r="QUN1" s="9"/>
      <c r="QUO1" s="8"/>
      <c r="QUP1" s="9"/>
      <c r="QUQ1" s="8"/>
      <c r="QUR1" s="9"/>
      <c r="QUS1" s="8"/>
      <c r="QUT1" s="9"/>
      <c r="QUU1" s="8"/>
      <c r="QUV1" s="9"/>
      <c r="QUW1" s="8"/>
      <c r="QUX1" s="9"/>
      <c r="QUY1" s="8"/>
      <c r="QUZ1" s="9"/>
      <c r="QVA1" s="8"/>
      <c r="QVB1" s="9"/>
      <c r="QVC1" s="8"/>
      <c r="QVD1" s="9"/>
      <c r="QVE1" s="8"/>
      <c r="QVF1" s="9"/>
      <c r="QVG1" s="8"/>
      <c r="QVH1" s="9"/>
      <c r="QVI1" s="8"/>
      <c r="QVJ1" s="9"/>
      <c r="QVK1" s="8"/>
      <c r="QVL1" s="9"/>
      <c r="QVM1" s="8"/>
      <c r="QVN1" s="9"/>
      <c r="QVO1" s="8"/>
      <c r="QVP1" s="9"/>
      <c r="QVQ1" s="8"/>
      <c r="QVR1" s="9"/>
      <c r="QVS1" s="8"/>
      <c r="QVT1" s="9"/>
      <c r="QVU1" s="8"/>
      <c r="QVV1" s="9"/>
      <c r="QVW1" s="8"/>
      <c r="QVX1" s="9"/>
      <c r="QVY1" s="8"/>
      <c r="QVZ1" s="9"/>
      <c r="QWA1" s="8"/>
      <c r="QWB1" s="9"/>
      <c r="QWC1" s="8"/>
      <c r="QWD1" s="9"/>
      <c r="QWE1" s="8"/>
      <c r="QWF1" s="9"/>
      <c r="QWG1" s="8"/>
      <c r="QWH1" s="9"/>
      <c r="QWI1" s="8"/>
      <c r="QWJ1" s="9"/>
      <c r="QWK1" s="8"/>
      <c r="QWL1" s="9"/>
      <c r="QWM1" s="8"/>
      <c r="QWN1" s="9"/>
      <c r="QWO1" s="8"/>
      <c r="QWP1" s="9"/>
      <c r="QWQ1" s="8"/>
      <c r="QWR1" s="9"/>
      <c r="QWS1" s="8"/>
      <c r="QWT1" s="9"/>
      <c r="QWU1" s="8"/>
      <c r="QWV1" s="9"/>
      <c r="QWW1" s="8"/>
      <c r="QWX1" s="9"/>
      <c r="QWY1" s="8"/>
      <c r="QWZ1" s="9"/>
      <c r="QXA1" s="8"/>
      <c r="QXB1" s="9"/>
      <c r="QXC1" s="8"/>
      <c r="QXD1" s="9"/>
      <c r="QXE1" s="8"/>
      <c r="QXF1" s="9"/>
      <c r="QXG1" s="8"/>
      <c r="QXH1" s="9"/>
      <c r="QXI1" s="8"/>
      <c r="QXJ1" s="9"/>
      <c r="QXK1" s="8"/>
      <c r="QXL1" s="9"/>
      <c r="QXM1" s="8"/>
      <c r="QXN1" s="9"/>
      <c r="QXO1" s="8"/>
      <c r="QXP1" s="9"/>
      <c r="QXQ1" s="8"/>
      <c r="QXR1" s="9"/>
      <c r="QXS1" s="8"/>
      <c r="QXT1" s="9"/>
      <c r="QXU1" s="8"/>
      <c r="QXV1" s="9"/>
      <c r="QXW1" s="8"/>
      <c r="QXX1" s="9"/>
      <c r="QXY1" s="8"/>
      <c r="QXZ1" s="9"/>
      <c r="QYA1" s="8"/>
      <c r="QYB1" s="9"/>
      <c r="QYC1" s="8"/>
      <c r="QYD1" s="9"/>
      <c r="QYE1" s="8"/>
      <c r="QYF1" s="9"/>
      <c r="QYG1" s="8"/>
      <c r="QYH1" s="9"/>
      <c r="QYI1" s="8"/>
      <c r="QYJ1" s="9"/>
      <c r="QYK1" s="8"/>
      <c r="QYL1" s="9"/>
      <c r="QYM1" s="8"/>
      <c r="QYN1" s="9"/>
      <c r="QYO1" s="8"/>
      <c r="QYP1" s="9"/>
      <c r="QYQ1" s="8"/>
      <c r="QYR1" s="9"/>
      <c r="QYS1" s="8"/>
      <c r="QYT1" s="9"/>
      <c r="QYU1" s="8"/>
      <c r="QYV1" s="9"/>
      <c r="QYW1" s="8"/>
      <c r="QYX1" s="9"/>
      <c r="QYY1" s="8"/>
      <c r="QYZ1" s="9"/>
      <c r="QZA1" s="8"/>
      <c r="QZB1" s="9"/>
      <c r="QZC1" s="8"/>
      <c r="QZD1" s="9"/>
      <c r="QZE1" s="8"/>
      <c r="QZF1" s="9"/>
      <c r="QZG1" s="8"/>
      <c r="QZH1" s="9"/>
      <c r="QZI1" s="8"/>
      <c r="QZJ1" s="9"/>
      <c r="QZK1" s="8"/>
      <c r="QZL1" s="9"/>
      <c r="QZM1" s="8"/>
      <c r="QZN1" s="9"/>
      <c r="QZO1" s="8"/>
      <c r="QZP1" s="9"/>
      <c r="QZQ1" s="8"/>
      <c r="QZR1" s="9"/>
      <c r="QZS1" s="8"/>
      <c r="QZT1" s="9"/>
      <c r="QZU1" s="8"/>
      <c r="QZV1" s="9"/>
      <c r="QZW1" s="8"/>
      <c r="QZX1" s="9"/>
      <c r="QZY1" s="8"/>
      <c r="QZZ1" s="9"/>
      <c r="RAA1" s="8"/>
      <c r="RAB1" s="9"/>
      <c r="RAC1" s="8"/>
      <c r="RAD1" s="9"/>
      <c r="RAE1" s="8"/>
      <c r="RAF1" s="9"/>
      <c r="RAG1" s="8"/>
      <c r="RAH1" s="9"/>
      <c r="RAI1" s="8"/>
      <c r="RAJ1" s="9"/>
      <c r="RAK1" s="8"/>
      <c r="RAL1" s="9"/>
      <c r="RAM1" s="8"/>
      <c r="RAN1" s="9"/>
      <c r="RAO1" s="8"/>
      <c r="RAP1" s="9"/>
      <c r="RAQ1" s="8"/>
      <c r="RAR1" s="9"/>
      <c r="RAS1" s="8"/>
      <c r="RAT1" s="9"/>
      <c r="RAU1" s="8"/>
      <c r="RAV1" s="9"/>
      <c r="RAW1" s="8"/>
      <c r="RAX1" s="9"/>
      <c r="RAY1" s="8"/>
      <c r="RAZ1" s="9"/>
      <c r="RBA1" s="8"/>
      <c r="RBB1" s="9"/>
      <c r="RBC1" s="8"/>
      <c r="RBD1" s="9"/>
      <c r="RBE1" s="8"/>
      <c r="RBF1" s="9"/>
      <c r="RBG1" s="8"/>
      <c r="RBH1" s="9"/>
      <c r="RBI1" s="8"/>
      <c r="RBJ1" s="9"/>
      <c r="RBK1" s="8"/>
      <c r="RBL1" s="9"/>
      <c r="RBM1" s="8"/>
      <c r="RBN1" s="9"/>
      <c r="RBO1" s="8"/>
      <c r="RBP1" s="9"/>
      <c r="RBQ1" s="8"/>
      <c r="RBR1" s="9"/>
      <c r="RBS1" s="8"/>
      <c r="RBT1" s="9"/>
      <c r="RBU1" s="8"/>
      <c r="RBV1" s="9"/>
      <c r="RBW1" s="8"/>
      <c r="RBX1" s="9"/>
      <c r="RBY1" s="8"/>
      <c r="RBZ1" s="9"/>
      <c r="RCA1" s="8"/>
      <c r="RCB1" s="9"/>
      <c r="RCC1" s="8"/>
      <c r="RCD1" s="9"/>
      <c r="RCE1" s="8"/>
      <c r="RCF1" s="9"/>
      <c r="RCG1" s="8"/>
      <c r="RCH1" s="9"/>
      <c r="RCI1" s="8"/>
      <c r="RCJ1" s="9"/>
      <c r="RCK1" s="8"/>
      <c r="RCL1" s="9"/>
      <c r="RCM1" s="8"/>
      <c r="RCN1" s="9"/>
      <c r="RCO1" s="8"/>
      <c r="RCP1" s="9"/>
      <c r="RCQ1" s="8"/>
      <c r="RCR1" s="9"/>
      <c r="RCS1" s="8"/>
      <c r="RCT1" s="9"/>
      <c r="RCU1" s="8"/>
      <c r="RCV1" s="9"/>
      <c r="RCW1" s="8"/>
      <c r="RCX1" s="9"/>
      <c r="RCY1" s="8"/>
      <c r="RCZ1" s="9"/>
      <c r="RDA1" s="8"/>
      <c r="RDB1" s="9"/>
      <c r="RDC1" s="8"/>
      <c r="RDD1" s="9"/>
      <c r="RDE1" s="8"/>
      <c r="RDF1" s="9"/>
      <c r="RDG1" s="8"/>
      <c r="RDH1" s="9"/>
      <c r="RDI1" s="8"/>
      <c r="RDJ1" s="9"/>
      <c r="RDK1" s="8"/>
      <c r="RDL1" s="9"/>
      <c r="RDM1" s="8"/>
      <c r="RDN1" s="9"/>
      <c r="RDO1" s="8"/>
      <c r="RDP1" s="9"/>
      <c r="RDQ1" s="8"/>
      <c r="RDR1" s="9"/>
      <c r="RDS1" s="8"/>
      <c r="RDT1" s="9"/>
      <c r="RDU1" s="8"/>
      <c r="RDV1" s="9"/>
      <c r="RDW1" s="8"/>
      <c r="RDX1" s="9"/>
      <c r="RDY1" s="8"/>
      <c r="RDZ1" s="9"/>
      <c r="REA1" s="8"/>
      <c r="REB1" s="9"/>
      <c r="REC1" s="8"/>
      <c r="RED1" s="9"/>
      <c r="REE1" s="8"/>
      <c r="REF1" s="9"/>
      <c r="REG1" s="8"/>
      <c r="REH1" s="9"/>
      <c r="REI1" s="8"/>
      <c r="REJ1" s="9"/>
      <c r="REK1" s="8"/>
      <c r="REL1" s="9"/>
      <c r="REM1" s="8"/>
      <c r="REN1" s="9"/>
      <c r="REO1" s="8"/>
      <c r="REP1" s="9"/>
      <c r="REQ1" s="8"/>
      <c r="RER1" s="9"/>
      <c r="RES1" s="8"/>
      <c r="RET1" s="9"/>
      <c r="REU1" s="8"/>
      <c r="REV1" s="9"/>
      <c r="REW1" s="8"/>
      <c r="REX1" s="9"/>
      <c r="REY1" s="8"/>
      <c r="REZ1" s="9"/>
      <c r="RFA1" s="8"/>
      <c r="RFB1" s="9"/>
      <c r="RFC1" s="8"/>
      <c r="RFD1" s="9"/>
      <c r="RFE1" s="8"/>
      <c r="RFF1" s="9"/>
      <c r="RFG1" s="8"/>
      <c r="RFH1" s="9"/>
      <c r="RFI1" s="8"/>
      <c r="RFJ1" s="9"/>
      <c r="RFK1" s="8"/>
      <c r="RFL1" s="9"/>
      <c r="RFM1" s="8"/>
      <c r="RFN1" s="9"/>
      <c r="RFO1" s="8"/>
      <c r="RFP1" s="9"/>
      <c r="RFQ1" s="8"/>
      <c r="RFR1" s="9"/>
      <c r="RFS1" s="8"/>
      <c r="RFT1" s="9"/>
      <c r="RFU1" s="8"/>
      <c r="RFV1" s="9"/>
      <c r="RFW1" s="8"/>
      <c r="RFX1" s="9"/>
      <c r="RFY1" s="8"/>
      <c r="RFZ1" s="9"/>
      <c r="RGA1" s="8"/>
      <c r="RGB1" s="9"/>
      <c r="RGC1" s="8"/>
      <c r="RGD1" s="9"/>
      <c r="RGE1" s="8"/>
      <c r="RGF1" s="9"/>
      <c r="RGG1" s="8"/>
      <c r="RGH1" s="9"/>
      <c r="RGI1" s="8"/>
      <c r="RGJ1" s="9"/>
      <c r="RGK1" s="8"/>
      <c r="RGL1" s="9"/>
      <c r="RGM1" s="8"/>
      <c r="RGN1" s="9"/>
      <c r="RGO1" s="8"/>
      <c r="RGP1" s="9"/>
      <c r="RGQ1" s="8"/>
      <c r="RGR1" s="9"/>
      <c r="RGS1" s="8"/>
      <c r="RGT1" s="9"/>
      <c r="RGU1" s="8"/>
      <c r="RGV1" s="9"/>
      <c r="RGW1" s="8"/>
      <c r="RGX1" s="9"/>
      <c r="RGY1" s="8"/>
      <c r="RGZ1" s="9"/>
      <c r="RHA1" s="8"/>
      <c r="RHB1" s="9"/>
      <c r="RHC1" s="8"/>
      <c r="RHD1" s="9"/>
      <c r="RHE1" s="8"/>
      <c r="RHF1" s="9"/>
      <c r="RHG1" s="8"/>
      <c r="RHH1" s="9"/>
      <c r="RHI1" s="8"/>
      <c r="RHJ1" s="9"/>
      <c r="RHK1" s="8"/>
      <c r="RHL1" s="9"/>
      <c r="RHM1" s="8"/>
      <c r="RHN1" s="9"/>
      <c r="RHO1" s="8"/>
      <c r="RHP1" s="9"/>
      <c r="RHQ1" s="8"/>
      <c r="RHR1" s="9"/>
      <c r="RHS1" s="8"/>
      <c r="RHT1" s="9"/>
      <c r="RHU1" s="8"/>
      <c r="RHV1" s="9"/>
      <c r="RHW1" s="8"/>
      <c r="RHX1" s="9"/>
      <c r="RHY1" s="8"/>
      <c r="RHZ1" s="9"/>
      <c r="RIA1" s="8"/>
      <c r="RIB1" s="9"/>
      <c r="RIC1" s="8"/>
      <c r="RID1" s="9"/>
      <c r="RIE1" s="8"/>
      <c r="RIF1" s="9"/>
      <c r="RIG1" s="8"/>
      <c r="RIH1" s="9"/>
      <c r="RII1" s="8"/>
      <c r="RIJ1" s="9"/>
      <c r="RIK1" s="8"/>
      <c r="RIL1" s="9"/>
      <c r="RIM1" s="8"/>
      <c r="RIN1" s="9"/>
      <c r="RIO1" s="8"/>
      <c r="RIP1" s="9"/>
      <c r="RIQ1" s="8"/>
      <c r="RIR1" s="9"/>
      <c r="RIS1" s="8"/>
      <c r="RIT1" s="9"/>
      <c r="RIU1" s="8"/>
      <c r="RIV1" s="9"/>
      <c r="RIW1" s="8"/>
      <c r="RIX1" s="9"/>
      <c r="RIY1" s="8"/>
      <c r="RIZ1" s="9"/>
      <c r="RJA1" s="8"/>
      <c r="RJB1" s="9"/>
      <c r="RJC1" s="8"/>
      <c r="RJD1" s="9"/>
      <c r="RJE1" s="8"/>
      <c r="RJF1" s="9"/>
      <c r="RJG1" s="8"/>
      <c r="RJH1" s="9"/>
      <c r="RJI1" s="8"/>
      <c r="RJJ1" s="9"/>
      <c r="RJK1" s="8"/>
      <c r="RJL1" s="9"/>
      <c r="RJM1" s="8"/>
      <c r="RJN1" s="9"/>
      <c r="RJO1" s="8"/>
      <c r="RJP1" s="9"/>
      <c r="RJQ1" s="8"/>
      <c r="RJR1" s="9"/>
      <c r="RJS1" s="8"/>
      <c r="RJT1" s="9"/>
      <c r="RJU1" s="8"/>
      <c r="RJV1" s="9"/>
      <c r="RJW1" s="8"/>
      <c r="RJX1" s="9"/>
      <c r="RJY1" s="8"/>
      <c r="RJZ1" s="9"/>
      <c r="RKA1" s="8"/>
      <c r="RKB1" s="9"/>
      <c r="RKC1" s="8"/>
      <c r="RKD1" s="9"/>
      <c r="RKE1" s="8"/>
      <c r="RKF1" s="9"/>
      <c r="RKG1" s="8"/>
      <c r="RKH1" s="9"/>
      <c r="RKI1" s="8"/>
      <c r="RKJ1" s="9"/>
      <c r="RKK1" s="8"/>
      <c r="RKL1" s="9"/>
      <c r="RKM1" s="8"/>
      <c r="RKN1" s="9"/>
      <c r="RKO1" s="8"/>
      <c r="RKP1" s="9"/>
      <c r="RKQ1" s="8"/>
      <c r="RKR1" s="9"/>
      <c r="RKS1" s="8"/>
      <c r="RKT1" s="9"/>
      <c r="RKU1" s="8"/>
      <c r="RKV1" s="9"/>
      <c r="RKW1" s="8"/>
      <c r="RKX1" s="9"/>
      <c r="RKY1" s="8"/>
      <c r="RKZ1" s="9"/>
      <c r="RLA1" s="8"/>
      <c r="RLB1" s="9"/>
      <c r="RLC1" s="8"/>
      <c r="RLD1" s="9"/>
      <c r="RLE1" s="8"/>
      <c r="RLF1" s="9"/>
      <c r="RLG1" s="8"/>
      <c r="RLH1" s="9"/>
      <c r="RLI1" s="8"/>
      <c r="RLJ1" s="9"/>
      <c r="RLK1" s="8"/>
      <c r="RLL1" s="9"/>
      <c r="RLM1" s="8"/>
      <c r="RLN1" s="9"/>
      <c r="RLO1" s="8"/>
      <c r="RLP1" s="9"/>
      <c r="RLQ1" s="8"/>
      <c r="RLR1" s="9"/>
      <c r="RLS1" s="8"/>
      <c r="RLT1" s="9"/>
      <c r="RLU1" s="8"/>
      <c r="RLV1" s="9"/>
      <c r="RLW1" s="8"/>
      <c r="RLX1" s="9"/>
      <c r="RLY1" s="8"/>
      <c r="RLZ1" s="9"/>
      <c r="RMA1" s="8"/>
      <c r="RMB1" s="9"/>
      <c r="RMC1" s="8"/>
      <c r="RMD1" s="9"/>
      <c r="RME1" s="8"/>
      <c r="RMF1" s="9"/>
      <c r="RMG1" s="8"/>
      <c r="RMH1" s="9"/>
      <c r="RMI1" s="8"/>
      <c r="RMJ1" s="9"/>
      <c r="RMK1" s="8"/>
      <c r="RML1" s="9"/>
      <c r="RMM1" s="8"/>
      <c r="RMN1" s="9"/>
      <c r="RMO1" s="8"/>
      <c r="RMP1" s="9"/>
      <c r="RMQ1" s="8"/>
      <c r="RMR1" s="9"/>
      <c r="RMS1" s="8"/>
      <c r="RMT1" s="9"/>
      <c r="RMU1" s="8"/>
      <c r="RMV1" s="9"/>
      <c r="RMW1" s="8"/>
      <c r="RMX1" s="9"/>
      <c r="RMY1" s="8"/>
      <c r="RMZ1" s="9"/>
      <c r="RNA1" s="8"/>
      <c r="RNB1" s="9"/>
      <c r="RNC1" s="8"/>
      <c r="RND1" s="9"/>
      <c r="RNE1" s="8"/>
      <c r="RNF1" s="9"/>
      <c r="RNG1" s="8"/>
      <c r="RNH1" s="9"/>
      <c r="RNI1" s="8"/>
      <c r="RNJ1" s="9"/>
      <c r="RNK1" s="8"/>
      <c r="RNL1" s="9"/>
      <c r="RNM1" s="8"/>
      <c r="RNN1" s="9"/>
      <c r="RNO1" s="8"/>
      <c r="RNP1" s="9"/>
      <c r="RNQ1" s="8"/>
      <c r="RNR1" s="9"/>
      <c r="RNS1" s="8"/>
      <c r="RNT1" s="9"/>
      <c r="RNU1" s="8"/>
      <c r="RNV1" s="9"/>
      <c r="RNW1" s="8"/>
      <c r="RNX1" s="9"/>
      <c r="RNY1" s="8"/>
      <c r="RNZ1" s="9"/>
      <c r="ROA1" s="8"/>
      <c r="ROB1" s="9"/>
      <c r="ROC1" s="8"/>
      <c r="ROD1" s="9"/>
      <c r="ROE1" s="8"/>
      <c r="ROF1" s="9"/>
      <c r="ROG1" s="8"/>
      <c r="ROH1" s="9"/>
      <c r="ROI1" s="8"/>
      <c r="ROJ1" s="9"/>
      <c r="ROK1" s="8"/>
      <c r="ROL1" s="9"/>
      <c r="ROM1" s="8"/>
      <c r="RON1" s="9"/>
      <c r="ROO1" s="8"/>
      <c r="ROP1" s="9"/>
      <c r="ROQ1" s="8"/>
      <c r="ROR1" s="9"/>
      <c r="ROS1" s="8"/>
      <c r="ROT1" s="9"/>
      <c r="ROU1" s="8"/>
      <c r="ROV1" s="9"/>
      <c r="ROW1" s="8"/>
      <c r="ROX1" s="9"/>
      <c r="ROY1" s="8"/>
      <c r="ROZ1" s="9"/>
      <c r="RPA1" s="8"/>
      <c r="RPB1" s="9"/>
      <c r="RPC1" s="8"/>
      <c r="RPD1" s="9"/>
      <c r="RPE1" s="8"/>
      <c r="RPF1" s="9"/>
      <c r="RPG1" s="8"/>
      <c r="RPH1" s="9"/>
      <c r="RPI1" s="8"/>
      <c r="RPJ1" s="9"/>
      <c r="RPK1" s="8"/>
      <c r="RPL1" s="9"/>
      <c r="RPM1" s="8"/>
      <c r="RPN1" s="9"/>
      <c r="RPO1" s="8"/>
      <c r="RPP1" s="9"/>
      <c r="RPQ1" s="8"/>
      <c r="RPR1" s="9"/>
      <c r="RPS1" s="8"/>
      <c r="RPT1" s="9"/>
      <c r="RPU1" s="8"/>
      <c r="RPV1" s="9"/>
      <c r="RPW1" s="8"/>
      <c r="RPX1" s="9"/>
      <c r="RPY1" s="8"/>
      <c r="RPZ1" s="9"/>
      <c r="RQA1" s="8"/>
      <c r="RQB1" s="9"/>
      <c r="RQC1" s="8"/>
      <c r="RQD1" s="9"/>
      <c r="RQE1" s="8"/>
      <c r="RQF1" s="9"/>
      <c r="RQG1" s="8"/>
      <c r="RQH1" s="9"/>
      <c r="RQI1" s="8"/>
      <c r="RQJ1" s="9"/>
      <c r="RQK1" s="8"/>
      <c r="RQL1" s="9"/>
      <c r="RQM1" s="8"/>
      <c r="RQN1" s="9"/>
      <c r="RQO1" s="8"/>
      <c r="RQP1" s="9"/>
      <c r="RQQ1" s="8"/>
      <c r="RQR1" s="9"/>
      <c r="RQS1" s="8"/>
      <c r="RQT1" s="9"/>
      <c r="RQU1" s="8"/>
      <c r="RQV1" s="9"/>
      <c r="RQW1" s="8"/>
      <c r="RQX1" s="9"/>
      <c r="RQY1" s="8"/>
      <c r="RQZ1" s="9"/>
      <c r="RRA1" s="8"/>
      <c r="RRB1" s="9"/>
      <c r="RRC1" s="8"/>
      <c r="RRD1" s="9"/>
      <c r="RRE1" s="8"/>
      <c r="RRF1" s="9"/>
      <c r="RRG1" s="8"/>
      <c r="RRH1" s="9"/>
      <c r="RRI1" s="8"/>
      <c r="RRJ1" s="9"/>
      <c r="RRK1" s="8"/>
      <c r="RRL1" s="9"/>
      <c r="RRM1" s="8"/>
      <c r="RRN1" s="9"/>
      <c r="RRO1" s="8"/>
      <c r="RRP1" s="9"/>
      <c r="RRQ1" s="8"/>
      <c r="RRR1" s="9"/>
      <c r="RRS1" s="8"/>
      <c r="RRT1" s="9"/>
      <c r="RRU1" s="8"/>
      <c r="RRV1" s="9"/>
      <c r="RRW1" s="8"/>
      <c r="RRX1" s="9"/>
      <c r="RRY1" s="8"/>
      <c r="RRZ1" s="9"/>
      <c r="RSA1" s="8"/>
      <c r="RSB1" s="9"/>
      <c r="RSC1" s="8"/>
      <c r="RSD1" s="9"/>
      <c r="RSE1" s="8"/>
      <c r="RSF1" s="9"/>
      <c r="RSG1" s="8"/>
      <c r="RSH1" s="9"/>
      <c r="RSI1" s="8"/>
      <c r="RSJ1" s="9"/>
      <c r="RSK1" s="8"/>
      <c r="RSL1" s="9"/>
      <c r="RSM1" s="8"/>
      <c r="RSN1" s="9"/>
      <c r="RSO1" s="8"/>
      <c r="RSP1" s="9"/>
      <c r="RSQ1" s="8"/>
      <c r="RSR1" s="9"/>
      <c r="RSS1" s="8"/>
      <c r="RST1" s="9"/>
      <c r="RSU1" s="8"/>
      <c r="RSV1" s="9"/>
      <c r="RSW1" s="8"/>
      <c r="RSX1" s="9"/>
      <c r="RSY1" s="8"/>
      <c r="RSZ1" s="9"/>
      <c r="RTA1" s="8"/>
      <c r="RTB1" s="9"/>
      <c r="RTC1" s="8"/>
      <c r="RTD1" s="9"/>
      <c r="RTE1" s="8"/>
      <c r="RTF1" s="9"/>
      <c r="RTG1" s="8"/>
      <c r="RTH1" s="9"/>
      <c r="RTI1" s="8"/>
      <c r="RTJ1" s="9"/>
      <c r="RTK1" s="8"/>
      <c r="RTL1" s="9"/>
      <c r="RTM1" s="8"/>
      <c r="RTN1" s="9"/>
      <c r="RTO1" s="8"/>
      <c r="RTP1" s="9"/>
      <c r="RTQ1" s="8"/>
      <c r="RTR1" s="9"/>
      <c r="RTS1" s="8"/>
      <c r="RTT1" s="9"/>
      <c r="RTU1" s="8"/>
      <c r="RTV1" s="9"/>
      <c r="RTW1" s="8"/>
      <c r="RTX1" s="9"/>
      <c r="RTY1" s="8"/>
      <c r="RTZ1" s="9"/>
      <c r="RUA1" s="8"/>
      <c r="RUB1" s="9"/>
      <c r="RUC1" s="8"/>
      <c r="RUD1" s="9"/>
      <c r="RUE1" s="8"/>
      <c r="RUF1" s="9"/>
      <c r="RUG1" s="8"/>
      <c r="RUH1" s="9"/>
      <c r="RUI1" s="8"/>
      <c r="RUJ1" s="9"/>
      <c r="RUK1" s="8"/>
      <c r="RUL1" s="9"/>
      <c r="RUM1" s="8"/>
      <c r="RUN1" s="9"/>
      <c r="RUO1" s="8"/>
      <c r="RUP1" s="9"/>
      <c r="RUQ1" s="8"/>
      <c r="RUR1" s="9"/>
      <c r="RUS1" s="8"/>
      <c r="RUT1" s="9"/>
      <c r="RUU1" s="8"/>
      <c r="RUV1" s="9"/>
      <c r="RUW1" s="8"/>
      <c r="RUX1" s="9"/>
      <c r="RUY1" s="8"/>
      <c r="RUZ1" s="9"/>
      <c r="RVA1" s="8"/>
      <c r="RVB1" s="9"/>
      <c r="RVC1" s="8"/>
      <c r="RVD1" s="9"/>
      <c r="RVE1" s="8"/>
      <c r="RVF1" s="9"/>
      <c r="RVG1" s="8"/>
      <c r="RVH1" s="9"/>
      <c r="RVI1" s="8"/>
      <c r="RVJ1" s="9"/>
      <c r="RVK1" s="8"/>
      <c r="RVL1" s="9"/>
      <c r="RVM1" s="8"/>
      <c r="RVN1" s="9"/>
      <c r="RVO1" s="8"/>
      <c r="RVP1" s="9"/>
      <c r="RVQ1" s="8"/>
      <c r="RVR1" s="9"/>
      <c r="RVS1" s="8"/>
      <c r="RVT1" s="9"/>
      <c r="RVU1" s="8"/>
      <c r="RVV1" s="9"/>
      <c r="RVW1" s="8"/>
      <c r="RVX1" s="9"/>
      <c r="RVY1" s="8"/>
      <c r="RVZ1" s="9"/>
      <c r="RWA1" s="8"/>
      <c r="RWB1" s="9"/>
      <c r="RWC1" s="8"/>
      <c r="RWD1" s="9"/>
      <c r="RWE1" s="8"/>
      <c r="RWF1" s="9"/>
      <c r="RWG1" s="8"/>
      <c r="RWH1" s="9"/>
      <c r="RWI1" s="8"/>
      <c r="RWJ1" s="9"/>
      <c r="RWK1" s="8"/>
      <c r="RWL1" s="9"/>
      <c r="RWM1" s="8"/>
      <c r="RWN1" s="9"/>
      <c r="RWO1" s="8"/>
      <c r="RWP1" s="9"/>
      <c r="RWQ1" s="8"/>
      <c r="RWR1" s="9"/>
      <c r="RWS1" s="8"/>
      <c r="RWT1" s="9"/>
      <c r="RWU1" s="8"/>
      <c r="RWV1" s="9"/>
      <c r="RWW1" s="8"/>
      <c r="RWX1" s="9"/>
      <c r="RWY1" s="8"/>
      <c r="RWZ1" s="9"/>
      <c r="RXA1" s="8"/>
      <c r="RXB1" s="9"/>
      <c r="RXC1" s="8"/>
      <c r="RXD1" s="9"/>
      <c r="RXE1" s="8"/>
      <c r="RXF1" s="9"/>
      <c r="RXG1" s="8"/>
      <c r="RXH1" s="9"/>
      <c r="RXI1" s="8"/>
      <c r="RXJ1" s="9"/>
      <c r="RXK1" s="8"/>
      <c r="RXL1" s="9"/>
      <c r="RXM1" s="8"/>
      <c r="RXN1" s="9"/>
      <c r="RXO1" s="8"/>
      <c r="RXP1" s="9"/>
      <c r="RXQ1" s="8"/>
      <c r="RXR1" s="9"/>
      <c r="RXS1" s="8"/>
      <c r="RXT1" s="9"/>
      <c r="RXU1" s="8"/>
      <c r="RXV1" s="9"/>
      <c r="RXW1" s="8"/>
      <c r="RXX1" s="9"/>
      <c r="RXY1" s="8"/>
      <c r="RXZ1" s="9"/>
      <c r="RYA1" s="8"/>
      <c r="RYB1" s="9"/>
      <c r="RYC1" s="8"/>
      <c r="RYD1" s="9"/>
      <c r="RYE1" s="8"/>
      <c r="RYF1" s="9"/>
      <c r="RYG1" s="8"/>
      <c r="RYH1" s="9"/>
      <c r="RYI1" s="8"/>
      <c r="RYJ1" s="9"/>
      <c r="RYK1" s="8"/>
      <c r="RYL1" s="9"/>
      <c r="RYM1" s="8"/>
      <c r="RYN1" s="9"/>
      <c r="RYO1" s="8"/>
      <c r="RYP1" s="9"/>
      <c r="RYQ1" s="8"/>
      <c r="RYR1" s="9"/>
      <c r="RYS1" s="8"/>
      <c r="RYT1" s="9"/>
      <c r="RYU1" s="8"/>
      <c r="RYV1" s="9"/>
      <c r="RYW1" s="8"/>
      <c r="RYX1" s="9"/>
      <c r="RYY1" s="8"/>
      <c r="RYZ1" s="9"/>
      <c r="RZA1" s="8"/>
      <c r="RZB1" s="9"/>
      <c r="RZC1" s="8"/>
      <c r="RZD1" s="9"/>
      <c r="RZE1" s="8"/>
      <c r="RZF1" s="9"/>
      <c r="RZG1" s="8"/>
      <c r="RZH1" s="9"/>
      <c r="RZI1" s="8"/>
      <c r="RZJ1" s="9"/>
      <c r="RZK1" s="8"/>
      <c r="RZL1" s="9"/>
      <c r="RZM1" s="8"/>
      <c r="RZN1" s="9"/>
      <c r="RZO1" s="8"/>
      <c r="RZP1" s="9"/>
      <c r="RZQ1" s="8"/>
      <c r="RZR1" s="9"/>
      <c r="RZS1" s="8"/>
      <c r="RZT1" s="9"/>
      <c r="RZU1" s="8"/>
      <c r="RZV1" s="9"/>
      <c r="RZW1" s="8"/>
      <c r="RZX1" s="9"/>
      <c r="RZY1" s="8"/>
      <c r="RZZ1" s="9"/>
      <c r="SAA1" s="8"/>
      <c r="SAB1" s="9"/>
      <c r="SAC1" s="8"/>
      <c r="SAD1" s="9"/>
      <c r="SAE1" s="8"/>
      <c r="SAF1" s="9"/>
      <c r="SAG1" s="8"/>
      <c r="SAH1" s="9"/>
      <c r="SAI1" s="8"/>
      <c r="SAJ1" s="9"/>
      <c r="SAK1" s="8"/>
      <c r="SAL1" s="9"/>
      <c r="SAM1" s="8"/>
      <c r="SAN1" s="9"/>
      <c r="SAO1" s="8"/>
      <c r="SAP1" s="9"/>
      <c r="SAQ1" s="8"/>
      <c r="SAR1" s="9"/>
      <c r="SAS1" s="8"/>
      <c r="SAT1" s="9"/>
      <c r="SAU1" s="8"/>
      <c r="SAV1" s="9"/>
      <c r="SAW1" s="8"/>
      <c r="SAX1" s="9"/>
      <c r="SAY1" s="8"/>
      <c r="SAZ1" s="9"/>
      <c r="SBA1" s="8"/>
      <c r="SBB1" s="9"/>
      <c r="SBC1" s="8"/>
      <c r="SBD1" s="9"/>
      <c r="SBE1" s="8"/>
      <c r="SBF1" s="9"/>
      <c r="SBG1" s="8"/>
      <c r="SBH1" s="9"/>
      <c r="SBI1" s="8"/>
      <c r="SBJ1" s="9"/>
      <c r="SBK1" s="8"/>
      <c r="SBL1" s="9"/>
      <c r="SBM1" s="8"/>
      <c r="SBN1" s="9"/>
      <c r="SBO1" s="8"/>
      <c r="SBP1" s="9"/>
      <c r="SBQ1" s="8"/>
      <c r="SBR1" s="9"/>
      <c r="SBS1" s="8"/>
      <c r="SBT1" s="9"/>
      <c r="SBU1" s="8"/>
      <c r="SBV1" s="9"/>
      <c r="SBW1" s="8"/>
      <c r="SBX1" s="9"/>
      <c r="SBY1" s="8"/>
      <c r="SBZ1" s="9"/>
      <c r="SCA1" s="8"/>
      <c r="SCB1" s="9"/>
      <c r="SCC1" s="8"/>
      <c r="SCD1" s="9"/>
      <c r="SCE1" s="8"/>
      <c r="SCF1" s="9"/>
      <c r="SCG1" s="8"/>
      <c r="SCH1" s="9"/>
      <c r="SCI1" s="8"/>
      <c r="SCJ1" s="9"/>
      <c r="SCK1" s="8"/>
      <c r="SCL1" s="9"/>
      <c r="SCM1" s="8"/>
      <c r="SCN1" s="9"/>
      <c r="SCO1" s="8"/>
      <c r="SCP1" s="9"/>
      <c r="SCQ1" s="8"/>
      <c r="SCR1" s="9"/>
      <c r="SCS1" s="8"/>
      <c r="SCT1" s="9"/>
      <c r="SCU1" s="8"/>
      <c r="SCV1" s="9"/>
      <c r="SCW1" s="8"/>
      <c r="SCX1" s="9"/>
      <c r="SCY1" s="8"/>
      <c r="SCZ1" s="9"/>
      <c r="SDA1" s="8"/>
      <c r="SDB1" s="9"/>
      <c r="SDC1" s="8"/>
      <c r="SDD1" s="9"/>
      <c r="SDE1" s="8"/>
      <c r="SDF1" s="9"/>
      <c r="SDG1" s="8"/>
      <c r="SDH1" s="9"/>
      <c r="SDI1" s="8"/>
      <c r="SDJ1" s="9"/>
      <c r="SDK1" s="8"/>
      <c r="SDL1" s="9"/>
      <c r="SDM1" s="8"/>
      <c r="SDN1" s="9"/>
      <c r="SDO1" s="8"/>
      <c r="SDP1" s="9"/>
      <c r="SDQ1" s="8"/>
      <c r="SDR1" s="9"/>
      <c r="SDS1" s="8"/>
      <c r="SDT1" s="9"/>
      <c r="SDU1" s="8"/>
      <c r="SDV1" s="9"/>
      <c r="SDW1" s="8"/>
      <c r="SDX1" s="9"/>
      <c r="SDY1" s="8"/>
      <c r="SDZ1" s="9"/>
      <c r="SEA1" s="8"/>
      <c r="SEB1" s="9"/>
      <c r="SEC1" s="8"/>
      <c r="SED1" s="9"/>
      <c r="SEE1" s="8"/>
      <c r="SEF1" s="9"/>
      <c r="SEG1" s="8"/>
      <c r="SEH1" s="9"/>
      <c r="SEI1" s="8"/>
      <c r="SEJ1" s="9"/>
      <c r="SEK1" s="8"/>
      <c r="SEL1" s="9"/>
      <c r="SEM1" s="8"/>
      <c r="SEN1" s="9"/>
      <c r="SEO1" s="8"/>
      <c r="SEP1" s="9"/>
      <c r="SEQ1" s="8"/>
      <c r="SER1" s="9"/>
      <c r="SES1" s="8"/>
      <c r="SET1" s="9"/>
      <c r="SEU1" s="8"/>
      <c r="SEV1" s="9"/>
      <c r="SEW1" s="8"/>
      <c r="SEX1" s="9"/>
      <c r="SEY1" s="8"/>
      <c r="SEZ1" s="9"/>
      <c r="SFA1" s="8"/>
      <c r="SFB1" s="9"/>
      <c r="SFC1" s="8"/>
      <c r="SFD1" s="9"/>
      <c r="SFE1" s="8"/>
      <c r="SFF1" s="9"/>
      <c r="SFG1" s="8"/>
      <c r="SFH1" s="9"/>
      <c r="SFI1" s="8"/>
      <c r="SFJ1" s="9"/>
      <c r="SFK1" s="8"/>
      <c r="SFL1" s="9"/>
      <c r="SFM1" s="8"/>
      <c r="SFN1" s="9"/>
      <c r="SFO1" s="8"/>
      <c r="SFP1" s="9"/>
      <c r="SFQ1" s="8"/>
      <c r="SFR1" s="9"/>
      <c r="SFS1" s="8"/>
      <c r="SFT1" s="9"/>
      <c r="SFU1" s="8"/>
      <c r="SFV1" s="9"/>
      <c r="SFW1" s="8"/>
      <c r="SFX1" s="9"/>
      <c r="SFY1" s="8"/>
      <c r="SFZ1" s="9"/>
      <c r="SGA1" s="8"/>
      <c r="SGB1" s="9"/>
      <c r="SGC1" s="8"/>
      <c r="SGD1" s="9"/>
      <c r="SGE1" s="8"/>
      <c r="SGF1" s="9"/>
      <c r="SGG1" s="8"/>
      <c r="SGH1" s="9"/>
      <c r="SGI1" s="8"/>
      <c r="SGJ1" s="9"/>
      <c r="SGK1" s="8"/>
      <c r="SGL1" s="9"/>
      <c r="SGM1" s="8"/>
      <c r="SGN1" s="9"/>
      <c r="SGO1" s="8"/>
      <c r="SGP1" s="9"/>
      <c r="SGQ1" s="8"/>
      <c r="SGR1" s="9"/>
      <c r="SGS1" s="8"/>
      <c r="SGT1" s="9"/>
      <c r="SGU1" s="8"/>
      <c r="SGV1" s="9"/>
      <c r="SGW1" s="8"/>
      <c r="SGX1" s="9"/>
      <c r="SGY1" s="8"/>
      <c r="SGZ1" s="9"/>
      <c r="SHA1" s="8"/>
      <c r="SHB1" s="9"/>
      <c r="SHC1" s="8"/>
      <c r="SHD1" s="9"/>
      <c r="SHE1" s="8"/>
      <c r="SHF1" s="9"/>
      <c r="SHG1" s="8"/>
      <c r="SHH1" s="9"/>
      <c r="SHI1" s="8"/>
      <c r="SHJ1" s="9"/>
      <c r="SHK1" s="8"/>
      <c r="SHL1" s="9"/>
      <c r="SHM1" s="8"/>
      <c r="SHN1" s="9"/>
      <c r="SHO1" s="8"/>
      <c r="SHP1" s="9"/>
      <c r="SHQ1" s="8"/>
      <c r="SHR1" s="9"/>
      <c r="SHS1" s="8"/>
      <c r="SHT1" s="9"/>
      <c r="SHU1" s="8"/>
      <c r="SHV1" s="9"/>
      <c r="SHW1" s="8"/>
      <c r="SHX1" s="9"/>
      <c r="SHY1" s="8"/>
      <c r="SHZ1" s="9"/>
      <c r="SIA1" s="8"/>
      <c r="SIB1" s="9"/>
      <c r="SIC1" s="8"/>
      <c r="SID1" s="9"/>
      <c r="SIE1" s="8"/>
      <c r="SIF1" s="9"/>
      <c r="SIG1" s="8"/>
      <c r="SIH1" s="9"/>
      <c r="SII1" s="8"/>
      <c r="SIJ1" s="9"/>
      <c r="SIK1" s="8"/>
      <c r="SIL1" s="9"/>
      <c r="SIM1" s="8"/>
      <c r="SIN1" s="9"/>
      <c r="SIO1" s="8"/>
      <c r="SIP1" s="9"/>
      <c r="SIQ1" s="8"/>
      <c r="SIR1" s="9"/>
      <c r="SIS1" s="8"/>
      <c r="SIT1" s="9"/>
      <c r="SIU1" s="8"/>
      <c r="SIV1" s="9"/>
      <c r="SIW1" s="8"/>
      <c r="SIX1" s="9"/>
      <c r="SIY1" s="8"/>
      <c r="SIZ1" s="9"/>
      <c r="SJA1" s="8"/>
      <c r="SJB1" s="9"/>
      <c r="SJC1" s="8"/>
      <c r="SJD1" s="9"/>
      <c r="SJE1" s="8"/>
      <c r="SJF1" s="9"/>
      <c r="SJG1" s="8"/>
      <c r="SJH1" s="9"/>
      <c r="SJI1" s="8"/>
      <c r="SJJ1" s="9"/>
      <c r="SJK1" s="8"/>
      <c r="SJL1" s="9"/>
      <c r="SJM1" s="8"/>
      <c r="SJN1" s="9"/>
      <c r="SJO1" s="8"/>
      <c r="SJP1" s="9"/>
      <c r="SJQ1" s="8"/>
      <c r="SJR1" s="9"/>
      <c r="SJS1" s="8"/>
      <c r="SJT1" s="9"/>
      <c r="SJU1" s="8"/>
      <c r="SJV1" s="9"/>
      <c r="SJW1" s="8"/>
      <c r="SJX1" s="9"/>
      <c r="SJY1" s="8"/>
      <c r="SJZ1" s="9"/>
      <c r="SKA1" s="8"/>
      <c r="SKB1" s="9"/>
      <c r="SKC1" s="8"/>
      <c r="SKD1" s="9"/>
      <c r="SKE1" s="8"/>
      <c r="SKF1" s="9"/>
      <c r="SKG1" s="8"/>
      <c r="SKH1" s="9"/>
      <c r="SKI1" s="8"/>
      <c r="SKJ1" s="9"/>
      <c r="SKK1" s="8"/>
      <c r="SKL1" s="9"/>
      <c r="SKM1" s="8"/>
      <c r="SKN1" s="9"/>
      <c r="SKO1" s="8"/>
      <c r="SKP1" s="9"/>
      <c r="SKQ1" s="8"/>
      <c r="SKR1" s="9"/>
      <c r="SKS1" s="8"/>
      <c r="SKT1" s="9"/>
      <c r="SKU1" s="8"/>
      <c r="SKV1" s="9"/>
      <c r="SKW1" s="8"/>
      <c r="SKX1" s="9"/>
      <c r="SKY1" s="8"/>
      <c r="SKZ1" s="9"/>
      <c r="SLA1" s="8"/>
      <c r="SLB1" s="9"/>
      <c r="SLC1" s="8"/>
      <c r="SLD1" s="9"/>
      <c r="SLE1" s="8"/>
      <c r="SLF1" s="9"/>
      <c r="SLG1" s="8"/>
      <c r="SLH1" s="9"/>
      <c r="SLI1" s="8"/>
      <c r="SLJ1" s="9"/>
      <c r="SLK1" s="8"/>
      <c r="SLL1" s="9"/>
      <c r="SLM1" s="8"/>
      <c r="SLN1" s="9"/>
      <c r="SLO1" s="8"/>
      <c r="SLP1" s="9"/>
      <c r="SLQ1" s="8"/>
      <c r="SLR1" s="9"/>
      <c r="SLS1" s="8"/>
      <c r="SLT1" s="9"/>
      <c r="SLU1" s="8"/>
      <c r="SLV1" s="9"/>
      <c r="SLW1" s="8"/>
      <c r="SLX1" s="9"/>
      <c r="SLY1" s="8"/>
      <c r="SLZ1" s="9"/>
      <c r="SMA1" s="8"/>
      <c r="SMB1" s="9"/>
      <c r="SMC1" s="8"/>
      <c r="SMD1" s="9"/>
      <c r="SME1" s="8"/>
      <c r="SMF1" s="9"/>
      <c r="SMG1" s="8"/>
      <c r="SMH1" s="9"/>
      <c r="SMI1" s="8"/>
      <c r="SMJ1" s="9"/>
      <c r="SMK1" s="8"/>
      <c r="SML1" s="9"/>
      <c r="SMM1" s="8"/>
      <c r="SMN1" s="9"/>
      <c r="SMO1" s="8"/>
      <c r="SMP1" s="9"/>
      <c r="SMQ1" s="8"/>
      <c r="SMR1" s="9"/>
      <c r="SMS1" s="8"/>
      <c r="SMT1" s="9"/>
      <c r="SMU1" s="8"/>
      <c r="SMV1" s="9"/>
      <c r="SMW1" s="8"/>
      <c r="SMX1" s="9"/>
      <c r="SMY1" s="8"/>
      <c r="SMZ1" s="9"/>
      <c r="SNA1" s="8"/>
      <c r="SNB1" s="9"/>
      <c r="SNC1" s="8"/>
      <c r="SND1" s="9"/>
      <c r="SNE1" s="8"/>
      <c r="SNF1" s="9"/>
      <c r="SNG1" s="8"/>
      <c r="SNH1" s="9"/>
      <c r="SNI1" s="8"/>
      <c r="SNJ1" s="9"/>
      <c r="SNK1" s="8"/>
      <c r="SNL1" s="9"/>
      <c r="SNM1" s="8"/>
      <c r="SNN1" s="9"/>
      <c r="SNO1" s="8"/>
      <c r="SNP1" s="9"/>
      <c r="SNQ1" s="8"/>
      <c r="SNR1" s="9"/>
      <c r="SNS1" s="8"/>
      <c r="SNT1" s="9"/>
      <c r="SNU1" s="8"/>
      <c r="SNV1" s="9"/>
      <c r="SNW1" s="8"/>
      <c r="SNX1" s="9"/>
      <c r="SNY1" s="8"/>
      <c r="SNZ1" s="9"/>
      <c r="SOA1" s="8"/>
      <c r="SOB1" s="9"/>
      <c r="SOC1" s="8"/>
      <c r="SOD1" s="9"/>
      <c r="SOE1" s="8"/>
      <c r="SOF1" s="9"/>
      <c r="SOG1" s="8"/>
      <c r="SOH1" s="9"/>
      <c r="SOI1" s="8"/>
      <c r="SOJ1" s="9"/>
      <c r="SOK1" s="8"/>
      <c r="SOL1" s="9"/>
      <c r="SOM1" s="8"/>
      <c r="SON1" s="9"/>
      <c r="SOO1" s="8"/>
      <c r="SOP1" s="9"/>
      <c r="SOQ1" s="8"/>
      <c r="SOR1" s="9"/>
      <c r="SOS1" s="8"/>
      <c r="SOT1" s="9"/>
      <c r="SOU1" s="8"/>
      <c r="SOV1" s="9"/>
      <c r="SOW1" s="8"/>
      <c r="SOX1" s="9"/>
      <c r="SOY1" s="8"/>
      <c r="SOZ1" s="9"/>
      <c r="SPA1" s="8"/>
      <c r="SPB1" s="9"/>
      <c r="SPC1" s="8"/>
      <c r="SPD1" s="9"/>
      <c r="SPE1" s="8"/>
      <c r="SPF1" s="9"/>
      <c r="SPG1" s="8"/>
      <c r="SPH1" s="9"/>
      <c r="SPI1" s="8"/>
      <c r="SPJ1" s="9"/>
      <c r="SPK1" s="8"/>
      <c r="SPL1" s="9"/>
      <c r="SPM1" s="8"/>
      <c r="SPN1" s="9"/>
      <c r="SPO1" s="8"/>
      <c r="SPP1" s="9"/>
      <c r="SPQ1" s="8"/>
      <c r="SPR1" s="9"/>
      <c r="SPS1" s="8"/>
      <c r="SPT1" s="9"/>
      <c r="SPU1" s="8"/>
      <c r="SPV1" s="9"/>
      <c r="SPW1" s="8"/>
      <c r="SPX1" s="9"/>
      <c r="SPY1" s="8"/>
      <c r="SPZ1" s="9"/>
      <c r="SQA1" s="8"/>
      <c r="SQB1" s="9"/>
      <c r="SQC1" s="8"/>
      <c r="SQD1" s="9"/>
      <c r="SQE1" s="8"/>
      <c r="SQF1" s="9"/>
      <c r="SQG1" s="8"/>
      <c r="SQH1" s="9"/>
      <c r="SQI1" s="8"/>
      <c r="SQJ1" s="9"/>
      <c r="SQK1" s="8"/>
      <c r="SQL1" s="9"/>
      <c r="SQM1" s="8"/>
      <c r="SQN1" s="9"/>
      <c r="SQO1" s="8"/>
      <c r="SQP1" s="9"/>
      <c r="SQQ1" s="8"/>
      <c r="SQR1" s="9"/>
      <c r="SQS1" s="8"/>
      <c r="SQT1" s="9"/>
      <c r="SQU1" s="8"/>
      <c r="SQV1" s="9"/>
      <c r="SQW1" s="8"/>
      <c r="SQX1" s="9"/>
      <c r="SQY1" s="8"/>
      <c r="SQZ1" s="9"/>
      <c r="SRA1" s="8"/>
      <c r="SRB1" s="9"/>
      <c r="SRC1" s="8"/>
      <c r="SRD1" s="9"/>
      <c r="SRE1" s="8"/>
      <c r="SRF1" s="9"/>
      <c r="SRG1" s="8"/>
      <c r="SRH1" s="9"/>
      <c r="SRI1" s="8"/>
      <c r="SRJ1" s="9"/>
      <c r="SRK1" s="8"/>
      <c r="SRL1" s="9"/>
      <c r="SRM1" s="8"/>
      <c r="SRN1" s="9"/>
      <c r="SRO1" s="8"/>
      <c r="SRP1" s="9"/>
      <c r="SRQ1" s="8"/>
      <c r="SRR1" s="9"/>
      <c r="SRS1" s="8"/>
      <c r="SRT1" s="9"/>
      <c r="SRU1" s="8"/>
      <c r="SRV1" s="9"/>
      <c r="SRW1" s="8"/>
      <c r="SRX1" s="9"/>
      <c r="SRY1" s="8"/>
      <c r="SRZ1" s="9"/>
      <c r="SSA1" s="8"/>
      <c r="SSB1" s="9"/>
      <c r="SSC1" s="8"/>
      <c r="SSD1" s="9"/>
      <c r="SSE1" s="8"/>
      <c r="SSF1" s="9"/>
      <c r="SSG1" s="8"/>
      <c r="SSH1" s="9"/>
      <c r="SSI1" s="8"/>
      <c r="SSJ1" s="9"/>
      <c r="SSK1" s="8"/>
      <c r="SSL1" s="9"/>
      <c r="SSM1" s="8"/>
      <c r="SSN1" s="9"/>
      <c r="SSO1" s="8"/>
      <c r="SSP1" s="9"/>
      <c r="SSQ1" s="8"/>
      <c r="SSR1" s="9"/>
      <c r="SSS1" s="8"/>
      <c r="SST1" s="9"/>
      <c r="SSU1" s="8"/>
      <c r="SSV1" s="9"/>
      <c r="SSW1" s="8"/>
      <c r="SSX1" s="9"/>
      <c r="SSY1" s="8"/>
      <c r="SSZ1" s="9"/>
      <c r="STA1" s="8"/>
      <c r="STB1" s="9"/>
      <c r="STC1" s="8"/>
      <c r="STD1" s="9"/>
      <c r="STE1" s="8"/>
      <c r="STF1" s="9"/>
      <c r="STG1" s="8"/>
      <c r="STH1" s="9"/>
      <c r="STI1" s="8"/>
      <c r="STJ1" s="9"/>
      <c r="STK1" s="8"/>
      <c r="STL1" s="9"/>
      <c r="STM1" s="8"/>
      <c r="STN1" s="9"/>
      <c r="STO1" s="8"/>
      <c r="STP1" s="9"/>
      <c r="STQ1" s="8"/>
      <c r="STR1" s="9"/>
      <c r="STS1" s="8"/>
      <c r="STT1" s="9"/>
      <c r="STU1" s="8"/>
      <c r="STV1" s="9"/>
      <c r="STW1" s="8"/>
      <c r="STX1" s="9"/>
      <c r="STY1" s="8"/>
      <c r="STZ1" s="9"/>
      <c r="SUA1" s="8"/>
      <c r="SUB1" s="9"/>
      <c r="SUC1" s="8"/>
      <c r="SUD1" s="9"/>
      <c r="SUE1" s="8"/>
      <c r="SUF1" s="9"/>
      <c r="SUG1" s="8"/>
      <c r="SUH1" s="9"/>
      <c r="SUI1" s="8"/>
      <c r="SUJ1" s="9"/>
      <c r="SUK1" s="8"/>
      <c r="SUL1" s="9"/>
      <c r="SUM1" s="8"/>
      <c r="SUN1" s="9"/>
      <c r="SUO1" s="8"/>
      <c r="SUP1" s="9"/>
      <c r="SUQ1" s="8"/>
      <c r="SUR1" s="9"/>
      <c r="SUS1" s="8"/>
      <c r="SUT1" s="9"/>
      <c r="SUU1" s="8"/>
      <c r="SUV1" s="9"/>
      <c r="SUW1" s="8"/>
      <c r="SUX1" s="9"/>
      <c r="SUY1" s="8"/>
      <c r="SUZ1" s="9"/>
      <c r="SVA1" s="8"/>
      <c r="SVB1" s="9"/>
      <c r="SVC1" s="8"/>
      <c r="SVD1" s="9"/>
      <c r="SVE1" s="8"/>
      <c r="SVF1" s="9"/>
      <c r="SVG1" s="8"/>
      <c r="SVH1" s="9"/>
      <c r="SVI1" s="8"/>
      <c r="SVJ1" s="9"/>
      <c r="SVK1" s="8"/>
      <c r="SVL1" s="9"/>
      <c r="SVM1" s="8"/>
      <c r="SVN1" s="9"/>
      <c r="SVO1" s="8"/>
      <c r="SVP1" s="9"/>
      <c r="SVQ1" s="8"/>
      <c r="SVR1" s="9"/>
      <c r="SVS1" s="8"/>
      <c r="SVT1" s="9"/>
      <c r="SVU1" s="8"/>
      <c r="SVV1" s="9"/>
      <c r="SVW1" s="8"/>
      <c r="SVX1" s="9"/>
      <c r="SVY1" s="8"/>
      <c r="SVZ1" s="9"/>
      <c r="SWA1" s="8"/>
      <c r="SWB1" s="9"/>
      <c r="SWC1" s="8"/>
      <c r="SWD1" s="9"/>
      <c r="SWE1" s="8"/>
      <c r="SWF1" s="9"/>
      <c r="SWG1" s="8"/>
      <c r="SWH1" s="9"/>
      <c r="SWI1" s="8"/>
      <c r="SWJ1" s="9"/>
      <c r="SWK1" s="8"/>
      <c r="SWL1" s="9"/>
      <c r="SWM1" s="8"/>
      <c r="SWN1" s="9"/>
      <c r="SWO1" s="8"/>
      <c r="SWP1" s="9"/>
      <c r="SWQ1" s="8"/>
      <c r="SWR1" s="9"/>
      <c r="SWS1" s="8"/>
      <c r="SWT1" s="9"/>
      <c r="SWU1" s="8"/>
      <c r="SWV1" s="9"/>
      <c r="SWW1" s="8"/>
      <c r="SWX1" s="9"/>
      <c r="SWY1" s="8"/>
      <c r="SWZ1" s="9"/>
      <c r="SXA1" s="8"/>
      <c r="SXB1" s="9"/>
      <c r="SXC1" s="8"/>
      <c r="SXD1" s="9"/>
      <c r="SXE1" s="8"/>
      <c r="SXF1" s="9"/>
      <c r="SXG1" s="8"/>
      <c r="SXH1" s="9"/>
      <c r="SXI1" s="8"/>
      <c r="SXJ1" s="9"/>
      <c r="SXK1" s="8"/>
      <c r="SXL1" s="9"/>
      <c r="SXM1" s="8"/>
      <c r="SXN1" s="9"/>
      <c r="SXO1" s="8"/>
      <c r="SXP1" s="9"/>
      <c r="SXQ1" s="8"/>
      <c r="SXR1" s="9"/>
      <c r="SXS1" s="8"/>
      <c r="SXT1" s="9"/>
      <c r="SXU1" s="8"/>
      <c r="SXV1" s="9"/>
      <c r="SXW1" s="8"/>
      <c r="SXX1" s="9"/>
      <c r="SXY1" s="8"/>
      <c r="SXZ1" s="9"/>
      <c r="SYA1" s="8"/>
      <c r="SYB1" s="9"/>
      <c r="SYC1" s="8"/>
      <c r="SYD1" s="9"/>
      <c r="SYE1" s="8"/>
      <c r="SYF1" s="9"/>
      <c r="SYG1" s="8"/>
      <c r="SYH1" s="9"/>
      <c r="SYI1" s="8"/>
      <c r="SYJ1" s="9"/>
      <c r="SYK1" s="8"/>
      <c r="SYL1" s="9"/>
      <c r="SYM1" s="8"/>
      <c r="SYN1" s="9"/>
      <c r="SYO1" s="8"/>
      <c r="SYP1" s="9"/>
      <c r="SYQ1" s="8"/>
      <c r="SYR1" s="9"/>
      <c r="SYS1" s="8"/>
      <c r="SYT1" s="9"/>
      <c r="SYU1" s="8"/>
      <c r="SYV1" s="9"/>
      <c r="SYW1" s="8"/>
      <c r="SYX1" s="9"/>
      <c r="SYY1" s="8"/>
      <c r="SYZ1" s="9"/>
      <c r="SZA1" s="8"/>
      <c r="SZB1" s="9"/>
      <c r="SZC1" s="8"/>
      <c r="SZD1" s="9"/>
      <c r="SZE1" s="8"/>
      <c r="SZF1" s="9"/>
      <c r="SZG1" s="8"/>
      <c r="SZH1" s="9"/>
      <c r="SZI1" s="8"/>
      <c r="SZJ1" s="9"/>
      <c r="SZK1" s="8"/>
      <c r="SZL1" s="9"/>
      <c r="SZM1" s="8"/>
      <c r="SZN1" s="9"/>
      <c r="SZO1" s="8"/>
      <c r="SZP1" s="9"/>
      <c r="SZQ1" s="8"/>
      <c r="SZR1" s="9"/>
      <c r="SZS1" s="8"/>
      <c r="SZT1" s="9"/>
      <c r="SZU1" s="8"/>
      <c r="SZV1" s="9"/>
      <c r="SZW1" s="8"/>
      <c r="SZX1" s="9"/>
      <c r="SZY1" s="8"/>
      <c r="SZZ1" s="9"/>
      <c r="TAA1" s="8"/>
      <c r="TAB1" s="9"/>
      <c r="TAC1" s="8"/>
      <c r="TAD1" s="9"/>
      <c r="TAE1" s="8"/>
      <c r="TAF1" s="9"/>
      <c r="TAG1" s="8"/>
      <c r="TAH1" s="9"/>
      <c r="TAI1" s="8"/>
      <c r="TAJ1" s="9"/>
      <c r="TAK1" s="8"/>
      <c r="TAL1" s="9"/>
      <c r="TAM1" s="8"/>
      <c r="TAN1" s="9"/>
      <c r="TAO1" s="8"/>
      <c r="TAP1" s="9"/>
      <c r="TAQ1" s="8"/>
      <c r="TAR1" s="9"/>
      <c r="TAS1" s="8"/>
      <c r="TAT1" s="9"/>
      <c r="TAU1" s="8"/>
      <c r="TAV1" s="9"/>
      <c r="TAW1" s="8"/>
      <c r="TAX1" s="9"/>
      <c r="TAY1" s="8"/>
      <c r="TAZ1" s="9"/>
      <c r="TBA1" s="8"/>
      <c r="TBB1" s="9"/>
      <c r="TBC1" s="8"/>
      <c r="TBD1" s="9"/>
      <c r="TBE1" s="8"/>
      <c r="TBF1" s="9"/>
      <c r="TBG1" s="8"/>
      <c r="TBH1" s="9"/>
      <c r="TBI1" s="8"/>
      <c r="TBJ1" s="9"/>
      <c r="TBK1" s="8"/>
      <c r="TBL1" s="9"/>
      <c r="TBM1" s="8"/>
      <c r="TBN1" s="9"/>
      <c r="TBO1" s="8"/>
      <c r="TBP1" s="9"/>
      <c r="TBQ1" s="8"/>
      <c r="TBR1" s="9"/>
      <c r="TBS1" s="8"/>
      <c r="TBT1" s="9"/>
      <c r="TBU1" s="8"/>
      <c r="TBV1" s="9"/>
      <c r="TBW1" s="8"/>
      <c r="TBX1" s="9"/>
      <c r="TBY1" s="8"/>
      <c r="TBZ1" s="9"/>
      <c r="TCA1" s="8"/>
      <c r="TCB1" s="9"/>
      <c r="TCC1" s="8"/>
      <c r="TCD1" s="9"/>
      <c r="TCE1" s="8"/>
      <c r="TCF1" s="9"/>
      <c r="TCG1" s="8"/>
      <c r="TCH1" s="9"/>
      <c r="TCI1" s="8"/>
      <c r="TCJ1" s="9"/>
      <c r="TCK1" s="8"/>
      <c r="TCL1" s="9"/>
      <c r="TCM1" s="8"/>
      <c r="TCN1" s="9"/>
      <c r="TCO1" s="8"/>
      <c r="TCP1" s="9"/>
      <c r="TCQ1" s="8"/>
      <c r="TCR1" s="9"/>
      <c r="TCS1" s="8"/>
      <c r="TCT1" s="9"/>
      <c r="TCU1" s="8"/>
      <c r="TCV1" s="9"/>
      <c r="TCW1" s="8"/>
      <c r="TCX1" s="9"/>
      <c r="TCY1" s="8"/>
      <c r="TCZ1" s="9"/>
      <c r="TDA1" s="8"/>
      <c r="TDB1" s="9"/>
      <c r="TDC1" s="8"/>
      <c r="TDD1" s="9"/>
      <c r="TDE1" s="8"/>
      <c r="TDF1" s="9"/>
      <c r="TDG1" s="8"/>
      <c r="TDH1" s="9"/>
      <c r="TDI1" s="8"/>
      <c r="TDJ1" s="9"/>
      <c r="TDK1" s="8"/>
      <c r="TDL1" s="9"/>
      <c r="TDM1" s="8"/>
      <c r="TDN1" s="9"/>
      <c r="TDO1" s="8"/>
      <c r="TDP1" s="9"/>
      <c r="TDQ1" s="8"/>
      <c r="TDR1" s="9"/>
      <c r="TDS1" s="8"/>
      <c r="TDT1" s="9"/>
      <c r="TDU1" s="8"/>
      <c r="TDV1" s="9"/>
      <c r="TDW1" s="8"/>
      <c r="TDX1" s="9"/>
      <c r="TDY1" s="8"/>
      <c r="TDZ1" s="9"/>
      <c r="TEA1" s="8"/>
      <c r="TEB1" s="9"/>
      <c r="TEC1" s="8"/>
      <c r="TED1" s="9"/>
      <c r="TEE1" s="8"/>
      <c r="TEF1" s="9"/>
      <c r="TEG1" s="8"/>
      <c r="TEH1" s="9"/>
      <c r="TEI1" s="8"/>
      <c r="TEJ1" s="9"/>
      <c r="TEK1" s="8"/>
      <c r="TEL1" s="9"/>
      <c r="TEM1" s="8"/>
      <c r="TEN1" s="9"/>
      <c r="TEO1" s="8"/>
      <c r="TEP1" s="9"/>
      <c r="TEQ1" s="8"/>
      <c r="TER1" s="9"/>
      <c r="TES1" s="8"/>
      <c r="TET1" s="9"/>
      <c r="TEU1" s="8"/>
      <c r="TEV1" s="9"/>
      <c r="TEW1" s="8"/>
      <c r="TEX1" s="9"/>
      <c r="TEY1" s="8"/>
      <c r="TEZ1" s="9"/>
      <c r="TFA1" s="8"/>
      <c r="TFB1" s="9"/>
      <c r="TFC1" s="8"/>
      <c r="TFD1" s="9"/>
      <c r="TFE1" s="8"/>
      <c r="TFF1" s="9"/>
      <c r="TFG1" s="8"/>
      <c r="TFH1" s="9"/>
      <c r="TFI1" s="8"/>
      <c r="TFJ1" s="9"/>
      <c r="TFK1" s="8"/>
      <c r="TFL1" s="9"/>
      <c r="TFM1" s="8"/>
      <c r="TFN1" s="9"/>
      <c r="TFO1" s="8"/>
      <c r="TFP1" s="9"/>
      <c r="TFQ1" s="8"/>
      <c r="TFR1" s="9"/>
      <c r="TFS1" s="8"/>
      <c r="TFT1" s="9"/>
      <c r="TFU1" s="8"/>
      <c r="TFV1" s="9"/>
      <c r="TFW1" s="8"/>
      <c r="TFX1" s="9"/>
      <c r="TFY1" s="8"/>
      <c r="TFZ1" s="9"/>
      <c r="TGA1" s="8"/>
      <c r="TGB1" s="9"/>
      <c r="TGC1" s="8"/>
      <c r="TGD1" s="9"/>
      <c r="TGE1" s="8"/>
      <c r="TGF1" s="9"/>
      <c r="TGG1" s="8"/>
      <c r="TGH1" s="9"/>
      <c r="TGI1" s="8"/>
      <c r="TGJ1" s="9"/>
      <c r="TGK1" s="8"/>
      <c r="TGL1" s="9"/>
      <c r="TGM1" s="8"/>
      <c r="TGN1" s="9"/>
      <c r="TGO1" s="8"/>
      <c r="TGP1" s="9"/>
      <c r="TGQ1" s="8"/>
      <c r="TGR1" s="9"/>
      <c r="TGS1" s="8"/>
      <c r="TGT1" s="9"/>
      <c r="TGU1" s="8"/>
      <c r="TGV1" s="9"/>
      <c r="TGW1" s="8"/>
      <c r="TGX1" s="9"/>
      <c r="TGY1" s="8"/>
      <c r="TGZ1" s="9"/>
      <c r="THA1" s="8"/>
      <c r="THB1" s="9"/>
      <c r="THC1" s="8"/>
      <c r="THD1" s="9"/>
      <c r="THE1" s="8"/>
      <c r="THF1" s="9"/>
      <c r="THG1" s="8"/>
      <c r="THH1" s="9"/>
      <c r="THI1" s="8"/>
      <c r="THJ1" s="9"/>
      <c r="THK1" s="8"/>
      <c r="THL1" s="9"/>
      <c r="THM1" s="8"/>
      <c r="THN1" s="9"/>
      <c r="THO1" s="8"/>
      <c r="THP1" s="9"/>
      <c r="THQ1" s="8"/>
      <c r="THR1" s="9"/>
      <c r="THS1" s="8"/>
      <c r="THT1" s="9"/>
      <c r="THU1" s="8"/>
      <c r="THV1" s="9"/>
      <c r="THW1" s="8"/>
      <c r="THX1" s="9"/>
      <c r="THY1" s="8"/>
      <c r="THZ1" s="9"/>
      <c r="TIA1" s="8"/>
      <c r="TIB1" s="9"/>
      <c r="TIC1" s="8"/>
      <c r="TID1" s="9"/>
      <c r="TIE1" s="8"/>
      <c r="TIF1" s="9"/>
      <c r="TIG1" s="8"/>
      <c r="TIH1" s="9"/>
      <c r="TII1" s="8"/>
      <c r="TIJ1" s="9"/>
      <c r="TIK1" s="8"/>
      <c r="TIL1" s="9"/>
      <c r="TIM1" s="8"/>
      <c r="TIN1" s="9"/>
      <c r="TIO1" s="8"/>
      <c r="TIP1" s="9"/>
      <c r="TIQ1" s="8"/>
      <c r="TIR1" s="9"/>
      <c r="TIS1" s="8"/>
      <c r="TIT1" s="9"/>
      <c r="TIU1" s="8"/>
      <c r="TIV1" s="9"/>
      <c r="TIW1" s="8"/>
      <c r="TIX1" s="9"/>
      <c r="TIY1" s="8"/>
      <c r="TIZ1" s="9"/>
      <c r="TJA1" s="8"/>
      <c r="TJB1" s="9"/>
      <c r="TJC1" s="8"/>
      <c r="TJD1" s="9"/>
      <c r="TJE1" s="8"/>
      <c r="TJF1" s="9"/>
      <c r="TJG1" s="8"/>
      <c r="TJH1" s="9"/>
      <c r="TJI1" s="8"/>
      <c r="TJJ1" s="9"/>
      <c r="TJK1" s="8"/>
      <c r="TJL1" s="9"/>
      <c r="TJM1" s="8"/>
      <c r="TJN1" s="9"/>
      <c r="TJO1" s="8"/>
      <c r="TJP1" s="9"/>
      <c r="TJQ1" s="8"/>
      <c r="TJR1" s="9"/>
      <c r="TJS1" s="8"/>
      <c r="TJT1" s="9"/>
      <c r="TJU1" s="8"/>
      <c r="TJV1" s="9"/>
      <c r="TJW1" s="8"/>
      <c r="TJX1" s="9"/>
      <c r="TJY1" s="8"/>
      <c r="TJZ1" s="9"/>
      <c r="TKA1" s="8"/>
      <c r="TKB1" s="9"/>
      <c r="TKC1" s="8"/>
      <c r="TKD1" s="9"/>
      <c r="TKE1" s="8"/>
      <c r="TKF1" s="9"/>
      <c r="TKG1" s="8"/>
      <c r="TKH1" s="9"/>
      <c r="TKI1" s="8"/>
      <c r="TKJ1" s="9"/>
      <c r="TKK1" s="8"/>
      <c r="TKL1" s="9"/>
      <c r="TKM1" s="8"/>
      <c r="TKN1" s="9"/>
      <c r="TKO1" s="8"/>
      <c r="TKP1" s="9"/>
      <c r="TKQ1" s="8"/>
      <c r="TKR1" s="9"/>
      <c r="TKS1" s="8"/>
      <c r="TKT1" s="9"/>
      <c r="TKU1" s="8"/>
      <c r="TKV1" s="9"/>
      <c r="TKW1" s="8"/>
      <c r="TKX1" s="9"/>
      <c r="TKY1" s="8"/>
      <c r="TKZ1" s="9"/>
      <c r="TLA1" s="8"/>
      <c r="TLB1" s="9"/>
      <c r="TLC1" s="8"/>
      <c r="TLD1" s="9"/>
      <c r="TLE1" s="8"/>
      <c r="TLF1" s="9"/>
      <c r="TLG1" s="8"/>
      <c r="TLH1" s="9"/>
      <c r="TLI1" s="8"/>
      <c r="TLJ1" s="9"/>
      <c r="TLK1" s="8"/>
      <c r="TLL1" s="9"/>
      <c r="TLM1" s="8"/>
      <c r="TLN1" s="9"/>
      <c r="TLO1" s="8"/>
      <c r="TLP1" s="9"/>
      <c r="TLQ1" s="8"/>
      <c r="TLR1" s="9"/>
      <c r="TLS1" s="8"/>
      <c r="TLT1" s="9"/>
      <c r="TLU1" s="8"/>
      <c r="TLV1" s="9"/>
      <c r="TLW1" s="8"/>
      <c r="TLX1" s="9"/>
      <c r="TLY1" s="8"/>
      <c r="TLZ1" s="9"/>
      <c r="TMA1" s="8"/>
      <c r="TMB1" s="9"/>
      <c r="TMC1" s="8"/>
      <c r="TMD1" s="9"/>
      <c r="TME1" s="8"/>
      <c r="TMF1" s="9"/>
      <c r="TMG1" s="8"/>
      <c r="TMH1" s="9"/>
      <c r="TMI1" s="8"/>
      <c r="TMJ1" s="9"/>
      <c r="TMK1" s="8"/>
      <c r="TML1" s="9"/>
      <c r="TMM1" s="8"/>
      <c r="TMN1" s="9"/>
      <c r="TMO1" s="8"/>
      <c r="TMP1" s="9"/>
      <c r="TMQ1" s="8"/>
      <c r="TMR1" s="9"/>
      <c r="TMS1" s="8"/>
      <c r="TMT1" s="9"/>
      <c r="TMU1" s="8"/>
      <c r="TMV1" s="9"/>
      <c r="TMW1" s="8"/>
      <c r="TMX1" s="9"/>
      <c r="TMY1" s="8"/>
      <c r="TMZ1" s="9"/>
      <c r="TNA1" s="8"/>
      <c r="TNB1" s="9"/>
      <c r="TNC1" s="8"/>
      <c r="TND1" s="9"/>
      <c r="TNE1" s="8"/>
      <c r="TNF1" s="9"/>
      <c r="TNG1" s="8"/>
      <c r="TNH1" s="9"/>
      <c r="TNI1" s="8"/>
      <c r="TNJ1" s="9"/>
      <c r="TNK1" s="8"/>
      <c r="TNL1" s="9"/>
      <c r="TNM1" s="8"/>
      <c r="TNN1" s="9"/>
      <c r="TNO1" s="8"/>
      <c r="TNP1" s="9"/>
      <c r="TNQ1" s="8"/>
      <c r="TNR1" s="9"/>
      <c r="TNS1" s="8"/>
      <c r="TNT1" s="9"/>
      <c r="TNU1" s="8"/>
      <c r="TNV1" s="9"/>
      <c r="TNW1" s="8"/>
      <c r="TNX1" s="9"/>
      <c r="TNY1" s="8"/>
      <c r="TNZ1" s="9"/>
      <c r="TOA1" s="8"/>
      <c r="TOB1" s="9"/>
      <c r="TOC1" s="8"/>
      <c r="TOD1" s="9"/>
      <c r="TOE1" s="8"/>
      <c r="TOF1" s="9"/>
      <c r="TOG1" s="8"/>
      <c r="TOH1" s="9"/>
      <c r="TOI1" s="8"/>
      <c r="TOJ1" s="9"/>
      <c r="TOK1" s="8"/>
      <c r="TOL1" s="9"/>
      <c r="TOM1" s="8"/>
      <c r="TON1" s="9"/>
      <c r="TOO1" s="8"/>
      <c r="TOP1" s="9"/>
      <c r="TOQ1" s="8"/>
      <c r="TOR1" s="9"/>
      <c r="TOS1" s="8"/>
      <c r="TOT1" s="9"/>
      <c r="TOU1" s="8"/>
      <c r="TOV1" s="9"/>
      <c r="TOW1" s="8"/>
      <c r="TOX1" s="9"/>
      <c r="TOY1" s="8"/>
      <c r="TOZ1" s="9"/>
      <c r="TPA1" s="8"/>
      <c r="TPB1" s="9"/>
      <c r="TPC1" s="8"/>
      <c r="TPD1" s="9"/>
      <c r="TPE1" s="8"/>
      <c r="TPF1" s="9"/>
      <c r="TPG1" s="8"/>
      <c r="TPH1" s="9"/>
      <c r="TPI1" s="8"/>
      <c r="TPJ1" s="9"/>
      <c r="TPK1" s="8"/>
      <c r="TPL1" s="9"/>
      <c r="TPM1" s="8"/>
      <c r="TPN1" s="9"/>
      <c r="TPO1" s="8"/>
      <c r="TPP1" s="9"/>
      <c r="TPQ1" s="8"/>
      <c r="TPR1" s="9"/>
      <c r="TPS1" s="8"/>
      <c r="TPT1" s="9"/>
      <c r="TPU1" s="8"/>
      <c r="TPV1" s="9"/>
      <c r="TPW1" s="8"/>
      <c r="TPX1" s="9"/>
      <c r="TPY1" s="8"/>
      <c r="TPZ1" s="9"/>
      <c r="TQA1" s="8"/>
      <c r="TQB1" s="9"/>
      <c r="TQC1" s="8"/>
      <c r="TQD1" s="9"/>
      <c r="TQE1" s="8"/>
      <c r="TQF1" s="9"/>
      <c r="TQG1" s="8"/>
      <c r="TQH1" s="9"/>
      <c r="TQI1" s="8"/>
      <c r="TQJ1" s="9"/>
      <c r="TQK1" s="8"/>
      <c r="TQL1" s="9"/>
      <c r="TQM1" s="8"/>
      <c r="TQN1" s="9"/>
      <c r="TQO1" s="8"/>
      <c r="TQP1" s="9"/>
      <c r="TQQ1" s="8"/>
      <c r="TQR1" s="9"/>
      <c r="TQS1" s="8"/>
      <c r="TQT1" s="9"/>
      <c r="TQU1" s="8"/>
      <c r="TQV1" s="9"/>
      <c r="TQW1" s="8"/>
      <c r="TQX1" s="9"/>
      <c r="TQY1" s="8"/>
      <c r="TQZ1" s="9"/>
      <c r="TRA1" s="8"/>
      <c r="TRB1" s="9"/>
      <c r="TRC1" s="8"/>
      <c r="TRD1" s="9"/>
      <c r="TRE1" s="8"/>
      <c r="TRF1" s="9"/>
      <c r="TRG1" s="8"/>
      <c r="TRH1" s="9"/>
      <c r="TRI1" s="8"/>
      <c r="TRJ1" s="9"/>
      <c r="TRK1" s="8"/>
      <c r="TRL1" s="9"/>
      <c r="TRM1" s="8"/>
      <c r="TRN1" s="9"/>
      <c r="TRO1" s="8"/>
      <c r="TRP1" s="9"/>
      <c r="TRQ1" s="8"/>
      <c r="TRR1" s="9"/>
      <c r="TRS1" s="8"/>
      <c r="TRT1" s="9"/>
      <c r="TRU1" s="8"/>
      <c r="TRV1" s="9"/>
      <c r="TRW1" s="8"/>
      <c r="TRX1" s="9"/>
      <c r="TRY1" s="8"/>
      <c r="TRZ1" s="9"/>
      <c r="TSA1" s="8"/>
      <c r="TSB1" s="9"/>
      <c r="TSC1" s="8"/>
      <c r="TSD1" s="9"/>
      <c r="TSE1" s="8"/>
      <c r="TSF1" s="9"/>
      <c r="TSG1" s="8"/>
      <c r="TSH1" s="9"/>
      <c r="TSI1" s="8"/>
      <c r="TSJ1" s="9"/>
      <c r="TSK1" s="8"/>
      <c r="TSL1" s="9"/>
      <c r="TSM1" s="8"/>
      <c r="TSN1" s="9"/>
      <c r="TSO1" s="8"/>
      <c r="TSP1" s="9"/>
      <c r="TSQ1" s="8"/>
      <c r="TSR1" s="9"/>
      <c r="TSS1" s="8"/>
      <c r="TST1" s="9"/>
      <c r="TSU1" s="8"/>
      <c r="TSV1" s="9"/>
      <c r="TSW1" s="8"/>
      <c r="TSX1" s="9"/>
      <c r="TSY1" s="8"/>
      <c r="TSZ1" s="9"/>
      <c r="TTA1" s="8"/>
      <c r="TTB1" s="9"/>
      <c r="TTC1" s="8"/>
      <c r="TTD1" s="9"/>
      <c r="TTE1" s="8"/>
      <c r="TTF1" s="9"/>
      <c r="TTG1" s="8"/>
      <c r="TTH1" s="9"/>
      <c r="TTI1" s="8"/>
      <c r="TTJ1" s="9"/>
      <c r="TTK1" s="8"/>
      <c r="TTL1" s="9"/>
      <c r="TTM1" s="8"/>
      <c r="TTN1" s="9"/>
      <c r="TTO1" s="8"/>
      <c r="TTP1" s="9"/>
      <c r="TTQ1" s="8"/>
      <c r="TTR1" s="9"/>
      <c r="TTS1" s="8"/>
      <c r="TTT1" s="9"/>
      <c r="TTU1" s="8"/>
      <c r="TTV1" s="9"/>
      <c r="TTW1" s="8"/>
      <c r="TTX1" s="9"/>
      <c r="TTY1" s="8"/>
      <c r="TTZ1" s="9"/>
      <c r="TUA1" s="8"/>
      <c r="TUB1" s="9"/>
      <c r="TUC1" s="8"/>
      <c r="TUD1" s="9"/>
      <c r="TUE1" s="8"/>
      <c r="TUF1" s="9"/>
      <c r="TUG1" s="8"/>
      <c r="TUH1" s="9"/>
      <c r="TUI1" s="8"/>
      <c r="TUJ1" s="9"/>
      <c r="TUK1" s="8"/>
      <c r="TUL1" s="9"/>
      <c r="TUM1" s="8"/>
      <c r="TUN1" s="9"/>
      <c r="TUO1" s="8"/>
      <c r="TUP1" s="9"/>
      <c r="TUQ1" s="8"/>
      <c r="TUR1" s="9"/>
      <c r="TUS1" s="8"/>
      <c r="TUT1" s="9"/>
      <c r="TUU1" s="8"/>
      <c r="TUV1" s="9"/>
      <c r="TUW1" s="8"/>
      <c r="TUX1" s="9"/>
      <c r="TUY1" s="8"/>
      <c r="TUZ1" s="9"/>
      <c r="TVA1" s="8"/>
      <c r="TVB1" s="9"/>
      <c r="TVC1" s="8"/>
      <c r="TVD1" s="9"/>
      <c r="TVE1" s="8"/>
      <c r="TVF1" s="9"/>
      <c r="TVG1" s="8"/>
      <c r="TVH1" s="9"/>
      <c r="TVI1" s="8"/>
      <c r="TVJ1" s="9"/>
      <c r="TVK1" s="8"/>
      <c r="TVL1" s="9"/>
      <c r="TVM1" s="8"/>
      <c r="TVN1" s="9"/>
      <c r="TVO1" s="8"/>
      <c r="TVP1" s="9"/>
      <c r="TVQ1" s="8"/>
      <c r="TVR1" s="9"/>
      <c r="TVS1" s="8"/>
      <c r="TVT1" s="9"/>
      <c r="TVU1" s="8"/>
      <c r="TVV1" s="9"/>
      <c r="TVW1" s="8"/>
      <c r="TVX1" s="9"/>
      <c r="TVY1" s="8"/>
      <c r="TVZ1" s="9"/>
      <c r="TWA1" s="8"/>
      <c r="TWB1" s="9"/>
      <c r="TWC1" s="8"/>
      <c r="TWD1" s="9"/>
      <c r="TWE1" s="8"/>
      <c r="TWF1" s="9"/>
      <c r="TWG1" s="8"/>
      <c r="TWH1" s="9"/>
      <c r="TWI1" s="8"/>
      <c r="TWJ1" s="9"/>
      <c r="TWK1" s="8"/>
      <c r="TWL1" s="9"/>
      <c r="TWM1" s="8"/>
      <c r="TWN1" s="9"/>
      <c r="TWO1" s="8"/>
      <c r="TWP1" s="9"/>
      <c r="TWQ1" s="8"/>
      <c r="TWR1" s="9"/>
      <c r="TWS1" s="8"/>
      <c r="TWT1" s="9"/>
      <c r="TWU1" s="8"/>
      <c r="TWV1" s="9"/>
      <c r="TWW1" s="8"/>
      <c r="TWX1" s="9"/>
      <c r="TWY1" s="8"/>
      <c r="TWZ1" s="9"/>
      <c r="TXA1" s="8"/>
      <c r="TXB1" s="9"/>
      <c r="TXC1" s="8"/>
      <c r="TXD1" s="9"/>
      <c r="TXE1" s="8"/>
      <c r="TXF1" s="9"/>
      <c r="TXG1" s="8"/>
      <c r="TXH1" s="9"/>
      <c r="TXI1" s="8"/>
      <c r="TXJ1" s="9"/>
      <c r="TXK1" s="8"/>
      <c r="TXL1" s="9"/>
      <c r="TXM1" s="8"/>
      <c r="TXN1" s="9"/>
      <c r="TXO1" s="8"/>
      <c r="TXP1" s="9"/>
      <c r="TXQ1" s="8"/>
      <c r="TXR1" s="9"/>
      <c r="TXS1" s="8"/>
      <c r="TXT1" s="9"/>
      <c r="TXU1" s="8"/>
      <c r="TXV1" s="9"/>
      <c r="TXW1" s="8"/>
      <c r="TXX1" s="9"/>
      <c r="TXY1" s="8"/>
      <c r="TXZ1" s="9"/>
      <c r="TYA1" s="8"/>
      <c r="TYB1" s="9"/>
      <c r="TYC1" s="8"/>
      <c r="TYD1" s="9"/>
      <c r="TYE1" s="8"/>
      <c r="TYF1" s="9"/>
      <c r="TYG1" s="8"/>
      <c r="TYH1" s="9"/>
      <c r="TYI1" s="8"/>
      <c r="TYJ1" s="9"/>
      <c r="TYK1" s="8"/>
      <c r="TYL1" s="9"/>
      <c r="TYM1" s="8"/>
      <c r="TYN1" s="9"/>
      <c r="TYO1" s="8"/>
      <c r="TYP1" s="9"/>
      <c r="TYQ1" s="8"/>
      <c r="TYR1" s="9"/>
      <c r="TYS1" s="8"/>
      <c r="TYT1" s="9"/>
      <c r="TYU1" s="8"/>
      <c r="TYV1" s="9"/>
      <c r="TYW1" s="8"/>
      <c r="TYX1" s="9"/>
      <c r="TYY1" s="8"/>
      <c r="TYZ1" s="9"/>
      <c r="TZA1" s="8"/>
      <c r="TZB1" s="9"/>
      <c r="TZC1" s="8"/>
      <c r="TZD1" s="9"/>
      <c r="TZE1" s="8"/>
      <c r="TZF1" s="9"/>
      <c r="TZG1" s="8"/>
      <c r="TZH1" s="9"/>
      <c r="TZI1" s="8"/>
      <c r="TZJ1" s="9"/>
      <c r="TZK1" s="8"/>
      <c r="TZL1" s="9"/>
      <c r="TZM1" s="8"/>
      <c r="TZN1" s="9"/>
      <c r="TZO1" s="8"/>
      <c r="TZP1" s="9"/>
      <c r="TZQ1" s="8"/>
      <c r="TZR1" s="9"/>
      <c r="TZS1" s="8"/>
      <c r="TZT1" s="9"/>
      <c r="TZU1" s="8"/>
      <c r="TZV1" s="9"/>
      <c r="TZW1" s="8"/>
      <c r="TZX1" s="9"/>
      <c r="TZY1" s="8"/>
      <c r="TZZ1" s="9"/>
      <c r="UAA1" s="8"/>
      <c r="UAB1" s="9"/>
      <c r="UAC1" s="8"/>
      <c r="UAD1" s="9"/>
      <c r="UAE1" s="8"/>
      <c r="UAF1" s="9"/>
      <c r="UAG1" s="8"/>
      <c r="UAH1" s="9"/>
      <c r="UAI1" s="8"/>
      <c r="UAJ1" s="9"/>
      <c r="UAK1" s="8"/>
      <c r="UAL1" s="9"/>
      <c r="UAM1" s="8"/>
      <c r="UAN1" s="9"/>
      <c r="UAO1" s="8"/>
      <c r="UAP1" s="9"/>
      <c r="UAQ1" s="8"/>
      <c r="UAR1" s="9"/>
      <c r="UAS1" s="8"/>
      <c r="UAT1" s="9"/>
      <c r="UAU1" s="8"/>
      <c r="UAV1" s="9"/>
      <c r="UAW1" s="8"/>
      <c r="UAX1" s="9"/>
      <c r="UAY1" s="8"/>
      <c r="UAZ1" s="9"/>
      <c r="UBA1" s="8"/>
      <c r="UBB1" s="9"/>
      <c r="UBC1" s="8"/>
      <c r="UBD1" s="9"/>
      <c r="UBE1" s="8"/>
      <c r="UBF1" s="9"/>
      <c r="UBG1" s="8"/>
      <c r="UBH1" s="9"/>
      <c r="UBI1" s="8"/>
      <c r="UBJ1" s="9"/>
      <c r="UBK1" s="8"/>
      <c r="UBL1" s="9"/>
      <c r="UBM1" s="8"/>
      <c r="UBN1" s="9"/>
      <c r="UBO1" s="8"/>
      <c r="UBP1" s="9"/>
      <c r="UBQ1" s="8"/>
      <c r="UBR1" s="9"/>
      <c r="UBS1" s="8"/>
      <c r="UBT1" s="9"/>
      <c r="UBU1" s="8"/>
      <c r="UBV1" s="9"/>
      <c r="UBW1" s="8"/>
      <c r="UBX1" s="9"/>
      <c r="UBY1" s="8"/>
      <c r="UBZ1" s="9"/>
      <c r="UCA1" s="8"/>
      <c r="UCB1" s="9"/>
      <c r="UCC1" s="8"/>
      <c r="UCD1" s="9"/>
      <c r="UCE1" s="8"/>
      <c r="UCF1" s="9"/>
      <c r="UCG1" s="8"/>
      <c r="UCH1" s="9"/>
      <c r="UCI1" s="8"/>
      <c r="UCJ1" s="9"/>
      <c r="UCK1" s="8"/>
      <c r="UCL1" s="9"/>
      <c r="UCM1" s="8"/>
      <c r="UCN1" s="9"/>
      <c r="UCO1" s="8"/>
      <c r="UCP1" s="9"/>
      <c r="UCQ1" s="8"/>
      <c r="UCR1" s="9"/>
      <c r="UCS1" s="8"/>
      <c r="UCT1" s="9"/>
      <c r="UCU1" s="8"/>
      <c r="UCV1" s="9"/>
      <c r="UCW1" s="8"/>
      <c r="UCX1" s="9"/>
      <c r="UCY1" s="8"/>
      <c r="UCZ1" s="9"/>
      <c r="UDA1" s="8"/>
      <c r="UDB1" s="9"/>
      <c r="UDC1" s="8"/>
      <c r="UDD1" s="9"/>
      <c r="UDE1" s="8"/>
      <c r="UDF1" s="9"/>
      <c r="UDG1" s="8"/>
      <c r="UDH1" s="9"/>
      <c r="UDI1" s="8"/>
      <c r="UDJ1" s="9"/>
      <c r="UDK1" s="8"/>
      <c r="UDL1" s="9"/>
      <c r="UDM1" s="8"/>
      <c r="UDN1" s="9"/>
      <c r="UDO1" s="8"/>
      <c r="UDP1" s="9"/>
      <c r="UDQ1" s="8"/>
      <c r="UDR1" s="9"/>
      <c r="UDS1" s="8"/>
      <c r="UDT1" s="9"/>
      <c r="UDU1" s="8"/>
      <c r="UDV1" s="9"/>
      <c r="UDW1" s="8"/>
      <c r="UDX1" s="9"/>
      <c r="UDY1" s="8"/>
      <c r="UDZ1" s="9"/>
      <c r="UEA1" s="8"/>
      <c r="UEB1" s="9"/>
      <c r="UEC1" s="8"/>
      <c r="UED1" s="9"/>
      <c r="UEE1" s="8"/>
      <c r="UEF1" s="9"/>
      <c r="UEG1" s="8"/>
      <c r="UEH1" s="9"/>
      <c r="UEI1" s="8"/>
      <c r="UEJ1" s="9"/>
      <c r="UEK1" s="8"/>
      <c r="UEL1" s="9"/>
      <c r="UEM1" s="8"/>
      <c r="UEN1" s="9"/>
      <c r="UEO1" s="8"/>
      <c r="UEP1" s="9"/>
      <c r="UEQ1" s="8"/>
      <c r="UER1" s="9"/>
      <c r="UES1" s="8"/>
      <c r="UET1" s="9"/>
      <c r="UEU1" s="8"/>
      <c r="UEV1" s="9"/>
      <c r="UEW1" s="8"/>
      <c r="UEX1" s="9"/>
      <c r="UEY1" s="8"/>
      <c r="UEZ1" s="9"/>
      <c r="UFA1" s="8"/>
      <c r="UFB1" s="9"/>
      <c r="UFC1" s="8"/>
      <c r="UFD1" s="9"/>
      <c r="UFE1" s="8"/>
      <c r="UFF1" s="9"/>
      <c r="UFG1" s="8"/>
      <c r="UFH1" s="9"/>
      <c r="UFI1" s="8"/>
      <c r="UFJ1" s="9"/>
      <c r="UFK1" s="8"/>
      <c r="UFL1" s="9"/>
      <c r="UFM1" s="8"/>
      <c r="UFN1" s="9"/>
      <c r="UFO1" s="8"/>
      <c r="UFP1" s="9"/>
      <c r="UFQ1" s="8"/>
      <c r="UFR1" s="9"/>
      <c r="UFS1" s="8"/>
      <c r="UFT1" s="9"/>
      <c r="UFU1" s="8"/>
      <c r="UFV1" s="9"/>
      <c r="UFW1" s="8"/>
      <c r="UFX1" s="9"/>
      <c r="UFY1" s="8"/>
      <c r="UFZ1" s="9"/>
      <c r="UGA1" s="8"/>
      <c r="UGB1" s="9"/>
      <c r="UGC1" s="8"/>
      <c r="UGD1" s="9"/>
      <c r="UGE1" s="8"/>
      <c r="UGF1" s="9"/>
      <c r="UGG1" s="8"/>
      <c r="UGH1" s="9"/>
      <c r="UGI1" s="8"/>
      <c r="UGJ1" s="9"/>
      <c r="UGK1" s="8"/>
      <c r="UGL1" s="9"/>
      <c r="UGM1" s="8"/>
      <c r="UGN1" s="9"/>
      <c r="UGO1" s="8"/>
      <c r="UGP1" s="9"/>
      <c r="UGQ1" s="8"/>
      <c r="UGR1" s="9"/>
      <c r="UGS1" s="8"/>
      <c r="UGT1" s="9"/>
      <c r="UGU1" s="8"/>
      <c r="UGV1" s="9"/>
      <c r="UGW1" s="8"/>
      <c r="UGX1" s="9"/>
      <c r="UGY1" s="8"/>
      <c r="UGZ1" s="9"/>
      <c r="UHA1" s="8"/>
      <c r="UHB1" s="9"/>
      <c r="UHC1" s="8"/>
      <c r="UHD1" s="9"/>
      <c r="UHE1" s="8"/>
      <c r="UHF1" s="9"/>
      <c r="UHG1" s="8"/>
      <c r="UHH1" s="9"/>
      <c r="UHI1" s="8"/>
      <c r="UHJ1" s="9"/>
      <c r="UHK1" s="8"/>
      <c r="UHL1" s="9"/>
      <c r="UHM1" s="8"/>
      <c r="UHN1" s="9"/>
      <c r="UHO1" s="8"/>
      <c r="UHP1" s="9"/>
      <c r="UHQ1" s="8"/>
      <c r="UHR1" s="9"/>
      <c r="UHS1" s="8"/>
      <c r="UHT1" s="9"/>
      <c r="UHU1" s="8"/>
      <c r="UHV1" s="9"/>
      <c r="UHW1" s="8"/>
      <c r="UHX1" s="9"/>
      <c r="UHY1" s="8"/>
      <c r="UHZ1" s="9"/>
      <c r="UIA1" s="8"/>
      <c r="UIB1" s="9"/>
      <c r="UIC1" s="8"/>
      <c r="UID1" s="9"/>
      <c r="UIE1" s="8"/>
      <c r="UIF1" s="9"/>
      <c r="UIG1" s="8"/>
      <c r="UIH1" s="9"/>
      <c r="UII1" s="8"/>
      <c r="UIJ1" s="9"/>
      <c r="UIK1" s="8"/>
      <c r="UIL1" s="9"/>
      <c r="UIM1" s="8"/>
      <c r="UIN1" s="9"/>
      <c r="UIO1" s="8"/>
      <c r="UIP1" s="9"/>
      <c r="UIQ1" s="8"/>
      <c r="UIR1" s="9"/>
      <c r="UIS1" s="8"/>
      <c r="UIT1" s="9"/>
      <c r="UIU1" s="8"/>
      <c r="UIV1" s="9"/>
      <c r="UIW1" s="8"/>
      <c r="UIX1" s="9"/>
      <c r="UIY1" s="8"/>
      <c r="UIZ1" s="9"/>
      <c r="UJA1" s="8"/>
      <c r="UJB1" s="9"/>
      <c r="UJC1" s="8"/>
      <c r="UJD1" s="9"/>
      <c r="UJE1" s="8"/>
      <c r="UJF1" s="9"/>
      <c r="UJG1" s="8"/>
      <c r="UJH1" s="9"/>
      <c r="UJI1" s="8"/>
      <c r="UJJ1" s="9"/>
      <c r="UJK1" s="8"/>
      <c r="UJL1" s="9"/>
      <c r="UJM1" s="8"/>
      <c r="UJN1" s="9"/>
      <c r="UJO1" s="8"/>
      <c r="UJP1" s="9"/>
      <c r="UJQ1" s="8"/>
      <c r="UJR1" s="9"/>
      <c r="UJS1" s="8"/>
      <c r="UJT1" s="9"/>
      <c r="UJU1" s="8"/>
      <c r="UJV1" s="9"/>
      <c r="UJW1" s="8"/>
      <c r="UJX1" s="9"/>
      <c r="UJY1" s="8"/>
      <c r="UJZ1" s="9"/>
      <c r="UKA1" s="8"/>
      <c r="UKB1" s="9"/>
      <c r="UKC1" s="8"/>
      <c r="UKD1" s="9"/>
      <c r="UKE1" s="8"/>
      <c r="UKF1" s="9"/>
      <c r="UKG1" s="8"/>
      <c r="UKH1" s="9"/>
      <c r="UKI1" s="8"/>
      <c r="UKJ1" s="9"/>
      <c r="UKK1" s="8"/>
      <c r="UKL1" s="9"/>
      <c r="UKM1" s="8"/>
      <c r="UKN1" s="9"/>
      <c r="UKO1" s="8"/>
      <c r="UKP1" s="9"/>
      <c r="UKQ1" s="8"/>
      <c r="UKR1" s="9"/>
      <c r="UKS1" s="8"/>
      <c r="UKT1" s="9"/>
      <c r="UKU1" s="8"/>
      <c r="UKV1" s="9"/>
      <c r="UKW1" s="8"/>
      <c r="UKX1" s="9"/>
      <c r="UKY1" s="8"/>
      <c r="UKZ1" s="9"/>
      <c r="ULA1" s="8"/>
      <c r="ULB1" s="9"/>
      <c r="ULC1" s="8"/>
      <c r="ULD1" s="9"/>
      <c r="ULE1" s="8"/>
      <c r="ULF1" s="9"/>
      <c r="ULG1" s="8"/>
      <c r="ULH1" s="9"/>
      <c r="ULI1" s="8"/>
      <c r="ULJ1" s="9"/>
      <c r="ULK1" s="8"/>
      <c r="ULL1" s="9"/>
      <c r="ULM1" s="8"/>
      <c r="ULN1" s="9"/>
      <c r="ULO1" s="8"/>
      <c r="ULP1" s="9"/>
      <c r="ULQ1" s="8"/>
      <c r="ULR1" s="9"/>
      <c r="ULS1" s="8"/>
      <c r="ULT1" s="9"/>
      <c r="ULU1" s="8"/>
      <c r="ULV1" s="9"/>
      <c r="ULW1" s="8"/>
      <c r="ULX1" s="9"/>
      <c r="ULY1" s="8"/>
      <c r="ULZ1" s="9"/>
      <c r="UMA1" s="8"/>
      <c r="UMB1" s="9"/>
      <c r="UMC1" s="8"/>
      <c r="UMD1" s="9"/>
      <c r="UME1" s="8"/>
      <c r="UMF1" s="9"/>
      <c r="UMG1" s="8"/>
      <c r="UMH1" s="9"/>
      <c r="UMI1" s="8"/>
      <c r="UMJ1" s="9"/>
      <c r="UMK1" s="8"/>
      <c r="UML1" s="9"/>
      <c r="UMM1" s="8"/>
      <c r="UMN1" s="9"/>
      <c r="UMO1" s="8"/>
      <c r="UMP1" s="9"/>
      <c r="UMQ1" s="8"/>
      <c r="UMR1" s="9"/>
      <c r="UMS1" s="8"/>
      <c r="UMT1" s="9"/>
      <c r="UMU1" s="8"/>
      <c r="UMV1" s="9"/>
      <c r="UMW1" s="8"/>
      <c r="UMX1" s="9"/>
      <c r="UMY1" s="8"/>
      <c r="UMZ1" s="9"/>
      <c r="UNA1" s="8"/>
      <c r="UNB1" s="9"/>
      <c r="UNC1" s="8"/>
      <c r="UND1" s="9"/>
      <c r="UNE1" s="8"/>
      <c r="UNF1" s="9"/>
      <c r="UNG1" s="8"/>
      <c r="UNH1" s="9"/>
      <c r="UNI1" s="8"/>
      <c r="UNJ1" s="9"/>
      <c r="UNK1" s="8"/>
      <c r="UNL1" s="9"/>
      <c r="UNM1" s="8"/>
      <c r="UNN1" s="9"/>
      <c r="UNO1" s="8"/>
      <c r="UNP1" s="9"/>
      <c r="UNQ1" s="8"/>
      <c r="UNR1" s="9"/>
      <c r="UNS1" s="8"/>
      <c r="UNT1" s="9"/>
      <c r="UNU1" s="8"/>
      <c r="UNV1" s="9"/>
      <c r="UNW1" s="8"/>
      <c r="UNX1" s="9"/>
      <c r="UNY1" s="8"/>
      <c r="UNZ1" s="9"/>
      <c r="UOA1" s="8"/>
      <c r="UOB1" s="9"/>
      <c r="UOC1" s="8"/>
      <c r="UOD1" s="9"/>
      <c r="UOE1" s="8"/>
      <c r="UOF1" s="9"/>
      <c r="UOG1" s="8"/>
      <c r="UOH1" s="9"/>
      <c r="UOI1" s="8"/>
      <c r="UOJ1" s="9"/>
      <c r="UOK1" s="8"/>
      <c r="UOL1" s="9"/>
      <c r="UOM1" s="8"/>
      <c r="UON1" s="9"/>
      <c r="UOO1" s="8"/>
      <c r="UOP1" s="9"/>
      <c r="UOQ1" s="8"/>
      <c r="UOR1" s="9"/>
      <c r="UOS1" s="8"/>
      <c r="UOT1" s="9"/>
      <c r="UOU1" s="8"/>
      <c r="UOV1" s="9"/>
      <c r="UOW1" s="8"/>
      <c r="UOX1" s="9"/>
      <c r="UOY1" s="8"/>
      <c r="UOZ1" s="9"/>
      <c r="UPA1" s="8"/>
      <c r="UPB1" s="9"/>
      <c r="UPC1" s="8"/>
      <c r="UPD1" s="9"/>
      <c r="UPE1" s="8"/>
      <c r="UPF1" s="9"/>
      <c r="UPG1" s="8"/>
      <c r="UPH1" s="9"/>
      <c r="UPI1" s="8"/>
      <c r="UPJ1" s="9"/>
      <c r="UPK1" s="8"/>
      <c r="UPL1" s="9"/>
      <c r="UPM1" s="8"/>
      <c r="UPN1" s="9"/>
      <c r="UPO1" s="8"/>
      <c r="UPP1" s="9"/>
      <c r="UPQ1" s="8"/>
      <c r="UPR1" s="9"/>
      <c r="UPS1" s="8"/>
      <c r="UPT1" s="9"/>
      <c r="UPU1" s="8"/>
      <c r="UPV1" s="9"/>
      <c r="UPW1" s="8"/>
      <c r="UPX1" s="9"/>
      <c r="UPY1" s="8"/>
      <c r="UPZ1" s="9"/>
      <c r="UQA1" s="8"/>
      <c r="UQB1" s="9"/>
      <c r="UQC1" s="8"/>
      <c r="UQD1" s="9"/>
      <c r="UQE1" s="8"/>
      <c r="UQF1" s="9"/>
      <c r="UQG1" s="8"/>
      <c r="UQH1" s="9"/>
      <c r="UQI1" s="8"/>
      <c r="UQJ1" s="9"/>
      <c r="UQK1" s="8"/>
      <c r="UQL1" s="9"/>
      <c r="UQM1" s="8"/>
      <c r="UQN1" s="9"/>
      <c r="UQO1" s="8"/>
      <c r="UQP1" s="9"/>
      <c r="UQQ1" s="8"/>
      <c r="UQR1" s="9"/>
      <c r="UQS1" s="8"/>
      <c r="UQT1" s="9"/>
      <c r="UQU1" s="8"/>
      <c r="UQV1" s="9"/>
      <c r="UQW1" s="8"/>
      <c r="UQX1" s="9"/>
      <c r="UQY1" s="8"/>
      <c r="UQZ1" s="9"/>
      <c r="URA1" s="8"/>
      <c r="URB1" s="9"/>
      <c r="URC1" s="8"/>
      <c r="URD1" s="9"/>
      <c r="URE1" s="8"/>
      <c r="URF1" s="9"/>
      <c r="URG1" s="8"/>
      <c r="URH1" s="9"/>
      <c r="URI1" s="8"/>
      <c r="URJ1" s="9"/>
      <c r="URK1" s="8"/>
      <c r="URL1" s="9"/>
      <c r="URM1" s="8"/>
      <c r="URN1" s="9"/>
      <c r="URO1" s="8"/>
      <c r="URP1" s="9"/>
      <c r="URQ1" s="8"/>
      <c r="URR1" s="9"/>
      <c r="URS1" s="8"/>
      <c r="URT1" s="9"/>
      <c r="URU1" s="8"/>
      <c r="URV1" s="9"/>
      <c r="URW1" s="8"/>
      <c r="URX1" s="9"/>
      <c r="URY1" s="8"/>
      <c r="URZ1" s="9"/>
      <c r="USA1" s="8"/>
      <c r="USB1" s="9"/>
      <c r="USC1" s="8"/>
      <c r="USD1" s="9"/>
      <c r="USE1" s="8"/>
      <c r="USF1" s="9"/>
      <c r="USG1" s="8"/>
      <c r="USH1" s="9"/>
      <c r="USI1" s="8"/>
      <c r="USJ1" s="9"/>
      <c r="USK1" s="8"/>
      <c r="USL1" s="9"/>
      <c r="USM1" s="8"/>
      <c r="USN1" s="9"/>
      <c r="USO1" s="8"/>
      <c r="USP1" s="9"/>
      <c r="USQ1" s="8"/>
      <c r="USR1" s="9"/>
      <c r="USS1" s="8"/>
      <c r="UST1" s="9"/>
      <c r="USU1" s="8"/>
      <c r="USV1" s="9"/>
      <c r="USW1" s="8"/>
      <c r="USX1" s="9"/>
      <c r="USY1" s="8"/>
      <c r="USZ1" s="9"/>
      <c r="UTA1" s="8"/>
      <c r="UTB1" s="9"/>
      <c r="UTC1" s="8"/>
      <c r="UTD1" s="9"/>
      <c r="UTE1" s="8"/>
      <c r="UTF1" s="9"/>
      <c r="UTG1" s="8"/>
      <c r="UTH1" s="9"/>
      <c r="UTI1" s="8"/>
      <c r="UTJ1" s="9"/>
      <c r="UTK1" s="8"/>
      <c r="UTL1" s="9"/>
      <c r="UTM1" s="8"/>
      <c r="UTN1" s="9"/>
      <c r="UTO1" s="8"/>
      <c r="UTP1" s="9"/>
      <c r="UTQ1" s="8"/>
      <c r="UTR1" s="9"/>
      <c r="UTS1" s="8"/>
      <c r="UTT1" s="9"/>
      <c r="UTU1" s="8"/>
      <c r="UTV1" s="9"/>
      <c r="UTW1" s="8"/>
      <c r="UTX1" s="9"/>
      <c r="UTY1" s="8"/>
      <c r="UTZ1" s="9"/>
      <c r="UUA1" s="8"/>
      <c r="UUB1" s="9"/>
      <c r="UUC1" s="8"/>
      <c r="UUD1" s="9"/>
      <c r="UUE1" s="8"/>
      <c r="UUF1" s="9"/>
      <c r="UUG1" s="8"/>
      <c r="UUH1" s="9"/>
      <c r="UUI1" s="8"/>
      <c r="UUJ1" s="9"/>
      <c r="UUK1" s="8"/>
      <c r="UUL1" s="9"/>
      <c r="UUM1" s="8"/>
      <c r="UUN1" s="9"/>
      <c r="UUO1" s="8"/>
      <c r="UUP1" s="9"/>
      <c r="UUQ1" s="8"/>
      <c r="UUR1" s="9"/>
      <c r="UUS1" s="8"/>
      <c r="UUT1" s="9"/>
      <c r="UUU1" s="8"/>
      <c r="UUV1" s="9"/>
      <c r="UUW1" s="8"/>
      <c r="UUX1" s="9"/>
      <c r="UUY1" s="8"/>
      <c r="UUZ1" s="9"/>
      <c r="UVA1" s="8"/>
      <c r="UVB1" s="9"/>
      <c r="UVC1" s="8"/>
      <c r="UVD1" s="9"/>
      <c r="UVE1" s="8"/>
      <c r="UVF1" s="9"/>
      <c r="UVG1" s="8"/>
      <c r="UVH1" s="9"/>
      <c r="UVI1" s="8"/>
      <c r="UVJ1" s="9"/>
      <c r="UVK1" s="8"/>
      <c r="UVL1" s="9"/>
      <c r="UVM1" s="8"/>
      <c r="UVN1" s="9"/>
      <c r="UVO1" s="8"/>
      <c r="UVP1" s="9"/>
      <c r="UVQ1" s="8"/>
      <c r="UVR1" s="9"/>
      <c r="UVS1" s="8"/>
      <c r="UVT1" s="9"/>
      <c r="UVU1" s="8"/>
      <c r="UVV1" s="9"/>
      <c r="UVW1" s="8"/>
      <c r="UVX1" s="9"/>
      <c r="UVY1" s="8"/>
      <c r="UVZ1" s="9"/>
      <c r="UWA1" s="8"/>
      <c r="UWB1" s="9"/>
      <c r="UWC1" s="8"/>
      <c r="UWD1" s="9"/>
      <c r="UWE1" s="8"/>
      <c r="UWF1" s="9"/>
      <c r="UWG1" s="8"/>
      <c r="UWH1" s="9"/>
      <c r="UWI1" s="8"/>
      <c r="UWJ1" s="9"/>
      <c r="UWK1" s="8"/>
      <c r="UWL1" s="9"/>
      <c r="UWM1" s="8"/>
      <c r="UWN1" s="9"/>
      <c r="UWO1" s="8"/>
      <c r="UWP1" s="9"/>
      <c r="UWQ1" s="8"/>
      <c r="UWR1" s="9"/>
      <c r="UWS1" s="8"/>
      <c r="UWT1" s="9"/>
      <c r="UWU1" s="8"/>
      <c r="UWV1" s="9"/>
      <c r="UWW1" s="8"/>
      <c r="UWX1" s="9"/>
      <c r="UWY1" s="8"/>
      <c r="UWZ1" s="9"/>
      <c r="UXA1" s="8"/>
      <c r="UXB1" s="9"/>
      <c r="UXC1" s="8"/>
      <c r="UXD1" s="9"/>
      <c r="UXE1" s="8"/>
      <c r="UXF1" s="9"/>
      <c r="UXG1" s="8"/>
      <c r="UXH1" s="9"/>
      <c r="UXI1" s="8"/>
      <c r="UXJ1" s="9"/>
      <c r="UXK1" s="8"/>
      <c r="UXL1" s="9"/>
      <c r="UXM1" s="8"/>
      <c r="UXN1" s="9"/>
      <c r="UXO1" s="8"/>
      <c r="UXP1" s="9"/>
      <c r="UXQ1" s="8"/>
      <c r="UXR1" s="9"/>
      <c r="UXS1" s="8"/>
      <c r="UXT1" s="9"/>
      <c r="UXU1" s="8"/>
      <c r="UXV1" s="9"/>
      <c r="UXW1" s="8"/>
      <c r="UXX1" s="9"/>
      <c r="UXY1" s="8"/>
      <c r="UXZ1" s="9"/>
      <c r="UYA1" s="8"/>
      <c r="UYB1" s="9"/>
      <c r="UYC1" s="8"/>
      <c r="UYD1" s="9"/>
      <c r="UYE1" s="8"/>
      <c r="UYF1" s="9"/>
      <c r="UYG1" s="8"/>
      <c r="UYH1" s="9"/>
      <c r="UYI1" s="8"/>
      <c r="UYJ1" s="9"/>
      <c r="UYK1" s="8"/>
      <c r="UYL1" s="9"/>
      <c r="UYM1" s="8"/>
      <c r="UYN1" s="9"/>
      <c r="UYO1" s="8"/>
      <c r="UYP1" s="9"/>
      <c r="UYQ1" s="8"/>
      <c r="UYR1" s="9"/>
      <c r="UYS1" s="8"/>
      <c r="UYT1" s="9"/>
      <c r="UYU1" s="8"/>
      <c r="UYV1" s="9"/>
      <c r="UYW1" s="8"/>
      <c r="UYX1" s="9"/>
      <c r="UYY1" s="8"/>
      <c r="UYZ1" s="9"/>
      <c r="UZA1" s="8"/>
      <c r="UZB1" s="9"/>
      <c r="UZC1" s="8"/>
      <c r="UZD1" s="9"/>
      <c r="UZE1" s="8"/>
      <c r="UZF1" s="9"/>
      <c r="UZG1" s="8"/>
      <c r="UZH1" s="9"/>
      <c r="UZI1" s="8"/>
      <c r="UZJ1" s="9"/>
      <c r="UZK1" s="8"/>
      <c r="UZL1" s="9"/>
      <c r="UZM1" s="8"/>
      <c r="UZN1" s="9"/>
      <c r="UZO1" s="8"/>
      <c r="UZP1" s="9"/>
      <c r="UZQ1" s="8"/>
      <c r="UZR1" s="9"/>
      <c r="UZS1" s="8"/>
      <c r="UZT1" s="9"/>
      <c r="UZU1" s="8"/>
      <c r="UZV1" s="9"/>
      <c r="UZW1" s="8"/>
      <c r="UZX1" s="9"/>
      <c r="UZY1" s="8"/>
      <c r="UZZ1" s="9"/>
      <c r="VAA1" s="8"/>
      <c r="VAB1" s="9"/>
      <c r="VAC1" s="8"/>
      <c r="VAD1" s="9"/>
      <c r="VAE1" s="8"/>
      <c r="VAF1" s="9"/>
      <c r="VAG1" s="8"/>
      <c r="VAH1" s="9"/>
      <c r="VAI1" s="8"/>
      <c r="VAJ1" s="9"/>
      <c r="VAK1" s="8"/>
      <c r="VAL1" s="9"/>
      <c r="VAM1" s="8"/>
      <c r="VAN1" s="9"/>
      <c r="VAO1" s="8"/>
      <c r="VAP1" s="9"/>
      <c r="VAQ1" s="8"/>
      <c r="VAR1" s="9"/>
      <c r="VAS1" s="8"/>
      <c r="VAT1" s="9"/>
      <c r="VAU1" s="8"/>
      <c r="VAV1" s="9"/>
      <c r="VAW1" s="8"/>
      <c r="VAX1" s="9"/>
      <c r="VAY1" s="8"/>
      <c r="VAZ1" s="9"/>
      <c r="VBA1" s="8"/>
      <c r="VBB1" s="9"/>
      <c r="VBC1" s="8"/>
      <c r="VBD1" s="9"/>
      <c r="VBE1" s="8"/>
      <c r="VBF1" s="9"/>
      <c r="VBG1" s="8"/>
      <c r="VBH1" s="9"/>
      <c r="VBI1" s="8"/>
      <c r="VBJ1" s="9"/>
      <c r="VBK1" s="8"/>
      <c r="VBL1" s="9"/>
      <c r="VBM1" s="8"/>
      <c r="VBN1" s="9"/>
      <c r="VBO1" s="8"/>
      <c r="VBP1" s="9"/>
      <c r="VBQ1" s="8"/>
      <c r="VBR1" s="9"/>
      <c r="VBS1" s="8"/>
      <c r="VBT1" s="9"/>
      <c r="VBU1" s="8"/>
      <c r="VBV1" s="9"/>
      <c r="VBW1" s="8"/>
      <c r="VBX1" s="9"/>
      <c r="VBY1" s="8"/>
      <c r="VBZ1" s="9"/>
      <c r="VCA1" s="8"/>
      <c r="VCB1" s="9"/>
      <c r="VCC1" s="8"/>
      <c r="VCD1" s="9"/>
      <c r="VCE1" s="8"/>
      <c r="VCF1" s="9"/>
      <c r="VCG1" s="8"/>
      <c r="VCH1" s="9"/>
      <c r="VCI1" s="8"/>
      <c r="VCJ1" s="9"/>
      <c r="VCK1" s="8"/>
      <c r="VCL1" s="9"/>
      <c r="VCM1" s="8"/>
      <c r="VCN1" s="9"/>
      <c r="VCO1" s="8"/>
      <c r="VCP1" s="9"/>
      <c r="VCQ1" s="8"/>
      <c r="VCR1" s="9"/>
      <c r="VCS1" s="8"/>
      <c r="VCT1" s="9"/>
      <c r="VCU1" s="8"/>
      <c r="VCV1" s="9"/>
      <c r="VCW1" s="8"/>
      <c r="VCX1" s="9"/>
      <c r="VCY1" s="8"/>
      <c r="VCZ1" s="9"/>
      <c r="VDA1" s="8"/>
      <c r="VDB1" s="9"/>
      <c r="VDC1" s="8"/>
      <c r="VDD1" s="9"/>
      <c r="VDE1" s="8"/>
      <c r="VDF1" s="9"/>
      <c r="VDG1" s="8"/>
      <c r="VDH1" s="9"/>
      <c r="VDI1" s="8"/>
      <c r="VDJ1" s="9"/>
      <c r="VDK1" s="8"/>
      <c r="VDL1" s="9"/>
      <c r="VDM1" s="8"/>
      <c r="VDN1" s="9"/>
      <c r="VDO1" s="8"/>
      <c r="VDP1" s="9"/>
      <c r="VDQ1" s="8"/>
      <c r="VDR1" s="9"/>
      <c r="VDS1" s="8"/>
      <c r="VDT1" s="9"/>
      <c r="VDU1" s="8"/>
      <c r="VDV1" s="9"/>
      <c r="VDW1" s="8"/>
      <c r="VDX1" s="9"/>
      <c r="VDY1" s="8"/>
      <c r="VDZ1" s="9"/>
      <c r="VEA1" s="8"/>
      <c r="VEB1" s="9"/>
      <c r="VEC1" s="8"/>
      <c r="VED1" s="9"/>
      <c r="VEE1" s="8"/>
      <c r="VEF1" s="9"/>
      <c r="VEG1" s="8"/>
      <c r="VEH1" s="9"/>
      <c r="VEI1" s="8"/>
      <c r="VEJ1" s="9"/>
      <c r="VEK1" s="8"/>
      <c r="VEL1" s="9"/>
      <c r="VEM1" s="8"/>
      <c r="VEN1" s="9"/>
      <c r="VEO1" s="8"/>
      <c r="VEP1" s="9"/>
      <c r="VEQ1" s="8"/>
      <c r="VER1" s="9"/>
      <c r="VES1" s="8"/>
      <c r="VET1" s="9"/>
      <c r="VEU1" s="8"/>
      <c r="VEV1" s="9"/>
      <c r="VEW1" s="8"/>
      <c r="VEX1" s="9"/>
      <c r="VEY1" s="8"/>
      <c r="VEZ1" s="9"/>
      <c r="VFA1" s="8"/>
      <c r="VFB1" s="9"/>
      <c r="VFC1" s="8"/>
      <c r="VFD1" s="9"/>
      <c r="VFE1" s="8"/>
      <c r="VFF1" s="9"/>
      <c r="VFG1" s="8"/>
      <c r="VFH1" s="9"/>
      <c r="VFI1" s="8"/>
      <c r="VFJ1" s="9"/>
      <c r="VFK1" s="8"/>
      <c r="VFL1" s="9"/>
      <c r="VFM1" s="8"/>
      <c r="VFN1" s="9"/>
      <c r="VFO1" s="8"/>
      <c r="VFP1" s="9"/>
      <c r="VFQ1" s="8"/>
      <c r="VFR1" s="9"/>
      <c r="VFS1" s="8"/>
      <c r="VFT1" s="9"/>
      <c r="VFU1" s="8"/>
      <c r="VFV1" s="9"/>
      <c r="VFW1" s="8"/>
      <c r="VFX1" s="9"/>
      <c r="VFY1" s="8"/>
      <c r="VFZ1" s="9"/>
      <c r="VGA1" s="8"/>
      <c r="VGB1" s="9"/>
      <c r="VGC1" s="8"/>
      <c r="VGD1" s="9"/>
      <c r="VGE1" s="8"/>
      <c r="VGF1" s="9"/>
      <c r="VGG1" s="8"/>
      <c r="VGH1" s="9"/>
      <c r="VGI1" s="8"/>
      <c r="VGJ1" s="9"/>
      <c r="VGK1" s="8"/>
      <c r="VGL1" s="9"/>
      <c r="VGM1" s="8"/>
      <c r="VGN1" s="9"/>
      <c r="VGO1" s="8"/>
      <c r="VGP1" s="9"/>
      <c r="VGQ1" s="8"/>
      <c r="VGR1" s="9"/>
      <c r="VGS1" s="8"/>
      <c r="VGT1" s="9"/>
      <c r="VGU1" s="8"/>
      <c r="VGV1" s="9"/>
      <c r="VGW1" s="8"/>
      <c r="VGX1" s="9"/>
      <c r="VGY1" s="8"/>
      <c r="VGZ1" s="9"/>
      <c r="VHA1" s="8"/>
      <c r="VHB1" s="9"/>
      <c r="VHC1" s="8"/>
      <c r="VHD1" s="9"/>
      <c r="VHE1" s="8"/>
      <c r="VHF1" s="9"/>
      <c r="VHG1" s="8"/>
      <c r="VHH1" s="9"/>
      <c r="VHI1" s="8"/>
      <c r="VHJ1" s="9"/>
      <c r="VHK1" s="8"/>
      <c r="VHL1" s="9"/>
      <c r="VHM1" s="8"/>
      <c r="VHN1" s="9"/>
      <c r="VHO1" s="8"/>
      <c r="VHP1" s="9"/>
      <c r="VHQ1" s="8"/>
      <c r="VHR1" s="9"/>
      <c r="VHS1" s="8"/>
      <c r="VHT1" s="9"/>
      <c r="VHU1" s="8"/>
      <c r="VHV1" s="9"/>
      <c r="VHW1" s="8"/>
      <c r="VHX1" s="9"/>
      <c r="VHY1" s="8"/>
      <c r="VHZ1" s="9"/>
      <c r="VIA1" s="8"/>
      <c r="VIB1" s="9"/>
      <c r="VIC1" s="8"/>
      <c r="VID1" s="9"/>
      <c r="VIE1" s="8"/>
      <c r="VIF1" s="9"/>
      <c r="VIG1" s="8"/>
      <c r="VIH1" s="9"/>
      <c r="VII1" s="8"/>
      <c r="VIJ1" s="9"/>
      <c r="VIK1" s="8"/>
      <c r="VIL1" s="9"/>
      <c r="VIM1" s="8"/>
      <c r="VIN1" s="9"/>
      <c r="VIO1" s="8"/>
      <c r="VIP1" s="9"/>
      <c r="VIQ1" s="8"/>
      <c r="VIR1" s="9"/>
      <c r="VIS1" s="8"/>
      <c r="VIT1" s="9"/>
      <c r="VIU1" s="8"/>
      <c r="VIV1" s="9"/>
      <c r="VIW1" s="8"/>
      <c r="VIX1" s="9"/>
      <c r="VIY1" s="8"/>
      <c r="VIZ1" s="9"/>
      <c r="VJA1" s="8"/>
      <c r="VJB1" s="9"/>
      <c r="VJC1" s="8"/>
      <c r="VJD1" s="9"/>
      <c r="VJE1" s="8"/>
      <c r="VJF1" s="9"/>
      <c r="VJG1" s="8"/>
      <c r="VJH1" s="9"/>
      <c r="VJI1" s="8"/>
      <c r="VJJ1" s="9"/>
      <c r="VJK1" s="8"/>
      <c r="VJL1" s="9"/>
      <c r="VJM1" s="8"/>
      <c r="VJN1" s="9"/>
      <c r="VJO1" s="8"/>
      <c r="VJP1" s="9"/>
      <c r="VJQ1" s="8"/>
      <c r="VJR1" s="9"/>
      <c r="VJS1" s="8"/>
      <c r="VJT1" s="9"/>
      <c r="VJU1" s="8"/>
      <c r="VJV1" s="9"/>
      <c r="VJW1" s="8"/>
      <c r="VJX1" s="9"/>
      <c r="VJY1" s="8"/>
      <c r="VJZ1" s="9"/>
      <c r="VKA1" s="8"/>
      <c r="VKB1" s="9"/>
      <c r="VKC1" s="8"/>
      <c r="VKD1" s="9"/>
      <c r="VKE1" s="8"/>
      <c r="VKF1" s="9"/>
      <c r="VKG1" s="8"/>
      <c r="VKH1" s="9"/>
      <c r="VKI1" s="8"/>
      <c r="VKJ1" s="9"/>
      <c r="VKK1" s="8"/>
      <c r="VKL1" s="9"/>
      <c r="VKM1" s="8"/>
      <c r="VKN1" s="9"/>
      <c r="VKO1" s="8"/>
      <c r="VKP1" s="9"/>
      <c r="VKQ1" s="8"/>
      <c r="VKR1" s="9"/>
      <c r="VKS1" s="8"/>
      <c r="VKT1" s="9"/>
      <c r="VKU1" s="8"/>
      <c r="VKV1" s="9"/>
      <c r="VKW1" s="8"/>
      <c r="VKX1" s="9"/>
      <c r="VKY1" s="8"/>
      <c r="VKZ1" s="9"/>
      <c r="VLA1" s="8"/>
      <c r="VLB1" s="9"/>
      <c r="VLC1" s="8"/>
      <c r="VLD1" s="9"/>
      <c r="VLE1" s="8"/>
      <c r="VLF1" s="9"/>
      <c r="VLG1" s="8"/>
      <c r="VLH1" s="9"/>
      <c r="VLI1" s="8"/>
      <c r="VLJ1" s="9"/>
      <c r="VLK1" s="8"/>
      <c r="VLL1" s="9"/>
      <c r="VLM1" s="8"/>
      <c r="VLN1" s="9"/>
      <c r="VLO1" s="8"/>
      <c r="VLP1" s="9"/>
      <c r="VLQ1" s="8"/>
      <c r="VLR1" s="9"/>
      <c r="VLS1" s="8"/>
      <c r="VLT1" s="9"/>
      <c r="VLU1" s="8"/>
      <c r="VLV1" s="9"/>
      <c r="VLW1" s="8"/>
      <c r="VLX1" s="9"/>
      <c r="VLY1" s="8"/>
      <c r="VLZ1" s="9"/>
      <c r="VMA1" s="8"/>
      <c r="VMB1" s="9"/>
      <c r="VMC1" s="8"/>
      <c r="VMD1" s="9"/>
      <c r="VME1" s="8"/>
      <c r="VMF1" s="9"/>
      <c r="VMG1" s="8"/>
      <c r="VMH1" s="9"/>
      <c r="VMI1" s="8"/>
      <c r="VMJ1" s="9"/>
      <c r="VMK1" s="8"/>
      <c r="VML1" s="9"/>
      <c r="VMM1" s="8"/>
      <c r="VMN1" s="9"/>
      <c r="VMO1" s="8"/>
      <c r="VMP1" s="9"/>
      <c r="VMQ1" s="8"/>
      <c r="VMR1" s="9"/>
      <c r="VMS1" s="8"/>
      <c r="VMT1" s="9"/>
      <c r="VMU1" s="8"/>
      <c r="VMV1" s="9"/>
      <c r="VMW1" s="8"/>
      <c r="VMX1" s="9"/>
      <c r="VMY1" s="8"/>
      <c r="VMZ1" s="9"/>
      <c r="VNA1" s="8"/>
      <c r="VNB1" s="9"/>
      <c r="VNC1" s="8"/>
      <c r="VND1" s="9"/>
      <c r="VNE1" s="8"/>
      <c r="VNF1" s="9"/>
      <c r="VNG1" s="8"/>
      <c r="VNH1" s="9"/>
      <c r="VNI1" s="8"/>
      <c r="VNJ1" s="9"/>
      <c r="VNK1" s="8"/>
      <c r="VNL1" s="9"/>
      <c r="VNM1" s="8"/>
      <c r="VNN1" s="9"/>
      <c r="VNO1" s="8"/>
      <c r="VNP1" s="9"/>
      <c r="VNQ1" s="8"/>
      <c r="VNR1" s="9"/>
      <c r="VNS1" s="8"/>
      <c r="VNT1" s="9"/>
      <c r="VNU1" s="8"/>
      <c r="VNV1" s="9"/>
      <c r="VNW1" s="8"/>
      <c r="VNX1" s="9"/>
      <c r="VNY1" s="8"/>
      <c r="VNZ1" s="9"/>
      <c r="VOA1" s="8"/>
      <c r="VOB1" s="9"/>
      <c r="VOC1" s="8"/>
      <c r="VOD1" s="9"/>
      <c r="VOE1" s="8"/>
      <c r="VOF1" s="9"/>
      <c r="VOG1" s="8"/>
      <c r="VOH1" s="9"/>
      <c r="VOI1" s="8"/>
      <c r="VOJ1" s="9"/>
      <c r="VOK1" s="8"/>
      <c r="VOL1" s="9"/>
      <c r="VOM1" s="8"/>
      <c r="VON1" s="9"/>
      <c r="VOO1" s="8"/>
      <c r="VOP1" s="9"/>
      <c r="VOQ1" s="8"/>
      <c r="VOR1" s="9"/>
      <c r="VOS1" s="8"/>
      <c r="VOT1" s="9"/>
      <c r="VOU1" s="8"/>
      <c r="VOV1" s="9"/>
      <c r="VOW1" s="8"/>
      <c r="VOX1" s="9"/>
      <c r="VOY1" s="8"/>
      <c r="VOZ1" s="9"/>
      <c r="VPA1" s="8"/>
      <c r="VPB1" s="9"/>
      <c r="VPC1" s="8"/>
      <c r="VPD1" s="9"/>
      <c r="VPE1" s="8"/>
      <c r="VPF1" s="9"/>
      <c r="VPG1" s="8"/>
      <c r="VPH1" s="9"/>
      <c r="VPI1" s="8"/>
      <c r="VPJ1" s="9"/>
      <c r="VPK1" s="8"/>
      <c r="VPL1" s="9"/>
      <c r="VPM1" s="8"/>
      <c r="VPN1" s="9"/>
      <c r="VPO1" s="8"/>
      <c r="VPP1" s="9"/>
      <c r="VPQ1" s="8"/>
      <c r="VPR1" s="9"/>
      <c r="VPS1" s="8"/>
      <c r="VPT1" s="9"/>
      <c r="VPU1" s="8"/>
      <c r="VPV1" s="9"/>
      <c r="VPW1" s="8"/>
      <c r="VPX1" s="9"/>
      <c r="VPY1" s="8"/>
      <c r="VPZ1" s="9"/>
      <c r="VQA1" s="8"/>
      <c r="VQB1" s="9"/>
      <c r="VQC1" s="8"/>
      <c r="VQD1" s="9"/>
      <c r="VQE1" s="8"/>
      <c r="VQF1" s="9"/>
      <c r="VQG1" s="8"/>
      <c r="VQH1" s="9"/>
      <c r="VQI1" s="8"/>
      <c r="VQJ1" s="9"/>
      <c r="VQK1" s="8"/>
      <c r="VQL1" s="9"/>
      <c r="VQM1" s="8"/>
      <c r="VQN1" s="9"/>
      <c r="VQO1" s="8"/>
      <c r="VQP1" s="9"/>
      <c r="VQQ1" s="8"/>
      <c r="VQR1" s="9"/>
      <c r="VQS1" s="8"/>
      <c r="VQT1" s="9"/>
      <c r="VQU1" s="8"/>
      <c r="VQV1" s="9"/>
      <c r="VQW1" s="8"/>
      <c r="VQX1" s="9"/>
      <c r="VQY1" s="8"/>
      <c r="VQZ1" s="9"/>
      <c r="VRA1" s="8"/>
      <c r="VRB1" s="9"/>
      <c r="VRC1" s="8"/>
      <c r="VRD1" s="9"/>
      <c r="VRE1" s="8"/>
      <c r="VRF1" s="9"/>
      <c r="VRG1" s="8"/>
      <c r="VRH1" s="9"/>
      <c r="VRI1" s="8"/>
      <c r="VRJ1" s="9"/>
      <c r="VRK1" s="8"/>
      <c r="VRL1" s="9"/>
      <c r="VRM1" s="8"/>
      <c r="VRN1" s="9"/>
      <c r="VRO1" s="8"/>
      <c r="VRP1" s="9"/>
      <c r="VRQ1" s="8"/>
      <c r="VRR1" s="9"/>
      <c r="VRS1" s="8"/>
      <c r="VRT1" s="9"/>
      <c r="VRU1" s="8"/>
      <c r="VRV1" s="9"/>
      <c r="VRW1" s="8"/>
      <c r="VRX1" s="9"/>
      <c r="VRY1" s="8"/>
      <c r="VRZ1" s="9"/>
      <c r="VSA1" s="8"/>
      <c r="VSB1" s="9"/>
      <c r="VSC1" s="8"/>
      <c r="VSD1" s="9"/>
      <c r="VSE1" s="8"/>
      <c r="VSF1" s="9"/>
      <c r="VSG1" s="8"/>
      <c r="VSH1" s="9"/>
      <c r="VSI1" s="8"/>
      <c r="VSJ1" s="9"/>
      <c r="VSK1" s="8"/>
      <c r="VSL1" s="9"/>
      <c r="VSM1" s="8"/>
      <c r="VSN1" s="9"/>
      <c r="VSO1" s="8"/>
      <c r="VSP1" s="9"/>
      <c r="VSQ1" s="8"/>
      <c r="VSR1" s="9"/>
      <c r="VSS1" s="8"/>
      <c r="VST1" s="9"/>
      <c r="VSU1" s="8"/>
      <c r="VSV1" s="9"/>
      <c r="VSW1" s="8"/>
      <c r="VSX1" s="9"/>
      <c r="VSY1" s="8"/>
      <c r="VSZ1" s="9"/>
      <c r="VTA1" s="8"/>
      <c r="VTB1" s="9"/>
      <c r="VTC1" s="8"/>
      <c r="VTD1" s="9"/>
      <c r="VTE1" s="8"/>
      <c r="VTF1" s="9"/>
      <c r="VTG1" s="8"/>
      <c r="VTH1" s="9"/>
      <c r="VTI1" s="8"/>
      <c r="VTJ1" s="9"/>
      <c r="VTK1" s="8"/>
      <c r="VTL1" s="9"/>
      <c r="VTM1" s="8"/>
      <c r="VTN1" s="9"/>
      <c r="VTO1" s="8"/>
      <c r="VTP1" s="9"/>
      <c r="VTQ1" s="8"/>
      <c r="VTR1" s="9"/>
      <c r="VTS1" s="8"/>
      <c r="VTT1" s="9"/>
      <c r="VTU1" s="8"/>
      <c r="VTV1" s="9"/>
      <c r="VTW1" s="8"/>
      <c r="VTX1" s="9"/>
      <c r="VTY1" s="8"/>
      <c r="VTZ1" s="9"/>
      <c r="VUA1" s="8"/>
      <c r="VUB1" s="9"/>
      <c r="VUC1" s="8"/>
      <c r="VUD1" s="9"/>
      <c r="VUE1" s="8"/>
      <c r="VUF1" s="9"/>
      <c r="VUG1" s="8"/>
      <c r="VUH1" s="9"/>
      <c r="VUI1" s="8"/>
      <c r="VUJ1" s="9"/>
      <c r="VUK1" s="8"/>
      <c r="VUL1" s="9"/>
      <c r="VUM1" s="8"/>
      <c r="VUN1" s="9"/>
      <c r="VUO1" s="8"/>
      <c r="VUP1" s="9"/>
      <c r="VUQ1" s="8"/>
      <c r="VUR1" s="9"/>
      <c r="VUS1" s="8"/>
      <c r="VUT1" s="9"/>
      <c r="VUU1" s="8"/>
      <c r="VUV1" s="9"/>
      <c r="VUW1" s="8"/>
      <c r="VUX1" s="9"/>
      <c r="VUY1" s="8"/>
      <c r="VUZ1" s="9"/>
      <c r="VVA1" s="8"/>
      <c r="VVB1" s="9"/>
      <c r="VVC1" s="8"/>
      <c r="VVD1" s="9"/>
      <c r="VVE1" s="8"/>
      <c r="VVF1" s="9"/>
      <c r="VVG1" s="8"/>
      <c r="VVH1" s="9"/>
      <c r="VVI1" s="8"/>
      <c r="VVJ1" s="9"/>
      <c r="VVK1" s="8"/>
      <c r="VVL1" s="9"/>
      <c r="VVM1" s="8"/>
      <c r="VVN1" s="9"/>
      <c r="VVO1" s="8"/>
      <c r="VVP1" s="9"/>
      <c r="VVQ1" s="8"/>
      <c r="VVR1" s="9"/>
      <c r="VVS1" s="8"/>
      <c r="VVT1" s="9"/>
      <c r="VVU1" s="8"/>
      <c r="VVV1" s="9"/>
      <c r="VVW1" s="8"/>
      <c r="VVX1" s="9"/>
      <c r="VVY1" s="8"/>
      <c r="VVZ1" s="9"/>
      <c r="VWA1" s="8"/>
      <c r="VWB1" s="9"/>
      <c r="VWC1" s="8"/>
      <c r="VWD1" s="9"/>
      <c r="VWE1" s="8"/>
      <c r="VWF1" s="9"/>
      <c r="VWG1" s="8"/>
      <c r="VWH1" s="9"/>
      <c r="VWI1" s="8"/>
      <c r="VWJ1" s="9"/>
      <c r="VWK1" s="8"/>
      <c r="VWL1" s="9"/>
      <c r="VWM1" s="8"/>
      <c r="VWN1" s="9"/>
      <c r="VWO1" s="8"/>
      <c r="VWP1" s="9"/>
      <c r="VWQ1" s="8"/>
      <c r="VWR1" s="9"/>
      <c r="VWS1" s="8"/>
      <c r="VWT1" s="9"/>
      <c r="VWU1" s="8"/>
      <c r="VWV1" s="9"/>
      <c r="VWW1" s="8"/>
      <c r="VWX1" s="9"/>
      <c r="VWY1" s="8"/>
      <c r="VWZ1" s="9"/>
      <c r="VXA1" s="8"/>
      <c r="VXB1" s="9"/>
      <c r="VXC1" s="8"/>
      <c r="VXD1" s="9"/>
      <c r="VXE1" s="8"/>
      <c r="VXF1" s="9"/>
      <c r="VXG1" s="8"/>
      <c r="VXH1" s="9"/>
      <c r="VXI1" s="8"/>
      <c r="VXJ1" s="9"/>
      <c r="VXK1" s="8"/>
      <c r="VXL1" s="9"/>
      <c r="VXM1" s="8"/>
      <c r="VXN1" s="9"/>
      <c r="VXO1" s="8"/>
      <c r="VXP1" s="9"/>
      <c r="VXQ1" s="8"/>
      <c r="VXR1" s="9"/>
      <c r="VXS1" s="8"/>
      <c r="VXT1" s="9"/>
      <c r="VXU1" s="8"/>
      <c r="VXV1" s="9"/>
      <c r="VXW1" s="8"/>
      <c r="VXX1" s="9"/>
      <c r="VXY1" s="8"/>
      <c r="VXZ1" s="9"/>
      <c r="VYA1" s="8"/>
      <c r="VYB1" s="9"/>
      <c r="VYC1" s="8"/>
      <c r="VYD1" s="9"/>
      <c r="VYE1" s="8"/>
      <c r="VYF1" s="9"/>
      <c r="VYG1" s="8"/>
      <c r="VYH1" s="9"/>
      <c r="VYI1" s="8"/>
      <c r="VYJ1" s="9"/>
      <c r="VYK1" s="8"/>
      <c r="VYL1" s="9"/>
      <c r="VYM1" s="8"/>
      <c r="VYN1" s="9"/>
      <c r="VYO1" s="8"/>
      <c r="VYP1" s="9"/>
      <c r="VYQ1" s="8"/>
      <c r="VYR1" s="9"/>
      <c r="VYS1" s="8"/>
      <c r="VYT1" s="9"/>
      <c r="VYU1" s="8"/>
      <c r="VYV1" s="9"/>
      <c r="VYW1" s="8"/>
      <c r="VYX1" s="9"/>
      <c r="VYY1" s="8"/>
      <c r="VYZ1" s="9"/>
      <c r="VZA1" s="8"/>
      <c r="VZB1" s="9"/>
      <c r="VZC1" s="8"/>
      <c r="VZD1" s="9"/>
      <c r="VZE1" s="8"/>
      <c r="VZF1" s="9"/>
      <c r="VZG1" s="8"/>
      <c r="VZH1" s="9"/>
      <c r="VZI1" s="8"/>
      <c r="VZJ1" s="9"/>
      <c r="VZK1" s="8"/>
      <c r="VZL1" s="9"/>
      <c r="VZM1" s="8"/>
      <c r="VZN1" s="9"/>
      <c r="VZO1" s="8"/>
      <c r="VZP1" s="9"/>
      <c r="VZQ1" s="8"/>
      <c r="VZR1" s="9"/>
      <c r="VZS1" s="8"/>
      <c r="VZT1" s="9"/>
      <c r="VZU1" s="8"/>
      <c r="VZV1" s="9"/>
      <c r="VZW1" s="8"/>
      <c r="VZX1" s="9"/>
      <c r="VZY1" s="8"/>
      <c r="VZZ1" s="9"/>
      <c r="WAA1" s="8"/>
      <c r="WAB1" s="9"/>
      <c r="WAC1" s="8"/>
      <c r="WAD1" s="9"/>
      <c r="WAE1" s="8"/>
      <c r="WAF1" s="9"/>
      <c r="WAG1" s="8"/>
      <c r="WAH1" s="9"/>
      <c r="WAI1" s="8"/>
      <c r="WAJ1" s="9"/>
      <c r="WAK1" s="8"/>
      <c r="WAL1" s="9"/>
      <c r="WAM1" s="8"/>
      <c r="WAN1" s="9"/>
      <c r="WAO1" s="8"/>
      <c r="WAP1" s="9"/>
      <c r="WAQ1" s="8"/>
      <c r="WAR1" s="9"/>
      <c r="WAS1" s="8"/>
      <c r="WAT1" s="9"/>
      <c r="WAU1" s="8"/>
      <c r="WAV1" s="9"/>
      <c r="WAW1" s="8"/>
      <c r="WAX1" s="9"/>
      <c r="WAY1" s="8"/>
      <c r="WAZ1" s="9"/>
      <c r="WBA1" s="8"/>
      <c r="WBB1" s="9"/>
      <c r="WBC1" s="8"/>
      <c r="WBD1" s="9"/>
      <c r="WBE1" s="8"/>
      <c r="WBF1" s="9"/>
      <c r="WBG1" s="8"/>
      <c r="WBH1" s="9"/>
      <c r="WBI1" s="8"/>
      <c r="WBJ1" s="9"/>
      <c r="WBK1" s="8"/>
      <c r="WBL1" s="9"/>
      <c r="WBM1" s="8"/>
      <c r="WBN1" s="9"/>
      <c r="WBO1" s="8"/>
      <c r="WBP1" s="9"/>
      <c r="WBQ1" s="8"/>
      <c r="WBR1" s="9"/>
      <c r="WBS1" s="8"/>
      <c r="WBT1" s="9"/>
      <c r="WBU1" s="8"/>
      <c r="WBV1" s="9"/>
      <c r="WBW1" s="8"/>
      <c r="WBX1" s="9"/>
      <c r="WBY1" s="8"/>
      <c r="WBZ1" s="9"/>
      <c r="WCA1" s="8"/>
      <c r="WCB1" s="9"/>
      <c r="WCC1" s="8"/>
      <c r="WCD1" s="9"/>
      <c r="WCE1" s="8"/>
      <c r="WCF1" s="9"/>
      <c r="WCG1" s="8"/>
      <c r="WCH1" s="9"/>
      <c r="WCI1" s="8"/>
      <c r="WCJ1" s="9"/>
      <c r="WCK1" s="8"/>
      <c r="WCL1" s="9"/>
      <c r="WCM1" s="8"/>
      <c r="WCN1" s="9"/>
      <c r="WCO1" s="8"/>
      <c r="WCP1" s="9"/>
      <c r="WCQ1" s="8"/>
      <c r="WCR1" s="9"/>
      <c r="WCS1" s="8"/>
      <c r="WCT1" s="9"/>
      <c r="WCU1" s="8"/>
      <c r="WCV1" s="9"/>
      <c r="WCW1" s="8"/>
      <c r="WCX1" s="9"/>
      <c r="WCY1" s="8"/>
      <c r="WCZ1" s="9"/>
      <c r="WDA1" s="8"/>
      <c r="WDB1" s="9"/>
      <c r="WDC1" s="8"/>
      <c r="WDD1" s="9"/>
      <c r="WDE1" s="8"/>
      <c r="WDF1" s="9"/>
      <c r="WDG1" s="8"/>
      <c r="WDH1" s="9"/>
      <c r="WDI1" s="8"/>
      <c r="WDJ1" s="9"/>
      <c r="WDK1" s="8"/>
      <c r="WDL1" s="9"/>
      <c r="WDM1" s="8"/>
      <c r="WDN1" s="9"/>
      <c r="WDO1" s="8"/>
      <c r="WDP1" s="9"/>
      <c r="WDQ1" s="8"/>
      <c r="WDR1" s="9"/>
      <c r="WDS1" s="8"/>
      <c r="WDT1" s="9"/>
      <c r="WDU1" s="8"/>
      <c r="WDV1" s="9"/>
      <c r="WDW1" s="8"/>
      <c r="WDX1" s="9"/>
      <c r="WDY1" s="8"/>
      <c r="WDZ1" s="9"/>
      <c r="WEA1" s="8"/>
      <c r="WEB1" s="9"/>
      <c r="WEC1" s="8"/>
      <c r="WED1" s="9"/>
      <c r="WEE1" s="8"/>
      <c r="WEF1" s="9"/>
      <c r="WEG1" s="8"/>
      <c r="WEH1" s="9"/>
      <c r="WEI1" s="8"/>
      <c r="WEJ1" s="9"/>
      <c r="WEK1" s="8"/>
      <c r="WEL1" s="9"/>
      <c r="WEM1" s="8"/>
      <c r="WEN1" s="9"/>
      <c r="WEO1" s="8"/>
      <c r="WEP1" s="9"/>
      <c r="WEQ1" s="8"/>
      <c r="WER1" s="9"/>
      <c r="WES1" s="8"/>
      <c r="WET1" s="9"/>
      <c r="WEU1" s="8"/>
      <c r="WEV1" s="9"/>
      <c r="WEW1" s="8"/>
      <c r="WEX1" s="9"/>
      <c r="WEY1" s="8"/>
      <c r="WEZ1" s="9"/>
      <c r="WFA1" s="8"/>
      <c r="WFB1" s="9"/>
      <c r="WFC1" s="8"/>
      <c r="WFD1" s="9"/>
      <c r="WFE1" s="8"/>
      <c r="WFF1" s="9"/>
      <c r="WFG1" s="8"/>
      <c r="WFH1" s="9"/>
      <c r="WFI1" s="8"/>
      <c r="WFJ1" s="9"/>
      <c r="WFK1" s="8"/>
      <c r="WFL1" s="9"/>
      <c r="WFM1" s="8"/>
      <c r="WFN1" s="9"/>
      <c r="WFO1" s="8"/>
      <c r="WFP1" s="9"/>
      <c r="WFQ1" s="8"/>
      <c r="WFR1" s="9"/>
      <c r="WFS1" s="8"/>
      <c r="WFT1" s="9"/>
      <c r="WFU1" s="8"/>
      <c r="WFV1" s="9"/>
      <c r="WFW1" s="8"/>
      <c r="WFX1" s="9"/>
      <c r="WFY1" s="8"/>
      <c r="WFZ1" s="9"/>
      <c r="WGA1" s="8"/>
      <c r="WGB1" s="9"/>
      <c r="WGC1" s="8"/>
      <c r="WGD1" s="9"/>
      <c r="WGE1" s="8"/>
      <c r="WGF1" s="9"/>
      <c r="WGG1" s="8"/>
      <c r="WGH1" s="9"/>
      <c r="WGI1" s="8"/>
      <c r="WGJ1" s="9"/>
      <c r="WGK1" s="8"/>
      <c r="WGL1" s="9"/>
      <c r="WGM1" s="8"/>
      <c r="WGN1" s="9"/>
      <c r="WGO1" s="8"/>
      <c r="WGP1" s="9"/>
      <c r="WGQ1" s="8"/>
      <c r="WGR1" s="9"/>
      <c r="WGS1" s="8"/>
      <c r="WGT1" s="9"/>
      <c r="WGU1" s="8"/>
      <c r="WGV1" s="9"/>
      <c r="WGW1" s="8"/>
      <c r="WGX1" s="9"/>
      <c r="WGY1" s="8"/>
      <c r="WGZ1" s="9"/>
      <c r="WHA1" s="8"/>
      <c r="WHB1" s="9"/>
      <c r="WHC1" s="8"/>
      <c r="WHD1" s="9"/>
      <c r="WHE1" s="8"/>
      <c r="WHF1" s="9"/>
      <c r="WHG1" s="8"/>
      <c r="WHH1" s="9"/>
      <c r="WHI1" s="8"/>
      <c r="WHJ1" s="9"/>
      <c r="WHK1" s="8"/>
      <c r="WHL1" s="9"/>
      <c r="WHM1" s="8"/>
      <c r="WHN1" s="9"/>
      <c r="WHO1" s="8"/>
      <c r="WHP1" s="9"/>
      <c r="WHQ1" s="8"/>
      <c r="WHR1" s="9"/>
      <c r="WHS1" s="8"/>
      <c r="WHT1" s="9"/>
      <c r="WHU1" s="8"/>
      <c r="WHV1" s="9"/>
      <c r="WHW1" s="8"/>
      <c r="WHX1" s="9"/>
      <c r="WHY1" s="8"/>
      <c r="WHZ1" s="9"/>
      <c r="WIA1" s="8"/>
      <c r="WIB1" s="9"/>
      <c r="WIC1" s="8"/>
      <c r="WID1" s="9"/>
      <c r="WIE1" s="8"/>
      <c r="WIF1" s="9"/>
      <c r="WIG1" s="8"/>
      <c r="WIH1" s="9"/>
      <c r="WII1" s="8"/>
      <c r="WIJ1" s="9"/>
      <c r="WIK1" s="8"/>
      <c r="WIL1" s="9"/>
      <c r="WIM1" s="8"/>
      <c r="WIN1" s="9"/>
      <c r="WIO1" s="8"/>
      <c r="WIP1" s="9"/>
      <c r="WIQ1" s="8"/>
      <c r="WIR1" s="9"/>
      <c r="WIS1" s="8"/>
      <c r="WIT1" s="9"/>
      <c r="WIU1" s="8"/>
      <c r="WIV1" s="9"/>
      <c r="WIW1" s="8"/>
      <c r="WIX1" s="9"/>
      <c r="WIY1" s="8"/>
      <c r="WIZ1" s="9"/>
      <c r="WJA1" s="8"/>
      <c r="WJB1" s="9"/>
      <c r="WJC1" s="8"/>
      <c r="WJD1" s="9"/>
      <c r="WJE1" s="8"/>
      <c r="WJF1" s="9"/>
      <c r="WJG1" s="8"/>
      <c r="WJH1" s="9"/>
      <c r="WJI1" s="8"/>
      <c r="WJJ1" s="9"/>
      <c r="WJK1" s="8"/>
      <c r="WJL1" s="9"/>
      <c r="WJM1" s="8"/>
      <c r="WJN1" s="9"/>
      <c r="WJO1" s="8"/>
      <c r="WJP1" s="9"/>
      <c r="WJQ1" s="8"/>
      <c r="WJR1" s="9"/>
      <c r="WJS1" s="8"/>
      <c r="WJT1" s="9"/>
      <c r="WJU1" s="8"/>
      <c r="WJV1" s="9"/>
      <c r="WJW1" s="8"/>
      <c r="WJX1" s="9"/>
      <c r="WJY1" s="8"/>
      <c r="WJZ1" s="9"/>
      <c r="WKA1" s="8"/>
      <c r="WKB1" s="9"/>
      <c r="WKC1" s="8"/>
      <c r="WKD1" s="9"/>
      <c r="WKE1" s="8"/>
      <c r="WKF1" s="9"/>
      <c r="WKG1" s="8"/>
      <c r="WKH1" s="9"/>
      <c r="WKI1" s="8"/>
      <c r="WKJ1" s="9"/>
      <c r="WKK1" s="8"/>
      <c r="WKL1" s="9"/>
      <c r="WKM1" s="8"/>
      <c r="WKN1" s="9"/>
      <c r="WKO1" s="8"/>
      <c r="WKP1" s="9"/>
      <c r="WKQ1" s="8"/>
      <c r="WKR1" s="9"/>
      <c r="WKS1" s="8"/>
      <c r="WKT1" s="9"/>
      <c r="WKU1" s="8"/>
      <c r="WKV1" s="9"/>
      <c r="WKW1" s="8"/>
      <c r="WKX1" s="9"/>
      <c r="WKY1" s="8"/>
      <c r="WKZ1" s="9"/>
      <c r="WLA1" s="8"/>
      <c r="WLB1" s="9"/>
      <c r="WLC1" s="8"/>
      <c r="WLD1" s="9"/>
      <c r="WLE1" s="8"/>
      <c r="WLF1" s="9"/>
      <c r="WLG1" s="8"/>
      <c r="WLH1" s="9"/>
      <c r="WLI1" s="8"/>
      <c r="WLJ1" s="9"/>
      <c r="WLK1" s="8"/>
      <c r="WLL1" s="9"/>
      <c r="WLM1" s="8"/>
      <c r="WLN1" s="9"/>
      <c r="WLO1" s="8"/>
      <c r="WLP1" s="9"/>
      <c r="WLQ1" s="8"/>
      <c r="WLR1" s="9"/>
      <c r="WLS1" s="8"/>
      <c r="WLT1" s="9"/>
      <c r="WLU1" s="8"/>
      <c r="WLV1" s="9"/>
      <c r="WLW1" s="8"/>
      <c r="WLX1" s="9"/>
      <c r="WLY1" s="8"/>
      <c r="WLZ1" s="9"/>
      <c r="WMA1" s="8"/>
      <c r="WMB1" s="9"/>
      <c r="WMC1" s="8"/>
      <c r="WMD1" s="9"/>
      <c r="WME1" s="8"/>
      <c r="WMF1" s="9"/>
      <c r="WMG1" s="8"/>
      <c r="WMH1" s="9"/>
      <c r="WMI1" s="8"/>
      <c r="WMJ1" s="9"/>
      <c r="WMK1" s="8"/>
      <c r="WML1" s="9"/>
      <c r="WMM1" s="8"/>
      <c r="WMN1" s="9"/>
      <c r="WMO1" s="8"/>
      <c r="WMP1" s="9"/>
      <c r="WMQ1" s="8"/>
      <c r="WMR1" s="9"/>
      <c r="WMS1" s="8"/>
      <c r="WMT1" s="9"/>
      <c r="WMU1" s="8"/>
      <c r="WMV1" s="9"/>
      <c r="WMW1" s="8"/>
      <c r="WMX1" s="9"/>
      <c r="WMY1" s="8"/>
      <c r="WMZ1" s="9"/>
      <c r="WNA1" s="8"/>
      <c r="WNB1" s="9"/>
      <c r="WNC1" s="8"/>
      <c r="WND1" s="9"/>
      <c r="WNE1" s="8"/>
      <c r="WNF1" s="9"/>
      <c r="WNG1" s="8"/>
      <c r="WNH1" s="9"/>
      <c r="WNI1" s="8"/>
      <c r="WNJ1" s="9"/>
      <c r="WNK1" s="8"/>
      <c r="WNL1" s="9"/>
      <c r="WNM1" s="8"/>
      <c r="WNN1" s="9"/>
      <c r="WNO1" s="8"/>
      <c r="WNP1" s="9"/>
      <c r="WNQ1" s="8"/>
      <c r="WNR1" s="9"/>
      <c r="WNS1" s="8"/>
      <c r="WNT1" s="9"/>
      <c r="WNU1" s="8"/>
      <c r="WNV1" s="9"/>
      <c r="WNW1" s="8"/>
      <c r="WNX1" s="9"/>
      <c r="WNY1" s="8"/>
      <c r="WNZ1" s="9"/>
      <c r="WOA1" s="8"/>
      <c r="WOB1" s="9"/>
      <c r="WOC1" s="8"/>
      <c r="WOD1" s="9"/>
      <c r="WOE1" s="8"/>
      <c r="WOF1" s="9"/>
      <c r="WOG1" s="8"/>
      <c r="WOH1" s="9"/>
      <c r="WOI1" s="8"/>
      <c r="WOJ1" s="9"/>
      <c r="WOK1" s="8"/>
      <c r="WOL1" s="9"/>
      <c r="WOM1" s="8"/>
      <c r="WON1" s="9"/>
      <c r="WOO1" s="8"/>
      <c r="WOP1" s="9"/>
      <c r="WOQ1" s="8"/>
      <c r="WOR1" s="9"/>
      <c r="WOS1" s="8"/>
      <c r="WOT1" s="9"/>
      <c r="WOU1" s="8"/>
      <c r="WOV1" s="9"/>
      <c r="WOW1" s="8"/>
      <c r="WOX1" s="9"/>
      <c r="WOY1" s="8"/>
      <c r="WOZ1" s="9"/>
      <c r="WPA1" s="8"/>
      <c r="WPB1" s="9"/>
      <c r="WPC1" s="8"/>
      <c r="WPD1" s="9"/>
      <c r="WPE1" s="8"/>
      <c r="WPF1" s="9"/>
      <c r="WPG1" s="8"/>
      <c r="WPH1" s="9"/>
      <c r="WPI1" s="8"/>
      <c r="WPJ1" s="9"/>
      <c r="WPK1" s="8"/>
      <c r="WPL1" s="9"/>
      <c r="WPM1" s="8"/>
      <c r="WPN1" s="9"/>
      <c r="WPO1" s="8"/>
      <c r="WPP1" s="9"/>
      <c r="WPQ1" s="8"/>
      <c r="WPR1" s="9"/>
      <c r="WPS1" s="8"/>
      <c r="WPT1" s="9"/>
      <c r="WPU1" s="8"/>
      <c r="WPV1" s="9"/>
      <c r="WPW1" s="8"/>
      <c r="WPX1" s="9"/>
      <c r="WPY1" s="8"/>
      <c r="WPZ1" s="9"/>
      <c r="WQA1" s="8"/>
      <c r="WQB1" s="9"/>
      <c r="WQC1" s="8"/>
      <c r="WQD1" s="9"/>
      <c r="WQE1" s="8"/>
      <c r="WQF1" s="9"/>
      <c r="WQG1" s="8"/>
      <c r="WQH1" s="9"/>
      <c r="WQI1" s="8"/>
      <c r="WQJ1" s="9"/>
      <c r="WQK1" s="8"/>
      <c r="WQL1" s="9"/>
      <c r="WQM1" s="8"/>
      <c r="WQN1" s="9"/>
      <c r="WQO1" s="8"/>
      <c r="WQP1" s="9"/>
      <c r="WQQ1" s="8"/>
      <c r="WQR1" s="9"/>
      <c r="WQS1" s="8"/>
      <c r="WQT1" s="9"/>
      <c r="WQU1" s="8"/>
      <c r="WQV1" s="9"/>
      <c r="WQW1" s="8"/>
      <c r="WQX1" s="9"/>
      <c r="WQY1" s="8"/>
      <c r="WQZ1" s="9"/>
      <c r="WRA1" s="8"/>
      <c r="WRB1" s="9"/>
      <c r="WRC1" s="8"/>
      <c r="WRD1" s="9"/>
      <c r="WRE1" s="8"/>
      <c r="WRF1" s="9"/>
      <c r="WRG1" s="8"/>
      <c r="WRH1" s="9"/>
      <c r="WRI1" s="8"/>
      <c r="WRJ1" s="9"/>
      <c r="WRK1" s="8"/>
      <c r="WRL1" s="9"/>
      <c r="WRM1" s="8"/>
      <c r="WRN1" s="9"/>
      <c r="WRO1" s="8"/>
      <c r="WRP1" s="9"/>
      <c r="WRQ1" s="8"/>
      <c r="WRR1" s="9"/>
      <c r="WRS1" s="8"/>
      <c r="WRT1" s="9"/>
      <c r="WRU1" s="8"/>
      <c r="WRV1" s="9"/>
      <c r="WRW1" s="8"/>
      <c r="WRX1" s="9"/>
      <c r="WRY1" s="8"/>
      <c r="WRZ1" s="9"/>
      <c r="WSA1" s="8"/>
      <c r="WSB1" s="9"/>
      <c r="WSC1" s="8"/>
      <c r="WSD1" s="9"/>
      <c r="WSE1" s="8"/>
      <c r="WSF1" s="9"/>
      <c r="WSG1" s="8"/>
      <c r="WSH1" s="9"/>
      <c r="WSI1" s="8"/>
      <c r="WSJ1" s="9"/>
      <c r="WSK1" s="8"/>
      <c r="WSL1" s="9"/>
      <c r="WSM1" s="8"/>
      <c r="WSN1" s="9"/>
      <c r="WSO1" s="8"/>
      <c r="WSP1" s="9"/>
      <c r="WSQ1" s="8"/>
      <c r="WSR1" s="9"/>
      <c r="WSS1" s="8"/>
      <c r="WST1" s="9"/>
      <c r="WSU1" s="8"/>
      <c r="WSV1" s="9"/>
      <c r="WSW1" s="8"/>
      <c r="WSX1" s="9"/>
      <c r="WSY1" s="8"/>
      <c r="WSZ1" s="9"/>
      <c r="WTA1" s="8"/>
      <c r="WTB1" s="9"/>
      <c r="WTC1" s="8"/>
      <c r="WTD1" s="9"/>
      <c r="WTE1" s="8"/>
      <c r="WTF1" s="9"/>
      <c r="WTG1" s="8"/>
      <c r="WTH1" s="9"/>
      <c r="WTI1" s="8"/>
      <c r="WTJ1" s="9"/>
      <c r="WTK1" s="8"/>
      <c r="WTL1" s="9"/>
      <c r="WTM1" s="8"/>
      <c r="WTN1" s="9"/>
      <c r="WTO1" s="8"/>
      <c r="WTP1" s="9"/>
      <c r="WTQ1" s="8"/>
      <c r="WTR1" s="9"/>
      <c r="WTS1" s="8"/>
      <c r="WTT1" s="9"/>
      <c r="WTU1" s="8"/>
      <c r="WTV1" s="9"/>
      <c r="WTW1" s="8"/>
      <c r="WTX1" s="9"/>
      <c r="WTY1" s="8"/>
      <c r="WTZ1" s="9"/>
      <c r="WUA1" s="8"/>
      <c r="WUB1" s="9"/>
      <c r="WUC1" s="8"/>
      <c r="WUD1" s="9"/>
      <c r="WUE1" s="8"/>
      <c r="WUF1" s="9"/>
      <c r="WUG1" s="8"/>
      <c r="WUH1" s="9"/>
      <c r="WUI1" s="8"/>
      <c r="WUJ1" s="9"/>
      <c r="WUK1" s="8"/>
      <c r="WUL1" s="9"/>
      <c r="WUM1" s="8"/>
      <c r="WUN1" s="9"/>
      <c r="WUO1" s="8"/>
      <c r="WUP1" s="9"/>
      <c r="WUQ1" s="8"/>
      <c r="WUR1" s="9"/>
      <c r="WUS1" s="8"/>
      <c r="WUT1" s="9"/>
      <c r="WUU1" s="8"/>
      <c r="WUV1" s="9"/>
      <c r="WUW1" s="8"/>
      <c r="WUX1" s="9"/>
      <c r="WUY1" s="8"/>
      <c r="WUZ1" s="9"/>
      <c r="WVA1" s="8"/>
      <c r="WVB1" s="9"/>
      <c r="WVC1" s="8"/>
      <c r="WVD1" s="9"/>
      <c r="WVE1" s="8"/>
      <c r="WVF1" s="9"/>
      <c r="WVG1" s="8"/>
      <c r="WVH1" s="9"/>
      <c r="WVI1" s="8"/>
      <c r="WVJ1" s="9"/>
      <c r="WVK1" s="8"/>
      <c r="WVL1" s="9"/>
      <c r="WVM1" s="8"/>
      <c r="WVN1" s="9"/>
      <c r="WVO1" s="8"/>
      <c r="WVP1" s="9"/>
      <c r="WVQ1" s="8"/>
      <c r="WVR1" s="9"/>
      <c r="WVS1" s="8"/>
      <c r="WVT1" s="9"/>
      <c r="WVU1" s="8"/>
      <c r="WVV1" s="9"/>
      <c r="WVW1" s="8"/>
      <c r="WVX1" s="9"/>
      <c r="WVY1" s="8"/>
      <c r="WVZ1" s="9"/>
      <c r="WWA1" s="8"/>
      <c r="WWB1" s="9"/>
      <c r="WWC1" s="8"/>
      <c r="WWD1" s="9"/>
      <c r="WWE1" s="8"/>
      <c r="WWF1" s="9"/>
      <c r="WWG1" s="8"/>
      <c r="WWH1" s="9"/>
      <c r="WWI1" s="8"/>
      <c r="WWJ1" s="9"/>
      <c r="WWK1" s="8"/>
      <c r="WWL1" s="9"/>
      <c r="WWM1" s="8"/>
      <c r="WWN1" s="9"/>
      <c r="WWO1" s="8"/>
      <c r="WWP1" s="9"/>
      <c r="WWQ1" s="8"/>
      <c r="WWR1" s="9"/>
      <c r="WWS1" s="8"/>
      <c r="WWT1" s="9"/>
      <c r="WWU1" s="8"/>
      <c r="WWV1" s="9"/>
      <c r="WWW1" s="8"/>
      <c r="WWX1" s="9"/>
      <c r="WWY1" s="8"/>
      <c r="WWZ1" s="9"/>
      <c r="WXA1" s="8"/>
      <c r="WXB1" s="9"/>
      <c r="WXC1" s="8"/>
      <c r="WXD1" s="9"/>
      <c r="WXE1" s="8"/>
      <c r="WXF1" s="9"/>
      <c r="WXG1" s="8"/>
      <c r="WXH1" s="9"/>
      <c r="WXI1" s="8"/>
      <c r="WXJ1" s="9"/>
      <c r="WXK1" s="8"/>
      <c r="WXL1" s="9"/>
      <c r="WXM1" s="8"/>
      <c r="WXN1" s="9"/>
      <c r="WXO1" s="8"/>
      <c r="WXP1" s="9"/>
      <c r="WXQ1" s="8"/>
      <c r="WXR1" s="9"/>
      <c r="WXS1" s="8"/>
      <c r="WXT1" s="9"/>
      <c r="WXU1" s="8"/>
      <c r="WXV1" s="9"/>
      <c r="WXW1" s="8"/>
      <c r="WXX1" s="9"/>
      <c r="WXY1" s="8"/>
      <c r="WXZ1" s="9"/>
      <c r="WYA1" s="8"/>
      <c r="WYB1" s="9"/>
      <c r="WYC1" s="8"/>
      <c r="WYD1" s="9"/>
      <c r="WYE1" s="8"/>
      <c r="WYF1" s="9"/>
      <c r="WYG1" s="8"/>
      <c r="WYH1" s="9"/>
      <c r="WYI1" s="8"/>
      <c r="WYJ1" s="9"/>
      <c r="WYK1" s="8"/>
      <c r="WYL1" s="9"/>
      <c r="WYM1" s="8"/>
      <c r="WYN1" s="9"/>
      <c r="WYO1" s="8"/>
      <c r="WYP1" s="9"/>
      <c r="WYQ1" s="8"/>
      <c r="WYR1" s="9"/>
      <c r="WYS1" s="8"/>
      <c r="WYT1" s="9"/>
      <c r="WYU1" s="8"/>
      <c r="WYV1" s="9"/>
      <c r="WYW1" s="8"/>
      <c r="WYX1" s="9"/>
      <c r="WYY1" s="8"/>
      <c r="WYZ1" s="9"/>
      <c r="WZA1" s="8"/>
      <c r="WZB1" s="9"/>
      <c r="WZC1" s="8"/>
      <c r="WZD1" s="9"/>
      <c r="WZE1" s="8"/>
      <c r="WZF1" s="9"/>
      <c r="WZG1" s="8"/>
      <c r="WZH1" s="9"/>
      <c r="WZI1" s="8"/>
      <c r="WZJ1" s="9"/>
      <c r="WZK1" s="8"/>
      <c r="WZL1" s="9"/>
      <c r="WZM1" s="8"/>
      <c r="WZN1" s="9"/>
      <c r="WZO1" s="8"/>
      <c r="WZP1" s="9"/>
      <c r="WZQ1" s="8"/>
      <c r="WZR1" s="9"/>
      <c r="WZS1" s="8"/>
      <c r="WZT1" s="9"/>
      <c r="WZU1" s="8"/>
      <c r="WZV1" s="9"/>
      <c r="WZW1" s="8"/>
      <c r="WZX1" s="9"/>
      <c r="WZY1" s="8"/>
      <c r="WZZ1" s="9"/>
      <c r="XAA1" s="8"/>
      <c r="XAB1" s="9"/>
      <c r="XAC1" s="8"/>
      <c r="XAD1" s="9"/>
      <c r="XAE1" s="8"/>
      <c r="XAF1" s="9"/>
      <c r="XAG1" s="8"/>
      <c r="XAH1" s="9"/>
      <c r="XAI1" s="8"/>
      <c r="XAJ1" s="9"/>
      <c r="XAK1" s="8"/>
      <c r="XAL1" s="9"/>
      <c r="XAM1" s="8"/>
      <c r="XAN1" s="9"/>
      <c r="XAO1" s="8"/>
      <c r="XAP1" s="9"/>
      <c r="XAQ1" s="8"/>
      <c r="XAR1" s="9"/>
      <c r="XAS1" s="8"/>
      <c r="XAT1" s="9"/>
      <c r="XAU1" s="8"/>
      <c r="XAV1" s="9"/>
      <c r="XAW1" s="8"/>
      <c r="XAX1" s="9"/>
      <c r="XAY1" s="8"/>
      <c r="XAZ1" s="9"/>
      <c r="XBA1" s="8"/>
      <c r="XBB1" s="9"/>
      <c r="XBC1" s="8"/>
      <c r="XBD1" s="9"/>
      <c r="XBE1" s="8"/>
      <c r="XBF1" s="9"/>
      <c r="XBG1" s="8"/>
      <c r="XBH1" s="9"/>
      <c r="XBI1" s="8"/>
      <c r="XBJ1" s="9"/>
      <c r="XBK1" s="8"/>
      <c r="XBL1" s="9"/>
      <c r="XBM1" s="8"/>
      <c r="XBN1" s="9"/>
      <c r="XBO1" s="8"/>
      <c r="XBP1" s="9"/>
      <c r="XBQ1" s="8"/>
      <c r="XBR1" s="9"/>
      <c r="XBS1" s="8"/>
      <c r="XBT1" s="9"/>
      <c r="XBU1" s="8"/>
      <c r="XBV1" s="9"/>
      <c r="XBW1" s="8"/>
      <c r="XBX1" s="9"/>
      <c r="XBY1" s="8"/>
      <c r="XBZ1" s="9"/>
      <c r="XCA1" s="8"/>
      <c r="XCB1" s="9"/>
      <c r="XCC1" s="8"/>
      <c r="XCD1" s="9"/>
      <c r="XCE1" s="8"/>
      <c r="XCF1" s="9"/>
      <c r="XCG1" s="8"/>
      <c r="XCH1" s="9"/>
      <c r="XCI1" s="8"/>
      <c r="XCJ1" s="9"/>
      <c r="XCK1" s="8"/>
      <c r="XCL1" s="9"/>
      <c r="XCM1" s="8"/>
      <c r="XCN1" s="9"/>
      <c r="XCO1" s="8"/>
      <c r="XCP1" s="9"/>
      <c r="XCQ1" s="8"/>
      <c r="XCR1" s="9"/>
      <c r="XCS1" s="8"/>
      <c r="XCT1" s="9"/>
      <c r="XCU1" s="8"/>
      <c r="XCV1" s="9"/>
      <c r="XCW1" s="8"/>
      <c r="XCX1" s="9"/>
      <c r="XCY1" s="8"/>
      <c r="XCZ1" s="9"/>
      <c r="XDA1" s="8"/>
      <c r="XDB1" s="9"/>
      <c r="XDC1" s="8"/>
      <c r="XDD1" s="9"/>
      <c r="XDE1" s="8"/>
      <c r="XDF1" s="9"/>
      <c r="XDG1" s="8"/>
      <c r="XDH1" s="9"/>
      <c r="XDI1" s="8"/>
      <c r="XDJ1" s="9"/>
      <c r="XDK1" s="8"/>
      <c r="XDL1" s="9"/>
      <c r="XDM1" s="8"/>
      <c r="XDN1" s="9"/>
      <c r="XDO1" s="8"/>
      <c r="XDP1" s="9"/>
      <c r="XDQ1" s="8"/>
      <c r="XDR1" s="9"/>
      <c r="XDS1" s="8"/>
      <c r="XDT1" s="9"/>
      <c r="XDU1" s="8"/>
      <c r="XDV1" s="9"/>
      <c r="XDW1" s="8"/>
      <c r="XDX1" s="9"/>
      <c r="XDY1" s="8"/>
      <c r="XDZ1" s="9"/>
      <c r="XEA1" s="8"/>
      <c r="XEB1" s="9"/>
      <c r="XEC1" s="8"/>
      <c r="XED1" s="9"/>
      <c r="XEE1" s="8"/>
      <c r="XEF1" s="9"/>
      <c r="XEG1" s="8"/>
      <c r="XEH1" s="9"/>
      <c r="XEI1" s="8"/>
      <c r="XEJ1" s="9"/>
      <c r="XEK1" s="8"/>
      <c r="XEL1" s="9"/>
      <c r="XEM1" s="8"/>
      <c r="XEN1" s="9"/>
      <c r="XEO1" s="8"/>
      <c r="XEP1" s="9"/>
      <c r="XEQ1" s="8"/>
      <c r="XER1" s="9"/>
      <c r="XES1" s="8"/>
      <c r="XET1" s="9"/>
      <c r="XEU1" s="8"/>
      <c r="XEV1" s="9"/>
      <c r="XEW1" s="8"/>
      <c r="XEX1" s="9"/>
      <c r="XEY1" s="8"/>
      <c r="XEZ1" s="9"/>
      <c r="XFA1" s="8"/>
      <c r="XFB1" s="9"/>
      <c r="XFC1" s="8"/>
      <c r="XFD1" s="9"/>
    </row>
    <row r="2" spans="1:16384" s="83" customFormat="1" x14ac:dyDescent="0.25">
      <c r="B2" s="87"/>
      <c r="D2" s="87"/>
      <c r="F2" s="87"/>
      <c r="H2" s="87"/>
      <c r="J2" s="87"/>
      <c r="L2" s="87"/>
      <c r="N2" s="87"/>
      <c r="P2" s="87"/>
      <c r="R2" s="87"/>
      <c r="T2" s="87"/>
      <c r="V2" s="87"/>
      <c r="X2" s="87"/>
      <c r="Z2" s="87"/>
      <c r="AB2" s="87"/>
      <c r="AD2" s="87"/>
      <c r="AF2" s="87"/>
      <c r="AH2" s="87"/>
      <c r="AJ2" s="87"/>
      <c r="AL2" s="87"/>
      <c r="AN2" s="87"/>
      <c r="AP2" s="87"/>
      <c r="AR2" s="87"/>
      <c r="AT2" s="87"/>
      <c r="AV2" s="87"/>
      <c r="AX2" s="87"/>
      <c r="AZ2" s="87"/>
      <c r="BB2" s="87"/>
      <c r="BD2" s="87"/>
      <c r="BF2" s="87"/>
      <c r="BH2" s="87"/>
      <c r="BJ2" s="87"/>
      <c r="BL2" s="87"/>
      <c r="BN2" s="87"/>
      <c r="BP2" s="87"/>
      <c r="BR2" s="87"/>
      <c r="BT2" s="87"/>
      <c r="BV2" s="87"/>
      <c r="BX2" s="87"/>
      <c r="BZ2" s="87"/>
      <c r="CB2" s="87"/>
      <c r="CD2" s="87"/>
      <c r="CF2" s="87"/>
      <c r="CH2" s="87"/>
      <c r="CJ2" s="87"/>
      <c r="CL2" s="87"/>
      <c r="CN2" s="87"/>
      <c r="CP2" s="87"/>
      <c r="CR2" s="87"/>
      <c r="CT2" s="87"/>
      <c r="CV2" s="87"/>
      <c r="CX2" s="87"/>
      <c r="CZ2" s="87"/>
      <c r="DB2" s="87"/>
      <c r="DD2" s="87"/>
      <c r="DF2" s="87"/>
      <c r="DH2" s="87"/>
      <c r="DJ2" s="87"/>
      <c r="DL2" s="87"/>
      <c r="DN2" s="87"/>
      <c r="DP2" s="87"/>
      <c r="DR2" s="87"/>
      <c r="DT2" s="87"/>
      <c r="DV2" s="87"/>
      <c r="DX2" s="87"/>
      <c r="DZ2" s="87"/>
      <c r="EB2" s="87"/>
      <c r="ED2" s="87"/>
      <c r="EF2" s="87"/>
      <c r="EH2" s="87"/>
      <c r="EJ2" s="87"/>
      <c r="EL2" s="87"/>
      <c r="EN2" s="87"/>
      <c r="EP2" s="87"/>
      <c r="ER2" s="87"/>
      <c r="ET2" s="87"/>
      <c r="EV2" s="87"/>
      <c r="EX2" s="87"/>
      <c r="EZ2" s="87"/>
      <c r="FB2" s="87"/>
      <c r="FD2" s="87"/>
      <c r="FF2" s="87"/>
      <c r="FH2" s="87"/>
      <c r="FJ2" s="87"/>
      <c r="FL2" s="87"/>
      <c r="FN2" s="87"/>
      <c r="FP2" s="87"/>
      <c r="FR2" s="87"/>
      <c r="FT2" s="87"/>
      <c r="FV2" s="87"/>
      <c r="FX2" s="87"/>
      <c r="FZ2" s="87"/>
      <c r="GB2" s="87"/>
      <c r="GD2" s="87"/>
      <c r="GF2" s="87"/>
      <c r="GH2" s="87"/>
      <c r="GJ2" s="87"/>
      <c r="GL2" s="87"/>
      <c r="GN2" s="87"/>
      <c r="GP2" s="87"/>
      <c r="GR2" s="87"/>
      <c r="GT2" s="87"/>
      <c r="GV2" s="87"/>
      <c r="GX2" s="87"/>
      <c r="GZ2" s="87"/>
      <c r="HB2" s="87"/>
      <c r="HD2" s="87"/>
      <c r="HF2" s="87"/>
      <c r="HH2" s="87"/>
      <c r="HJ2" s="87"/>
      <c r="HL2" s="87"/>
      <c r="HN2" s="87"/>
      <c r="HP2" s="87"/>
      <c r="HR2" s="87"/>
      <c r="HT2" s="87"/>
      <c r="HV2" s="87"/>
      <c r="HX2" s="87"/>
      <c r="HZ2" s="87"/>
      <c r="IB2" s="87"/>
      <c r="ID2" s="87"/>
      <c r="IF2" s="87"/>
      <c r="IH2" s="87"/>
      <c r="IJ2" s="87"/>
      <c r="IL2" s="87"/>
      <c r="IN2" s="87"/>
      <c r="IP2" s="87"/>
      <c r="IR2" s="87"/>
      <c r="IT2" s="87"/>
      <c r="IV2" s="87"/>
      <c r="IX2" s="87"/>
      <c r="IZ2" s="87"/>
      <c r="JB2" s="87"/>
      <c r="JD2" s="87"/>
      <c r="JF2" s="87"/>
      <c r="JH2" s="87"/>
      <c r="JJ2" s="87"/>
      <c r="JL2" s="87"/>
      <c r="JN2" s="87"/>
      <c r="JP2" s="87"/>
      <c r="JR2" s="87"/>
      <c r="JT2" s="87"/>
      <c r="JV2" s="87"/>
      <c r="JX2" s="87"/>
      <c r="JZ2" s="87"/>
      <c r="KB2" s="87"/>
      <c r="KD2" s="87"/>
      <c r="KF2" s="87"/>
      <c r="KH2" s="87"/>
      <c r="KJ2" s="87"/>
      <c r="KL2" s="87"/>
      <c r="KN2" s="87"/>
      <c r="KP2" s="87"/>
      <c r="KR2" s="87"/>
      <c r="KT2" s="87"/>
      <c r="KV2" s="87"/>
      <c r="KX2" s="87"/>
      <c r="KZ2" s="87"/>
      <c r="LB2" s="87"/>
      <c r="LD2" s="87"/>
      <c r="LF2" s="87"/>
      <c r="LH2" s="87"/>
      <c r="LJ2" s="87"/>
      <c r="LL2" s="87"/>
      <c r="LN2" s="87"/>
      <c r="LP2" s="87"/>
      <c r="LR2" s="87"/>
      <c r="LT2" s="87"/>
      <c r="LV2" s="87"/>
      <c r="LX2" s="87"/>
      <c r="LZ2" s="87"/>
      <c r="MB2" s="87"/>
      <c r="MD2" s="87"/>
      <c r="MF2" s="87"/>
      <c r="MH2" s="87"/>
      <c r="MJ2" s="87"/>
      <c r="ML2" s="87"/>
      <c r="MN2" s="87"/>
      <c r="MP2" s="87"/>
      <c r="MR2" s="87"/>
      <c r="MT2" s="87"/>
      <c r="MV2" s="87"/>
      <c r="MX2" s="87"/>
      <c r="MZ2" s="87"/>
      <c r="NB2" s="87"/>
      <c r="ND2" s="87"/>
      <c r="NF2" s="87"/>
      <c r="NH2" s="87"/>
      <c r="NJ2" s="87"/>
      <c r="NL2" s="87"/>
      <c r="NN2" s="87"/>
      <c r="NP2" s="87"/>
      <c r="NR2" s="87"/>
      <c r="NT2" s="87"/>
      <c r="NV2" s="87"/>
      <c r="NX2" s="87"/>
      <c r="NZ2" s="87"/>
      <c r="OB2" s="87"/>
      <c r="OD2" s="87"/>
      <c r="OF2" s="87"/>
      <c r="OH2" s="87"/>
      <c r="OJ2" s="87"/>
      <c r="OL2" s="87"/>
      <c r="ON2" s="87"/>
      <c r="OP2" s="87"/>
      <c r="OR2" s="87"/>
      <c r="OT2" s="87"/>
      <c r="OV2" s="87"/>
      <c r="OX2" s="87"/>
      <c r="OZ2" s="87"/>
      <c r="PB2" s="87"/>
      <c r="PD2" s="87"/>
      <c r="PF2" s="87"/>
      <c r="PH2" s="87"/>
      <c r="PJ2" s="87"/>
      <c r="PL2" s="87"/>
      <c r="PN2" s="87"/>
      <c r="PP2" s="87"/>
      <c r="PR2" s="87"/>
      <c r="PT2" s="87"/>
      <c r="PV2" s="87"/>
      <c r="PX2" s="87"/>
      <c r="PZ2" s="87"/>
      <c r="QB2" s="87"/>
      <c r="QD2" s="87"/>
      <c r="QF2" s="87"/>
      <c r="QH2" s="87"/>
      <c r="QJ2" s="87"/>
      <c r="QL2" s="87"/>
      <c r="QN2" s="87"/>
      <c r="QP2" s="87"/>
      <c r="QR2" s="87"/>
      <c r="QT2" s="87"/>
      <c r="QV2" s="87"/>
      <c r="QX2" s="87"/>
      <c r="QZ2" s="87"/>
      <c r="RB2" s="87"/>
      <c r="RD2" s="87"/>
      <c r="RF2" s="87"/>
      <c r="RH2" s="87"/>
      <c r="RJ2" s="87"/>
      <c r="RL2" s="87"/>
      <c r="RN2" s="87"/>
      <c r="RP2" s="87"/>
      <c r="RR2" s="87"/>
      <c r="RT2" s="87"/>
      <c r="RV2" s="87"/>
      <c r="RX2" s="87"/>
      <c r="RZ2" s="87"/>
      <c r="SB2" s="87"/>
      <c r="SD2" s="87"/>
      <c r="SF2" s="87"/>
      <c r="SH2" s="87"/>
      <c r="SJ2" s="87"/>
      <c r="SL2" s="87"/>
      <c r="SN2" s="87"/>
      <c r="SP2" s="87"/>
      <c r="SR2" s="87"/>
      <c r="ST2" s="87"/>
      <c r="SV2" s="87"/>
      <c r="SX2" s="87"/>
      <c r="SZ2" s="87"/>
      <c r="TB2" s="87"/>
      <c r="TD2" s="87"/>
      <c r="TF2" s="87"/>
      <c r="TH2" s="87"/>
      <c r="TJ2" s="87"/>
      <c r="TL2" s="87"/>
      <c r="TN2" s="87"/>
      <c r="TP2" s="87"/>
      <c r="TR2" s="87"/>
      <c r="TT2" s="87"/>
      <c r="TV2" s="87"/>
      <c r="TX2" s="87"/>
      <c r="TZ2" s="87"/>
      <c r="UB2" s="87"/>
      <c r="UD2" s="87"/>
      <c r="UF2" s="87"/>
      <c r="UH2" s="87"/>
      <c r="UJ2" s="87"/>
      <c r="UL2" s="87"/>
      <c r="UN2" s="87"/>
      <c r="UP2" s="87"/>
      <c r="UR2" s="87"/>
      <c r="UT2" s="87"/>
      <c r="UV2" s="87"/>
      <c r="UX2" s="87"/>
      <c r="UZ2" s="87"/>
      <c r="VB2" s="87"/>
      <c r="VD2" s="87"/>
      <c r="VF2" s="87"/>
      <c r="VH2" s="87"/>
      <c r="VJ2" s="87"/>
      <c r="VL2" s="87"/>
      <c r="VN2" s="87"/>
      <c r="VP2" s="87"/>
      <c r="VR2" s="87"/>
      <c r="VT2" s="87"/>
      <c r="VV2" s="87"/>
      <c r="VX2" s="87"/>
      <c r="VZ2" s="87"/>
      <c r="WB2" s="87"/>
      <c r="WD2" s="87"/>
      <c r="WF2" s="87"/>
      <c r="WH2" s="87"/>
      <c r="WJ2" s="87"/>
      <c r="WL2" s="87"/>
      <c r="WN2" s="87"/>
      <c r="WP2" s="87"/>
      <c r="WR2" s="87"/>
      <c r="WT2" s="87"/>
      <c r="WV2" s="87"/>
      <c r="WX2" s="87"/>
      <c r="WZ2" s="87"/>
      <c r="XB2" s="87"/>
      <c r="XD2" s="87"/>
      <c r="XF2" s="87"/>
      <c r="XH2" s="87"/>
      <c r="XJ2" s="87"/>
      <c r="XL2" s="87"/>
      <c r="XN2" s="87"/>
      <c r="XP2" s="87"/>
      <c r="XR2" s="87"/>
      <c r="XT2" s="87"/>
      <c r="XV2" s="87"/>
      <c r="XX2" s="87"/>
      <c r="XZ2" s="87"/>
      <c r="YB2" s="87"/>
      <c r="YD2" s="87"/>
      <c r="YF2" s="87"/>
      <c r="YH2" s="87"/>
      <c r="YJ2" s="87"/>
      <c r="YL2" s="87"/>
      <c r="YN2" s="87"/>
      <c r="YP2" s="87"/>
      <c r="YR2" s="87"/>
      <c r="YT2" s="87"/>
      <c r="YV2" s="87"/>
      <c r="YX2" s="87"/>
      <c r="YZ2" s="87"/>
      <c r="ZB2" s="87"/>
      <c r="ZD2" s="87"/>
      <c r="ZF2" s="87"/>
      <c r="ZH2" s="87"/>
      <c r="ZJ2" s="87"/>
      <c r="ZL2" s="87"/>
      <c r="ZN2" s="87"/>
      <c r="ZP2" s="87"/>
      <c r="ZR2" s="87"/>
      <c r="ZT2" s="87"/>
      <c r="ZV2" s="87"/>
      <c r="ZX2" s="87"/>
      <c r="ZZ2" s="87"/>
      <c r="AAB2" s="87"/>
      <c r="AAD2" s="87"/>
      <c r="AAF2" s="87"/>
      <c r="AAH2" s="87"/>
      <c r="AAJ2" s="87"/>
      <c r="AAL2" s="87"/>
      <c r="AAN2" s="87"/>
      <c r="AAP2" s="87"/>
      <c r="AAR2" s="87"/>
      <c r="AAT2" s="87"/>
      <c r="AAV2" s="87"/>
      <c r="AAX2" s="87"/>
      <c r="AAZ2" s="87"/>
      <c r="ABB2" s="87"/>
      <c r="ABD2" s="87"/>
      <c r="ABF2" s="87"/>
      <c r="ABH2" s="87"/>
      <c r="ABJ2" s="87"/>
      <c r="ABL2" s="87"/>
      <c r="ABN2" s="87"/>
      <c r="ABP2" s="87"/>
      <c r="ABR2" s="87"/>
      <c r="ABT2" s="87"/>
      <c r="ABV2" s="87"/>
      <c r="ABX2" s="87"/>
      <c r="ABZ2" s="87"/>
      <c r="ACB2" s="87"/>
      <c r="ACD2" s="87"/>
      <c r="ACF2" s="87"/>
      <c r="ACH2" s="87"/>
      <c r="ACJ2" s="87"/>
      <c r="ACL2" s="87"/>
      <c r="ACN2" s="87"/>
      <c r="ACP2" s="87"/>
      <c r="ACR2" s="87"/>
      <c r="ACT2" s="87"/>
      <c r="ACV2" s="87"/>
      <c r="ACX2" s="87"/>
      <c r="ACZ2" s="87"/>
      <c r="ADB2" s="87"/>
      <c r="ADD2" s="87"/>
      <c r="ADF2" s="87"/>
      <c r="ADH2" s="87"/>
      <c r="ADJ2" s="87"/>
      <c r="ADL2" s="87"/>
      <c r="ADN2" s="87"/>
      <c r="ADP2" s="87"/>
      <c r="ADR2" s="87"/>
      <c r="ADT2" s="87"/>
      <c r="ADV2" s="87"/>
      <c r="ADX2" s="87"/>
      <c r="ADZ2" s="87"/>
      <c r="AEB2" s="87"/>
      <c r="AED2" s="87"/>
      <c r="AEF2" s="87"/>
      <c r="AEH2" s="87"/>
      <c r="AEJ2" s="87"/>
      <c r="AEL2" s="87"/>
      <c r="AEN2" s="87"/>
      <c r="AEP2" s="87"/>
      <c r="AER2" s="87"/>
      <c r="AET2" s="87"/>
      <c r="AEV2" s="87"/>
      <c r="AEX2" s="87"/>
      <c r="AEZ2" s="87"/>
      <c r="AFB2" s="87"/>
      <c r="AFD2" s="87"/>
      <c r="AFF2" s="87"/>
      <c r="AFH2" s="87"/>
      <c r="AFJ2" s="87"/>
      <c r="AFL2" s="87"/>
      <c r="AFN2" s="87"/>
      <c r="AFP2" s="87"/>
      <c r="AFR2" s="87"/>
      <c r="AFT2" s="87"/>
      <c r="AFV2" s="87"/>
      <c r="AFX2" s="87"/>
      <c r="AFZ2" s="87"/>
      <c r="AGB2" s="87"/>
      <c r="AGD2" s="87"/>
      <c r="AGF2" s="87"/>
      <c r="AGH2" s="87"/>
      <c r="AGJ2" s="87"/>
      <c r="AGL2" s="87"/>
      <c r="AGN2" s="87"/>
      <c r="AGP2" s="87"/>
      <c r="AGR2" s="87"/>
      <c r="AGT2" s="87"/>
      <c r="AGV2" s="87"/>
      <c r="AGX2" s="87"/>
      <c r="AGZ2" s="87"/>
      <c r="AHB2" s="87"/>
      <c r="AHD2" s="87"/>
      <c r="AHF2" s="87"/>
      <c r="AHH2" s="87"/>
      <c r="AHJ2" s="87"/>
      <c r="AHL2" s="87"/>
      <c r="AHN2" s="87"/>
      <c r="AHP2" s="87"/>
      <c r="AHR2" s="87"/>
      <c r="AHT2" s="87"/>
      <c r="AHV2" s="87"/>
      <c r="AHX2" s="87"/>
      <c r="AHZ2" s="87"/>
      <c r="AIB2" s="87"/>
      <c r="AID2" s="87"/>
      <c r="AIF2" s="87"/>
      <c r="AIH2" s="87"/>
      <c r="AIJ2" s="87"/>
      <c r="AIL2" s="87"/>
      <c r="AIN2" s="87"/>
      <c r="AIP2" s="87"/>
      <c r="AIR2" s="87"/>
      <c r="AIT2" s="87"/>
      <c r="AIV2" s="87"/>
      <c r="AIX2" s="87"/>
      <c r="AIZ2" s="87"/>
      <c r="AJB2" s="87"/>
      <c r="AJD2" s="87"/>
      <c r="AJF2" s="87"/>
      <c r="AJH2" s="87"/>
      <c r="AJJ2" s="87"/>
      <c r="AJL2" s="87"/>
      <c r="AJN2" s="87"/>
      <c r="AJP2" s="87"/>
      <c r="AJR2" s="87"/>
      <c r="AJT2" s="87"/>
      <c r="AJV2" s="87"/>
      <c r="AJX2" s="87"/>
      <c r="AJZ2" s="87"/>
      <c r="AKB2" s="87"/>
      <c r="AKD2" s="87"/>
      <c r="AKF2" s="87"/>
      <c r="AKH2" s="87"/>
      <c r="AKJ2" s="87"/>
      <c r="AKL2" s="87"/>
      <c r="AKN2" s="87"/>
      <c r="AKP2" s="87"/>
      <c r="AKR2" s="87"/>
      <c r="AKT2" s="87"/>
      <c r="AKV2" s="87"/>
      <c r="AKX2" s="87"/>
      <c r="AKZ2" s="87"/>
      <c r="ALB2" s="87"/>
      <c r="ALD2" s="87"/>
      <c r="ALF2" s="87"/>
      <c r="ALH2" s="87"/>
      <c r="ALJ2" s="87"/>
      <c r="ALL2" s="87"/>
      <c r="ALN2" s="87"/>
      <c r="ALP2" s="87"/>
      <c r="ALR2" s="87"/>
      <c r="ALT2" s="87"/>
      <c r="ALV2" s="87"/>
      <c r="ALX2" s="87"/>
      <c r="ALZ2" s="87"/>
      <c r="AMB2" s="87"/>
      <c r="AMD2" s="87"/>
      <c r="AMF2" s="87"/>
      <c r="AMH2" s="87"/>
      <c r="AMJ2" s="87"/>
      <c r="AML2" s="87"/>
      <c r="AMN2" s="87"/>
      <c r="AMP2" s="87"/>
      <c r="AMR2" s="87"/>
      <c r="AMT2" s="87"/>
      <c r="AMV2" s="87"/>
      <c r="AMX2" s="87"/>
      <c r="AMZ2" s="87"/>
      <c r="ANB2" s="87"/>
      <c r="AND2" s="87"/>
      <c r="ANF2" s="87"/>
      <c r="ANH2" s="87"/>
      <c r="ANJ2" s="87"/>
      <c r="ANL2" s="87"/>
      <c r="ANN2" s="87"/>
      <c r="ANP2" s="87"/>
      <c r="ANR2" s="87"/>
      <c r="ANT2" s="87"/>
      <c r="ANV2" s="87"/>
      <c r="ANX2" s="87"/>
      <c r="ANZ2" s="87"/>
      <c r="AOB2" s="87"/>
      <c r="AOD2" s="87"/>
      <c r="AOF2" s="87"/>
      <c r="AOH2" s="87"/>
      <c r="AOJ2" s="87"/>
      <c r="AOL2" s="87"/>
      <c r="AON2" s="87"/>
      <c r="AOP2" s="87"/>
      <c r="AOR2" s="87"/>
      <c r="AOT2" s="87"/>
      <c r="AOV2" s="87"/>
      <c r="AOX2" s="87"/>
      <c r="AOZ2" s="87"/>
      <c r="APB2" s="87"/>
      <c r="APD2" s="87"/>
      <c r="APF2" s="87"/>
      <c r="APH2" s="87"/>
      <c r="APJ2" s="87"/>
      <c r="APL2" s="87"/>
      <c r="APN2" s="87"/>
      <c r="APP2" s="87"/>
      <c r="APR2" s="87"/>
      <c r="APT2" s="87"/>
      <c r="APV2" s="87"/>
      <c r="APX2" s="87"/>
      <c r="APZ2" s="87"/>
      <c r="AQB2" s="87"/>
      <c r="AQD2" s="87"/>
      <c r="AQF2" s="87"/>
      <c r="AQH2" s="87"/>
      <c r="AQJ2" s="87"/>
      <c r="AQL2" s="87"/>
      <c r="AQN2" s="87"/>
      <c r="AQP2" s="87"/>
      <c r="AQR2" s="87"/>
      <c r="AQT2" s="87"/>
      <c r="AQV2" s="87"/>
      <c r="AQX2" s="87"/>
      <c r="AQZ2" s="87"/>
      <c r="ARB2" s="87"/>
      <c r="ARD2" s="87"/>
      <c r="ARF2" s="87"/>
      <c r="ARH2" s="87"/>
      <c r="ARJ2" s="87"/>
      <c r="ARL2" s="87"/>
      <c r="ARN2" s="87"/>
      <c r="ARP2" s="87"/>
      <c r="ARR2" s="87"/>
      <c r="ART2" s="87"/>
      <c r="ARV2" s="87"/>
      <c r="ARX2" s="87"/>
      <c r="ARZ2" s="87"/>
      <c r="ASB2" s="87"/>
      <c r="ASD2" s="87"/>
      <c r="ASF2" s="87"/>
      <c r="ASH2" s="87"/>
      <c r="ASJ2" s="87"/>
      <c r="ASL2" s="87"/>
      <c r="ASN2" s="87"/>
      <c r="ASP2" s="87"/>
      <c r="ASR2" s="87"/>
      <c r="AST2" s="87"/>
      <c r="ASV2" s="87"/>
      <c r="ASX2" s="87"/>
      <c r="ASZ2" s="87"/>
      <c r="ATB2" s="87"/>
      <c r="ATD2" s="87"/>
      <c r="ATF2" s="87"/>
      <c r="ATH2" s="87"/>
      <c r="ATJ2" s="87"/>
      <c r="ATL2" s="87"/>
      <c r="ATN2" s="87"/>
      <c r="ATP2" s="87"/>
      <c r="ATR2" s="87"/>
      <c r="ATT2" s="87"/>
      <c r="ATV2" s="87"/>
      <c r="ATX2" s="87"/>
      <c r="ATZ2" s="87"/>
      <c r="AUB2" s="87"/>
      <c r="AUD2" s="87"/>
      <c r="AUF2" s="87"/>
      <c r="AUH2" s="87"/>
      <c r="AUJ2" s="87"/>
      <c r="AUL2" s="87"/>
      <c r="AUN2" s="87"/>
      <c r="AUP2" s="87"/>
      <c r="AUR2" s="87"/>
      <c r="AUT2" s="87"/>
      <c r="AUV2" s="87"/>
      <c r="AUX2" s="87"/>
      <c r="AUZ2" s="87"/>
      <c r="AVB2" s="87"/>
      <c r="AVD2" s="87"/>
      <c r="AVF2" s="87"/>
      <c r="AVH2" s="87"/>
      <c r="AVJ2" s="87"/>
      <c r="AVL2" s="87"/>
      <c r="AVN2" s="87"/>
      <c r="AVP2" s="87"/>
      <c r="AVR2" s="87"/>
      <c r="AVT2" s="87"/>
      <c r="AVV2" s="87"/>
      <c r="AVX2" s="87"/>
      <c r="AVZ2" s="87"/>
      <c r="AWB2" s="87"/>
      <c r="AWD2" s="87"/>
      <c r="AWF2" s="87"/>
      <c r="AWH2" s="87"/>
      <c r="AWJ2" s="87"/>
      <c r="AWL2" s="87"/>
      <c r="AWN2" s="87"/>
      <c r="AWP2" s="87"/>
      <c r="AWR2" s="87"/>
      <c r="AWT2" s="87"/>
      <c r="AWV2" s="87"/>
      <c r="AWX2" s="87"/>
      <c r="AWZ2" s="87"/>
      <c r="AXB2" s="87"/>
      <c r="AXD2" s="87"/>
      <c r="AXF2" s="87"/>
      <c r="AXH2" s="87"/>
      <c r="AXJ2" s="87"/>
      <c r="AXL2" s="87"/>
      <c r="AXN2" s="87"/>
      <c r="AXP2" s="87"/>
      <c r="AXR2" s="87"/>
      <c r="AXT2" s="87"/>
      <c r="AXV2" s="87"/>
      <c r="AXX2" s="87"/>
      <c r="AXZ2" s="87"/>
      <c r="AYB2" s="87"/>
      <c r="AYD2" s="87"/>
      <c r="AYF2" s="87"/>
      <c r="AYH2" s="87"/>
      <c r="AYJ2" s="87"/>
      <c r="AYL2" s="87"/>
      <c r="AYN2" s="87"/>
      <c r="AYP2" s="87"/>
      <c r="AYR2" s="87"/>
      <c r="AYT2" s="87"/>
      <c r="AYV2" s="87"/>
      <c r="AYX2" s="87"/>
      <c r="AYZ2" s="87"/>
      <c r="AZB2" s="87"/>
      <c r="AZD2" s="87"/>
      <c r="AZF2" s="87"/>
      <c r="AZH2" s="87"/>
      <c r="AZJ2" s="87"/>
      <c r="AZL2" s="87"/>
      <c r="AZN2" s="87"/>
      <c r="AZP2" s="87"/>
      <c r="AZR2" s="87"/>
      <c r="AZT2" s="87"/>
      <c r="AZV2" s="87"/>
      <c r="AZX2" s="87"/>
      <c r="AZZ2" s="87"/>
      <c r="BAB2" s="87"/>
      <c r="BAD2" s="87"/>
      <c r="BAF2" s="87"/>
      <c r="BAH2" s="87"/>
      <c r="BAJ2" s="87"/>
      <c r="BAL2" s="87"/>
      <c r="BAN2" s="87"/>
      <c r="BAP2" s="87"/>
      <c r="BAR2" s="87"/>
      <c r="BAT2" s="87"/>
      <c r="BAV2" s="87"/>
      <c r="BAX2" s="87"/>
      <c r="BAZ2" s="87"/>
      <c r="BBB2" s="87"/>
      <c r="BBD2" s="87"/>
      <c r="BBF2" s="87"/>
      <c r="BBH2" s="87"/>
      <c r="BBJ2" s="87"/>
      <c r="BBL2" s="87"/>
      <c r="BBN2" s="87"/>
      <c r="BBP2" s="87"/>
      <c r="BBR2" s="87"/>
      <c r="BBT2" s="87"/>
      <c r="BBV2" s="87"/>
      <c r="BBX2" s="87"/>
      <c r="BBZ2" s="87"/>
      <c r="BCB2" s="87"/>
      <c r="BCD2" s="87"/>
      <c r="BCF2" s="87"/>
      <c r="BCH2" s="87"/>
      <c r="BCJ2" s="87"/>
      <c r="BCL2" s="87"/>
      <c r="BCN2" s="87"/>
      <c r="BCP2" s="87"/>
      <c r="BCR2" s="87"/>
      <c r="BCT2" s="87"/>
      <c r="BCV2" s="87"/>
      <c r="BCX2" s="87"/>
      <c r="BCZ2" s="87"/>
      <c r="BDB2" s="87"/>
      <c r="BDD2" s="87"/>
      <c r="BDF2" s="87"/>
      <c r="BDH2" s="87"/>
      <c r="BDJ2" s="87"/>
      <c r="BDL2" s="87"/>
      <c r="BDN2" s="87"/>
      <c r="BDP2" s="87"/>
      <c r="BDR2" s="87"/>
      <c r="BDT2" s="87"/>
      <c r="BDV2" s="87"/>
      <c r="BDX2" s="87"/>
      <c r="BDZ2" s="87"/>
      <c r="BEB2" s="87"/>
      <c r="BED2" s="87"/>
      <c r="BEF2" s="87"/>
      <c r="BEH2" s="87"/>
      <c r="BEJ2" s="87"/>
      <c r="BEL2" s="87"/>
      <c r="BEN2" s="87"/>
      <c r="BEP2" s="87"/>
      <c r="BER2" s="87"/>
      <c r="BET2" s="87"/>
      <c r="BEV2" s="87"/>
      <c r="BEX2" s="87"/>
      <c r="BEZ2" s="87"/>
      <c r="BFB2" s="87"/>
      <c r="BFD2" s="87"/>
      <c r="BFF2" s="87"/>
      <c r="BFH2" s="87"/>
      <c r="BFJ2" s="87"/>
      <c r="BFL2" s="87"/>
      <c r="BFN2" s="87"/>
      <c r="BFP2" s="87"/>
      <c r="BFR2" s="87"/>
      <c r="BFT2" s="87"/>
      <c r="BFV2" s="87"/>
      <c r="BFX2" s="87"/>
      <c r="BFZ2" s="87"/>
      <c r="BGB2" s="87"/>
      <c r="BGD2" s="87"/>
      <c r="BGF2" s="87"/>
      <c r="BGH2" s="87"/>
      <c r="BGJ2" s="87"/>
      <c r="BGL2" s="87"/>
      <c r="BGN2" s="87"/>
      <c r="BGP2" s="87"/>
      <c r="BGR2" s="87"/>
      <c r="BGT2" s="87"/>
      <c r="BGV2" s="87"/>
      <c r="BGX2" s="87"/>
      <c r="BGZ2" s="87"/>
      <c r="BHB2" s="87"/>
      <c r="BHD2" s="87"/>
      <c r="BHF2" s="87"/>
      <c r="BHH2" s="87"/>
      <c r="BHJ2" s="87"/>
      <c r="BHL2" s="87"/>
      <c r="BHN2" s="87"/>
      <c r="BHP2" s="87"/>
      <c r="BHR2" s="87"/>
      <c r="BHT2" s="87"/>
      <c r="BHV2" s="87"/>
      <c r="BHX2" s="87"/>
      <c r="BHZ2" s="87"/>
      <c r="BIB2" s="87"/>
      <c r="BID2" s="87"/>
      <c r="BIF2" s="87"/>
      <c r="BIH2" s="87"/>
      <c r="BIJ2" s="87"/>
      <c r="BIL2" s="87"/>
      <c r="BIN2" s="87"/>
      <c r="BIP2" s="87"/>
      <c r="BIR2" s="87"/>
      <c r="BIT2" s="87"/>
      <c r="BIV2" s="87"/>
      <c r="BIX2" s="87"/>
      <c r="BIZ2" s="87"/>
      <c r="BJB2" s="87"/>
      <c r="BJD2" s="87"/>
      <c r="BJF2" s="87"/>
      <c r="BJH2" s="87"/>
      <c r="BJJ2" s="87"/>
      <c r="BJL2" s="87"/>
      <c r="BJN2" s="87"/>
      <c r="BJP2" s="87"/>
      <c r="BJR2" s="87"/>
      <c r="BJT2" s="87"/>
      <c r="BJV2" s="87"/>
      <c r="BJX2" s="87"/>
      <c r="BJZ2" s="87"/>
      <c r="BKB2" s="87"/>
      <c r="BKD2" s="87"/>
      <c r="BKF2" s="87"/>
      <c r="BKH2" s="87"/>
      <c r="BKJ2" s="87"/>
      <c r="BKL2" s="87"/>
      <c r="BKN2" s="87"/>
      <c r="BKP2" s="87"/>
      <c r="BKR2" s="87"/>
      <c r="BKT2" s="87"/>
      <c r="BKV2" s="87"/>
      <c r="BKX2" s="87"/>
      <c r="BKZ2" s="87"/>
      <c r="BLB2" s="87"/>
      <c r="BLD2" s="87"/>
      <c r="BLF2" s="87"/>
      <c r="BLH2" s="87"/>
      <c r="BLJ2" s="87"/>
      <c r="BLL2" s="87"/>
      <c r="BLN2" s="87"/>
      <c r="BLP2" s="87"/>
      <c r="BLR2" s="87"/>
      <c r="BLT2" s="87"/>
      <c r="BLV2" s="87"/>
      <c r="BLX2" s="87"/>
      <c r="BLZ2" s="87"/>
      <c r="BMB2" s="87"/>
      <c r="BMD2" s="87"/>
      <c r="BMF2" s="87"/>
      <c r="BMH2" s="87"/>
      <c r="BMJ2" s="87"/>
      <c r="BML2" s="87"/>
      <c r="BMN2" s="87"/>
      <c r="BMP2" s="87"/>
      <c r="BMR2" s="87"/>
      <c r="BMT2" s="87"/>
      <c r="BMV2" s="87"/>
      <c r="BMX2" s="87"/>
      <c r="BMZ2" s="87"/>
      <c r="BNB2" s="87"/>
      <c r="BND2" s="87"/>
      <c r="BNF2" s="87"/>
      <c r="BNH2" s="87"/>
      <c r="BNJ2" s="87"/>
      <c r="BNL2" s="87"/>
      <c r="BNN2" s="87"/>
      <c r="BNP2" s="87"/>
      <c r="BNR2" s="87"/>
      <c r="BNT2" s="87"/>
      <c r="BNV2" s="87"/>
      <c r="BNX2" s="87"/>
      <c r="BNZ2" s="87"/>
      <c r="BOB2" s="87"/>
      <c r="BOD2" s="87"/>
      <c r="BOF2" s="87"/>
      <c r="BOH2" s="87"/>
      <c r="BOJ2" s="87"/>
      <c r="BOL2" s="87"/>
      <c r="BON2" s="87"/>
      <c r="BOP2" s="87"/>
      <c r="BOR2" s="87"/>
      <c r="BOT2" s="87"/>
      <c r="BOV2" s="87"/>
      <c r="BOX2" s="87"/>
      <c r="BOZ2" s="87"/>
      <c r="BPB2" s="87"/>
      <c r="BPD2" s="87"/>
      <c r="BPF2" s="87"/>
      <c r="BPH2" s="87"/>
      <c r="BPJ2" s="87"/>
      <c r="BPL2" s="87"/>
      <c r="BPN2" s="87"/>
      <c r="BPP2" s="87"/>
      <c r="BPR2" s="87"/>
      <c r="BPT2" s="87"/>
      <c r="BPV2" s="87"/>
      <c r="BPX2" s="87"/>
      <c r="BPZ2" s="87"/>
      <c r="BQB2" s="87"/>
      <c r="BQD2" s="87"/>
      <c r="BQF2" s="87"/>
      <c r="BQH2" s="87"/>
      <c r="BQJ2" s="87"/>
      <c r="BQL2" s="87"/>
      <c r="BQN2" s="87"/>
      <c r="BQP2" s="87"/>
      <c r="BQR2" s="87"/>
      <c r="BQT2" s="87"/>
      <c r="BQV2" s="87"/>
      <c r="BQX2" s="87"/>
      <c r="BQZ2" s="87"/>
      <c r="BRB2" s="87"/>
      <c r="BRD2" s="87"/>
      <c r="BRF2" s="87"/>
      <c r="BRH2" s="87"/>
      <c r="BRJ2" s="87"/>
      <c r="BRL2" s="87"/>
      <c r="BRN2" s="87"/>
      <c r="BRP2" s="87"/>
      <c r="BRR2" s="87"/>
      <c r="BRT2" s="87"/>
      <c r="BRV2" s="87"/>
      <c r="BRX2" s="87"/>
      <c r="BRZ2" s="87"/>
      <c r="BSB2" s="87"/>
      <c r="BSD2" s="87"/>
      <c r="BSF2" s="87"/>
      <c r="BSH2" s="87"/>
      <c r="BSJ2" s="87"/>
      <c r="BSL2" s="87"/>
      <c r="BSN2" s="87"/>
      <c r="BSP2" s="87"/>
      <c r="BSR2" s="87"/>
      <c r="BST2" s="87"/>
      <c r="BSV2" s="87"/>
      <c r="BSX2" s="87"/>
      <c r="BSZ2" s="87"/>
      <c r="BTB2" s="87"/>
      <c r="BTD2" s="87"/>
      <c r="BTF2" s="87"/>
      <c r="BTH2" s="87"/>
      <c r="BTJ2" s="87"/>
      <c r="BTL2" s="87"/>
      <c r="BTN2" s="87"/>
      <c r="BTP2" s="87"/>
      <c r="BTR2" s="87"/>
      <c r="BTT2" s="87"/>
      <c r="BTV2" s="87"/>
      <c r="BTX2" s="87"/>
      <c r="BTZ2" s="87"/>
      <c r="BUB2" s="87"/>
      <c r="BUD2" s="87"/>
      <c r="BUF2" s="87"/>
      <c r="BUH2" s="87"/>
      <c r="BUJ2" s="87"/>
      <c r="BUL2" s="87"/>
      <c r="BUN2" s="87"/>
      <c r="BUP2" s="87"/>
      <c r="BUR2" s="87"/>
      <c r="BUT2" s="87"/>
      <c r="BUV2" s="87"/>
      <c r="BUX2" s="87"/>
      <c r="BUZ2" s="87"/>
      <c r="BVB2" s="87"/>
      <c r="BVD2" s="87"/>
      <c r="BVF2" s="87"/>
      <c r="BVH2" s="87"/>
      <c r="BVJ2" s="87"/>
      <c r="BVL2" s="87"/>
      <c r="BVN2" s="87"/>
      <c r="BVP2" s="87"/>
      <c r="BVR2" s="87"/>
      <c r="BVT2" s="87"/>
      <c r="BVV2" s="87"/>
      <c r="BVX2" s="87"/>
      <c r="BVZ2" s="87"/>
      <c r="BWB2" s="87"/>
      <c r="BWD2" s="87"/>
      <c r="BWF2" s="87"/>
      <c r="BWH2" s="87"/>
      <c r="BWJ2" s="87"/>
      <c r="BWL2" s="87"/>
      <c r="BWN2" s="87"/>
      <c r="BWP2" s="87"/>
      <c r="BWR2" s="87"/>
      <c r="BWT2" s="87"/>
      <c r="BWV2" s="87"/>
      <c r="BWX2" s="87"/>
      <c r="BWZ2" s="87"/>
      <c r="BXB2" s="87"/>
      <c r="BXD2" s="87"/>
      <c r="BXF2" s="87"/>
      <c r="BXH2" s="87"/>
      <c r="BXJ2" s="87"/>
      <c r="BXL2" s="87"/>
      <c r="BXN2" s="87"/>
      <c r="BXP2" s="87"/>
      <c r="BXR2" s="87"/>
      <c r="BXT2" s="87"/>
      <c r="BXV2" s="87"/>
      <c r="BXX2" s="87"/>
      <c r="BXZ2" s="87"/>
      <c r="BYB2" s="87"/>
      <c r="BYD2" s="87"/>
      <c r="BYF2" s="87"/>
      <c r="BYH2" s="87"/>
      <c r="BYJ2" s="87"/>
      <c r="BYL2" s="87"/>
      <c r="BYN2" s="87"/>
      <c r="BYP2" s="87"/>
      <c r="BYR2" s="87"/>
      <c r="BYT2" s="87"/>
      <c r="BYV2" s="87"/>
      <c r="BYX2" s="87"/>
      <c r="BYZ2" s="87"/>
      <c r="BZB2" s="87"/>
      <c r="BZD2" s="87"/>
      <c r="BZF2" s="87"/>
      <c r="BZH2" s="87"/>
      <c r="BZJ2" s="87"/>
      <c r="BZL2" s="87"/>
      <c r="BZN2" s="87"/>
      <c r="BZP2" s="87"/>
      <c r="BZR2" s="87"/>
      <c r="BZT2" s="87"/>
      <c r="BZV2" s="87"/>
      <c r="BZX2" s="87"/>
      <c r="BZZ2" s="87"/>
      <c r="CAB2" s="87"/>
      <c r="CAD2" s="87"/>
      <c r="CAF2" s="87"/>
      <c r="CAH2" s="87"/>
      <c r="CAJ2" s="87"/>
      <c r="CAL2" s="87"/>
      <c r="CAN2" s="87"/>
      <c r="CAP2" s="87"/>
      <c r="CAR2" s="87"/>
      <c r="CAT2" s="87"/>
      <c r="CAV2" s="87"/>
      <c r="CAX2" s="87"/>
      <c r="CAZ2" s="87"/>
      <c r="CBB2" s="87"/>
      <c r="CBD2" s="87"/>
      <c r="CBF2" s="87"/>
      <c r="CBH2" s="87"/>
      <c r="CBJ2" s="87"/>
      <c r="CBL2" s="87"/>
      <c r="CBN2" s="87"/>
      <c r="CBP2" s="87"/>
      <c r="CBR2" s="87"/>
      <c r="CBT2" s="87"/>
      <c r="CBV2" s="87"/>
      <c r="CBX2" s="87"/>
      <c r="CBZ2" s="87"/>
      <c r="CCB2" s="87"/>
      <c r="CCD2" s="87"/>
      <c r="CCF2" s="87"/>
      <c r="CCH2" s="87"/>
      <c r="CCJ2" s="87"/>
      <c r="CCL2" s="87"/>
      <c r="CCN2" s="87"/>
      <c r="CCP2" s="87"/>
      <c r="CCR2" s="87"/>
      <c r="CCT2" s="87"/>
      <c r="CCV2" s="87"/>
      <c r="CCX2" s="87"/>
      <c r="CCZ2" s="87"/>
      <c r="CDB2" s="87"/>
      <c r="CDD2" s="87"/>
      <c r="CDF2" s="87"/>
      <c r="CDH2" s="87"/>
      <c r="CDJ2" s="87"/>
      <c r="CDL2" s="87"/>
      <c r="CDN2" s="87"/>
      <c r="CDP2" s="87"/>
      <c r="CDR2" s="87"/>
      <c r="CDT2" s="87"/>
      <c r="CDV2" s="87"/>
      <c r="CDX2" s="87"/>
      <c r="CDZ2" s="87"/>
      <c r="CEB2" s="87"/>
      <c r="CED2" s="87"/>
      <c r="CEF2" s="87"/>
      <c r="CEH2" s="87"/>
      <c r="CEJ2" s="87"/>
      <c r="CEL2" s="87"/>
      <c r="CEN2" s="87"/>
      <c r="CEP2" s="87"/>
      <c r="CER2" s="87"/>
      <c r="CET2" s="87"/>
      <c r="CEV2" s="87"/>
      <c r="CEX2" s="87"/>
      <c r="CEZ2" s="87"/>
      <c r="CFB2" s="87"/>
      <c r="CFD2" s="87"/>
      <c r="CFF2" s="87"/>
      <c r="CFH2" s="87"/>
      <c r="CFJ2" s="87"/>
      <c r="CFL2" s="87"/>
      <c r="CFN2" s="87"/>
      <c r="CFP2" s="87"/>
      <c r="CFR2" s="87"/>
      <c r="CFT2" s="87"/>
      <c r="CFV2" s="87"/>
      <c r="CFX2" s="87"/>
      <c r="CFZ2" s="87"/>
      <c r="CGB2" s="87"/>
      <c r="CGD2" s="87"/>
      <c r="CGF2" s="87"/>
      <c r="CGH2" s="87"/>
      <c r="CGJ2" s="87"/>
      <c r="CGL2" s="87"/>
      <c r="CGN2" s="87"/>
      <c r="CGP2" s="87"/>
      <c r="CGR2" s="87"/>
      <c r="CGT2" s="87"/>
      <c r="CGV2" s="87"/>
      <c r="CGX2" s="87"/>
      <c r="CGZ2" s="87"/>
      <c r="CHB2" s="87"/>
      <c r="CHD2" s="87"/>
      <c r="CHF2" s="87"/>
      <c r="CHH2" s="87"/>
      <c r="CHJ2" s="87"/>
      <c r="CHL2" s="87"/>
      <c r="CHN2" s="87"/>
      <c r="CHP2" s="87"/>
      <c r="CHR2" s="87"/>
      <c r="CHT2" s="87"/>
      <c r="CHV2" s="87"/>
      <c r="CHX2" s="87"/>
      <c r="CHZ2" s="87"/>
      <c r="CIB2" s="87"/>
      <c r="CID2" s="87"/>
      <c r="CIF2" s="87"/>
      <c r="CIH2" s="87"/>
      <c r="CIJ2" s="87"/>
      <c r="CIL2" s="87"/>
      <c r="CIN2" s="87"/>
      <c r="CIP2" s="87"/>
      <c r="CIR2" s="87"/>
      <c r="CIT2" s="87"/>
      <c r="CIV2" s="87"/>
      <c r="CIX2" s="87"/>
      <c r="CIZ2" s="87"/>
      <c r="CJB2" s="87"/>
      <c r="CJD2" s="87"/>
      <c r="CJF2" s="87"/>
      <c r="CJH2" s="87"/>
      <c r="CJJ2" s="87"/>
      <c r="CJL2" s="87"/>
      <c r="CJN2" s="87"/>
      <c r="CJP2" s="87"/>
      <c r="CJR2" s="87"/>
      <c r="CJT2" s="87"/>
      <c r="CJV2" s="87"/>
      <c r="CJX2" s="87"/>
      <c r="CJZ2" s="87"/>
      <c r="CKB2" s="87"/>
      <c r="CKD2" s="87"/>
      <c r="CKF2" s="87"/>
      <c r="CKH2" s="87"/>
      <c r="CKJ2" s="87"/>
      <c r="CKL2" s="87"/>
      <c r="CKN2" s="87"/>
      <c r="CKP2" s="87"/>
      <c r="CKR2" s="87"/>
      <c r="CKT2" s="87"/>
      <c r="CKV2" s="87"/>
      <c r="CKX2" s="87"/>
      <c r="CKZ2" s="87"/>
      <c r="CLB2" s="87"/>
      <c r="CLD2" s="87"/>
      <c r="CLF2" s="87"/>
      <c r="CLH2" s="87"/>
      <c r="CLJ2" s="87"/>
      <c r="CLL2" s="87"/>
      <c r="CLN2" s="87"/>
      <c r="CLP2" s="87"/>
      <c r="CLR2" s="87"/>
      <c r="CLT2" s="87"/>
      <c r="CLV2" s="87"/>
      <c r="CLX2" s="87"/>
      <c r="CLZ2" s="87"/>
      <c r="CMB2" s="87"/>
      <c r="CMD2" s="87"/>
      <c r="CMF2" s="87"/>
      <c r="CMH2" s="87"/>
      <c r="CMJ2" s="87"/>
      <c r="CML2" s="87"/>
      <c r="CMN2" s="87"/>
      <c r="CMP2" s="87"/>
      <c r="CMR2" s="87"/>
      <c r="CMT2" s="87"/>
      <c r="CMV2" s="87"/>
      <c r="CMX2" s="87"/>
      <c r="CMZ2" s="87"/>
      <c r="CNB2" s="87"/>
      <c r="CND2" s="87"/>
      <c r="CNF2" s="87"/>
      <c r="CNH2" s="87"/>
      <c r="CNJ2" s="87"/>
      <c r="CNL2" s="87"/>
      <c r="CNN2" s="87"/>
      <c r="CNP2" s="87"/>
      <c r="CNR2" s="87"/>
      <c r="CNT2" s="87"/>
      <c r="CNV2" s="87"/>
      <c r="CNX2" s="87"/>
      <c r="CNZ2" s="87"/>
      <c r="COB2" s="87"/>
      <c r="COD2" s="87"/>
      <c r="COF2" s="87"/>
      <c r="COH2" s="87"/>
      <c r="COJ2" s="87"/>
      <c r="COL2" s="87"/>
      <c r="CON2" s="87"/>
      <c r="COP2" s="87"/>
      <c r="COR2" s="87"/>
      <c r="COT2" s="87"/>
      <c r="COV2" s="87"/>
      <c r="COX2" s="87"/>
      <c r="COZ2" s="87"/>
      <c r="CPB2" s="87"/>
      <c r="CPD2" s="87"/>
      <c r="CPF2" s="87"/>
      <c r="CPH2" s="87"/>
      <c r="CPJ2" s="87"/>
      <c r="CPL2" s="87"/>
      <c r="CPN2" s="87"/>
      <c r="CPP2" s="87"/>
      <c r="CPR2" s="87"/>
      <c r="CPT2" s="87"/>
      <c r="CPV2" s="87"/>
      <c r="CPX2" s="87"/>
      <c r="CPZ2" s="87"/>
      <c r="CQB2" s="87"/>
      <c r="CQD2" s="87"/>
      <c r="CQF2" s="87"/>
      <c r="CQH2" s="87"/>
      <c r="CQJ2" s="87"/>
      <c r="CQL2" s="87"/>
      <c r="CQN2" s="87"/>
      <c r="CQP2" s="87"/>
      <c r="CQR2" s="87"/>
      <c r="CQT2" s="87"/>
      <c r="CQV2" s="87"/>
      <c r="CQX2" s="87"/>
      <c r="CQZ2" s="87"/>
      <c r="CRB2" s="87"/>
      <c r="CRD2" s="87"/>
      <c r="CRF2" s="87"/>
      <c r="CRH2" s="87"/>
      <c r="CRJ2" s="87"/>
      <c r="CRL2" s="87"/>
      <c r="CRN2" s="87"/>
      <c r="CRP2" s="87"/>
      <c r="CRR2" s="87"/>
      <c r="CRT2" s="87"/>
      <c r="CRV2" s="87"/>
      <c r="CRX2" s="87"/>
      <c r="CRZ2" s="87"/>
      <c r="CSB2" s="87"/>
      <c r="CSD2" s="87"/>
      <c r="CSF2" s="87"/>
      <c r="CSH2" s="87"/>
      <c r="CSJ2" s="87"/>
      <c r="CSL2" s="87"/>
      <c r="CSN2" s="87"/>
      <c r="CSP2" s="87"/>
      <c r="CSR2" s="87"/>
      <c r="CST2" s="87"/>
      <c r="CSV2" s="87"/>
      <c r="CSX2" s="87"/>
      <c r="CSZ2" s="87"/>
      <c r="CTB2" s="87"/>
      <c r="CTD2" s="87"/>
      <c r="CTF2" s="87"/>
      <c r="CTH2" s="87"/>
      <c r="CTJ2" s="87"/>
      <c r="CTL2" s="87"/>
      <c r="CTN2" s="87"/>
      <c r="CTP2" s="87"/>
      <c r="CTR2" s="87"/>
      <c r="CTT2" s="87"/>
      <c r="CTV2" s="87"/>
      <c r="CTX2" s="87"/>
      <c r="CTZ2" s="87"/>
      <c r="CUB2" s="87"/>
      <c r="CUD2" s="87"/>
      <c r="CUF2" s="87"/>
      <c r="CUH2" s="87"/>
      <c r="CUJ2" s="87"/>
      <c r="CUL2" s="87"/>
      <c r="CUN2" s="87"/>
      <c r="CUP2" s="87"/>
      <c r="CUR2" s="87"/>
      <c r="CUT2" s="87"/>
      <c r="CUV2" s="87"/>
      <c r="CUX2" s="87"/>
      <c r="CUZ2" s="87"/>
      <c r="CVB2" s="87"/>
      <c r="CVD2" s="87"/>
      <c r="CVF2" s="87"/>
      <c r="CVH2" s="87"/>
      <c r="CVJ2" s="87"/>
      <c r="CVL2" s="87"/>
      <c r="CVN2" s="87"/>
      <c r="CVP2" s="87"/>
      <c r="CVR2" s="87"/>
      <c r="CVT2" s="87"/>
      <c r="CVV2" s="87"/>
      <c r="CVX2" s="87"/>
      <c r="CVZ2" s="87"/>
      <c r="CWB2" s="87"/>
      <c r="CWD2" s="87"/>
      <c r="CWF2" s="87"/>
      <c r="CWH2" s="87"/>
      <c r="CWJ2" s="87"/>
      <c r="CWL2" s="87"/>
      <c r="CWN2" s="87"/>
      <c r="CWP2" s="87"/>
      <c r="CWR2" s="87"/>
      <c r="CWT2" s="87"/>
      <c r="CWV2" s="87"/>
      <c r="CWX2" s="87"/>
      <c r="CWZ2" s="87"/>
      <c r="CXB2" s="87"/>
      <c r="CXD2" s="87"/>
      <c r="CXF2" s="87"/>
      <c r="CXH2" s="87"/>
      <c r="CXJ2" s="87"/>
      <c r="CXL2" s="87"/>
      <c r="CXN2" s="87"/>
      <c r="CXP2" s="87"/>
      <c r="CXR2" s="87"/>
      <c r="CXT2" s="87"/>
      <c r="CXV2" s="87"/>
      <c r="CXX2" s="87"/>
      <c r="CXZ2" s="87"/>
      <c r="CYB2" s="87"/>
      <c r="CYD2" s="87"/>
      <c r="CYF2" s="87"/>
      <c r="CYH2" s="87"/>
      <c r="CYJ2" s="87"/>
      <c r="CYL2" s="87"/>
      <c r="CYN2" s="87"/>
      <c r="CYP2" s="87"/>
      <c r="CYR2" s="87"/>
      <c r="CYT2" s="87"/>
      <c r="CYV2" s="87"/>
      <c r="CYX2" s="87"/>
      <c r="CYZ2" s="87"/>
      <c r="CZB2" s="87"/>
      <c r="CZD2" s="87"/>
      <c r="CZF2" s="87"/>
      <c r="CZH2" s="87"/>
      <c r="CZJ2" s="87"/>
      <c r="CZL2" s="87"/>
      <c r="CZN2" s="87"/>
      <c r="CZP2" s="87"/>
      <c r="CZR2" s="87"/>
      <c r="CZT2" s="87"/>
      <c r="CZV2" s="87"/>
      <c r="CZX2" s="87"/>
      <c r="CZZ2" s="87"/>
      <c r="DAB2" s="87"/>
      <c r="DAD2" s="87"/>
      <c r="DAF2" s="87"/>
      <c r="DAH2" s="87"/>
      <c r="DAJ2" s="87"/>
      <c r="DAL2" s="87"/>
      <c r="DAN2" s="87"/>
      <c r="DAP2" s="87"/>
      <c r="DAR2" s="87"/>
      <c r="DAT2" s="87"/>
      <c r="DAV2" s="87"/>
      <c r="DAX2" s="87"/>
      <c r="DAZ2" s="87"/>
      <c r="DBB2" s="87"/>
      <c r="DBD2" s="87"/>
      <c r="DBF2" s="87"/>
      <c r="DBH2" s="87"/>
      <c r="DBJ2" s="87"/>
      <c r="DBL2" s="87"/>
      <c r="DBN2" s="87"/>
      <c r="DBP2" s="87"/>
      <c r="DBR2" s="87"/>
      <c r="DBT2" s="87"/>
      <c r="DBV2" s="87"/>
      <c r="DBX2" s="87"/>
      <c r="DBZ2" s="87"/>
      <c r="DCB2" s="87"/>
      <c r="DCD2" s="87"/>
      <c r="DCF2" s="87"/>
      <c r="DCH2" s="87"/>
      <c r="DCJ2" s="87"/>
      <c r="DCL2" s="87"/>
      <c r="DCN2" s="87"/>
      <c r="DCP2" s="87"/>
      <c r="DCR2" s="87"/>
      <c r="DCT2" s="87"/>
      <c r="DCV2" s="87"/>
      <c r="DCX2" s="87"/>
      <c r="DCZ2" s="87"/>
      <c r="DDB2" s="87"/>
      <c r="DDD2" s="87"/>
      <c r="DDF2" s="87"/>
      <c r="DDH2" s="87"/>
      <c r="DDJ2" s="87"/>
      <c r="DDL2" s="87"/>
      <c r="DDN2" s="87"/>
      <c r="DDP2" s="87"/>
      <c r="DDR2" s="87"/>
      <c r="DDT2" s="87"/>
      <c r="DDV2" s="87"/>
      <c r="DDX2" s="87"/>
      <c r="DDZ2" s="87"/>
      <c r="DEB2" s="87"/>
      <c r="DED2" s="87"/>
      <c r="DEF2" s="87"/>
      <c r="DEH2" s="87"/>
      <c r="DEJ2" s="87"/>
      <c r="DEL2" s="87"/>
      <c r="DEN2" s="87"/>
      <c r="DEP2" s="87"/>
      <c r="DER2" s="87"/>
      <c r="DET2" s="87"/>
      <c r="DEV2" s="87"/>
      <c r="DEX2" s="87"/>
      <c r="DEZ2" s="87"/>
      <c r="DFB2" s="87"/>
      <c r="DFD2" s="87"/>
      <c r="DFF2" s="87"/>
      <c r="DFH2" s="87"/>
      <c r="DFJ2" s="87"/>
      <c r="DFL2" s="87"/>
      <c r="DFN2" s="87"/>
      <c r="DFP2" s="87"/>
      <c r="DFR2" s="87"/>
      <c r="DFT2" s="87"/>
      <c r="DFV2" s="87"/>
      <c r="DFX2" s="87"/>
      <c r="DFZ2" s="87"/>
      <c r="DGB2" s="87"/>
      <c r="DGD2" s="87"/>
      <c r="DGF2" s="87"/>
      <c r="DGH2" s="87"/>
      <c r="DGJ2" s="87"/>
      <c r="DGL2" s="87"/>
      <c r="DGN2" s="87"/>
      <c r="DGP2" s="87"/>
      <c r="DGR2" s="87"/>
      <c r="DGT2" s="87"/>
      <c r="DGV2" s="87"/>
      <c r="DGX2" s="87"/>
      <c r="DGZ2" s="87"/>
      <c r="DHB2" s="87"/>
      <c r="DHD2" s="87"/>
      <c r="DHF2" s="87"/>
      <c r="DHH2" s="87"/>
      <c r="DHJ2" s="87"/>
      <c r="DHL2" s="87"/>
      <c r="DHN2" s="87"/>
      <c r="DHP2" s="87"/>
      <c r="DHR2" s="87"/>
      <c r="DHT2" s="87"/>
      <c r="DHV2" s="87"/>
      <c r="DHX2" s="87"/>
      <c r="DHZ2" s="87"/>
      <c r="DIB2" s="87"/>
      <c r="DID2" s="87"/>
      <c r="DIF2" s="87"/>
      <c r="DIH2" s="87"/>
      <c r="DIJ2" s="87"/>
      <c r="DIL2" s="87"/>
      <c r="DIN2" s="87"/>
      <c r="DIP2" s="87"/>
      <c r="DIR2" s="87"/>
      <c r="DIT2" s="87"/>
      <c r="DIV2" s="87"/>
      <c r="DIX2" s="87"/>
      <c r="DIZ2" s="87"/>
      <c r="DJB2" s="87"/>
      <c r="DJD2" s="87"/>
      <c r="DJF2" s="87"/>
      <c r="DJH2" s="87"/>
      <c r="DJJ2" s="87"/>
      <c r="DJL2" s="87"/>
      <c r="DJN2" s="87"/>
      <c r="DJP2" s="87"/>
      <c r="DJR2" s="87"/>
      <c r="DJT2" s="87"/>
      <c r="DJV2" s="87"/>
      <c r="DJX2" s="87"/>
      <c r="DJZ2" s="87"/>
      <c r="DKB2" s="87"/>
      <c r="DKD2" s="87"/>
      <c r="DKF2" s="87"/>
      <c r="DKH2" s="87"/>
      <c r="DKJ2" s="87"/>
      <c r="DKL2" s="87"/>
      <c r="DKN2" s="87"/>
      <c r="DKP2" s="87"/>
      <c r="DKR2" s="87"/>
      <c r="DKT2" s="87"/>
      <c r="DKV2" s="87"/>
      <c r="DKX2" s="87"/>
      <c r="DKZ2" s="87"/>
      <c r="DLB2" s="87"/>
      <c r="DLD2" s="87"/>
      <c r="DLF2" s="87"/>
      <c r="DLH2" s="87"/>
      <c r="DLJ2" s="87"/>
      <c r="DLL2" s="87"/>
      <c r="DLN2" s="87"/>
      <c r="DLP2" s="87"/>
      <c r="DLR2" s="87"/>
      <c r="DLT2" s="87"/>
      <c r="DLV2" s="87"/>
      <c r="DLX2" s="87"/>
      <c r="DLZ2" s="87"/>
      <c r="DMB2" s="87"/>
      <c r="DMD2" s="87"/>
      <c r="DMF2" s="87"/>
      <c r="DMH2" s="87"/>
      <c r="DMJ2" s="87"/>
      <c r="DML2" s="87"/>
      <c r="DMN2" s="87"/>
      <c r="DMP2" s="87"/>
      <c r="DMR2" s="87"/>
      <c r="DMT2" s="87"/>
      <c r="DMV2" s="87"/>
      <c r="DMX2" s="87"/>
      <c r="DMZ2" s="87"/>
      <c r="DNB2" s="87"/>
      <c r="DND2" s="87"/>
      <c r="DNF2" s="87"/>
      <c r="DNH2" s="87"/>
      <c r="DNJ2" s="87"/>
      <c r="DNL2" s="87"/>
      <c r="DNN2" s="87"/>
      <c r="DNP2" s="87"/>
      <c r="DNR2" s="87"/>
      <c r="DNT2" s="87"/>
      <c r="DNV2" s="87"/>
      <c r="DNX2" s="87"/>
      <c r="DNZ2" s="87"/>
      <c r="DOB2" s="87"/>
      <c r="DOD2" s="87"/>
      <c r="DOF2" s="87"/>
      <c r="DOH2" s="87"/>
      <c r="DOJ2" s="87"/>
      <c r="DOL2" s="87"/>
      <c r="DON2" s="87"/>
      <c r="DOP2" s="87"/>
      <c r="DOR2" s="87"/>
      <c r="DOT2" s="87"/>
      <c r="DOV2" s="87"/>
      <c r="DOX2" s="87"/>
      <c r="DOZ2" s="87"/>
      <c r="DPB2" s="87"/>
      <c r="DPD2" s="87"/>
      <c r="DPF2" s="87"/>
      <c r="DPH2" s="87"/>
      <c r="DPJ2" s="87"/>
      <c r="DPL2" s="87"/>
      <c r="DPN2" s="87"/>
      <c r="DPP2" s="87"/>
      <c r="DPR2" s="87"/>
      <c r="DPT2" s="87"/>
      <c r="DPV2" s="87"/>
      <c r="DPX2" s="87"/>
      <c r="DPZ2" s="87"/>
      <c r="DQB2" s="87"/>
      <c r="DQD2" s="87"/>
      <c r="DQF2" s="87"/>
      <c r="DQH2" s="87"/>
      <c r="DQJ2" s="87"/>
      <c r="DQL2" s="87"/>
      <c r="DQN2" s="87"/>
      <c r="DQP2" s="87"/>
      <c r="DQR2" s="87"/>
      <c r="DQT2" s="87"/>
      <c r="DQV2" s="87"/>
      <c r="DQX2" s="87"/>
      <c r="DQZ2" s="87"/>
      <c r="DRB2" s="87"/>
      <c r="DRD2" s="87"/>
      <c r="DRF2" s="87"/>
      <c r="DRH2" s="87"/>
      <c r="DRJ2" s="87"/>
      <c r="DRL2" s="87"/>
      <c r="DRN2" s="87"/>
      <c r="DRP2" s="87"/>
      <c r="DRR2" s="87"/>
      <c r="DRT2" s="87"/>
      <c r="DRV2" s="87"/>
      <c r="DRX2" s="87"/>
      <c r="DRZ2" s="87"/>
      <c r="DSB2" s="87"/>
      <c r="DSD2" s="87"/>
      <c r="DSF2" s="87"/>
      <c r="DSH2" s="87"/>
      <c r="DSJ2" s="87"/>
      <c r="DSL2" s="87"/>
      <c r="DSN2" s="87"/>
      <c r="DSP2" s="87"/>
      <c r="DSR2" s="87"/>
      <c r="DST2" s="87"/>
      <c r="DSV2" s="87"/>
      <c r="DSX2" s="87"/>
      <c r="DSZ2" s="87"/>
      <c r="DTB2" s="87"/>
      <c r="DTD2" s="87"/>
      <c r="DTF2" s="87"/>
      <c r="DTH2" s="87"/>
      <c r="DTJ2" s="87"/>
      <c r="DTL2" s="87"/>
      <c r="DTN2" s="87"/>
      <c r="DTP2" s="87"/>
      <c r="DTR2" s="87"/>
      <c r="DTT2" s="87"/>
      <c r="DTV2" s="87"/>
      <c r="DTX2" s="87"/>
      <c r="DTZ2" s="87"/>
      <c r="DUB2" s="87"/>
      <c r="DUD2" s="87"/>
      <c r="DUF2" s="87"/>
      <c r="DUH2" s="87"/>
      <c r="DUJ2" s="87"/>
      <c r="DUL2" s="87"/>
      <c r="DUN2" s="87"/>
      <c r="DUP2" s="87"/>
      <c r="DUR2" s="87"/>
      <c r="DUT2" s="87"/>
      <c r="DUV2" s="87"/>
      <c r="DUX2" s="87"/>
      <c r="DUZ2" s="87"/>
      <c r="DVB2" s="87"/>
      <c r="DVD2" s="87"/>
      <c r="DVF2" s="87"/>
      <c r="DVH2" s="87"/>
      <c r="DVJ2" s="87"/>
      <c r="DVL2" s="87"/>
      <c r="DVN2" s="87"/>
      <c r="DVP2" s="87"/>
      <c r="DVR2" s="87"/>
      <c r="DVT2" s="87"/>
      <c r="DVV2" s="87"/>
      <c r="DVX2" s="87"/>
      <c r="DVZ2" s="87"/>
      <c r="DWB2" s="87"/>
      <c r="DWD2" s="87"/>
      <c r="DWF2" s="87"/>
      <c r="DWH2" s="87"/>
      <c r="DWJ2" s="87"/>
      <c r="DWL2" s="87"/>
      <c r="DWN2" s="87"/>
      <c r="DWP2" s="87"/>
      <c r="DWR2" s="87"/>
      <c r="DWT2" s="87"/>
      <c r="DWV2" s="87"/>
      <c r="DWX2" s="87"/>
      <c r="DWZ2" s="87"/>
      <c r="DXB2" s="87"/>
      <c r="DXD2" s="87"/>
      <c r="DXF2" s="87"/>
      <c r="DXH2" s="87"/>
      <c r="DXJ2" s="87"/>
      <c r="DXL2" s="87"/>
      <c r="DXN2" s="87"/>
      <c r="DXP2" s="87"/>
      <c r="DXR2" s="87"/>
      <c r="DXT2" s="87"/>
      <c r="DXV2" s="87"/>
      <c r="DXX2" s="87"/>
      <c r="DXZ2" s="87"/>
      <c r="DYB2" s="87"/>
      <c r="DYD2" s="87"/>
      <c r="DYF2" s="87"/>
      <c r="DYH2" s="87"/>
      <c r="DYJ2" s="87"/>
      <c r="DYL2" s="87"/>
      <c r="DYN2" s="87"/>
      <c r="DYP2" s="87"/>
      <c r="DYR2" s="87"/>
      <c r="DYT2" s="87"/>
      <c r="DYV2" s="87"/>
      <c r="DYX2" s="87"/>
      <c r="DYZ2" s="87"/>
      <c r="DZB2" s="87"/>
      <c r="DZD2" s="87"/>
      <c r="DZF2" s="87"/>
      <c r="DZH2" s="87"/>
      <c r="DZJ2" s="87"/>
      <c r="DZL2" s="87"/>
      <c r="DZN2" s="87"/>
      <c r="DZP2" s="87"/>
      <c r="DZR2" s="87"/>
      <c r="DZT2" s="87"/>
      <c r="DZV2" s="87"/>
      <c r="DZX2" s="87"/>
      <c r="DZZ2" s="87"/>
      <c r="EAB2" s="87"/>
      <c r="EAD2" s="87"/>
      <c r="EAF2" s="87"/>
      <c r="EAH2" s="87"/>
      <c r="EAJ2" s="87"/>
      <c r="EAL2" s="87"/>
      <c r="EAN2" s="87"/>
      <c r="EAP2" s="87"/>
      <c r="EAR2" s="87"/>
      <c r="EAT2" s="87"/>
      <c r="EAV2" s="87"/>
      <c r="EAX2" s="87"/>
      <c r="EAZ2" s="87"/>
      <c r="EBB2" s="87"/>
      <c r="EBD2" s="87"/>
      <c r="EBF2" s="87"/>
      <c r="EBH2" s="87"/>
      <c r="EBJ2" s="87"/>
      <c r="EBL2" s="87"/>
      <c r="EBN2" s="87"/>
      <c r="EBP2" s="87"/>
      <c r="EBR2" s="87"/>
      <c r="EBT2" s="87"/>
      <c r="EBV2" s="87"/>
      <c r="EBX2" s="87"/>
      <c r="EBZ2" s="87"/>
      <c r="ECB2" s="87"/>
      <c r="ECD2" s="87"/>
      <c r="ECF2" s="87"/>
      <c r="ECH2" s="87"/>
      <c r="ECJ2" s="87"/>
      <c r="ECL2" s="87"/>
      <c r="ECN2" s="87"/>
      <c r="ECP2" s="87"/>
      <c r="ECR2" s="87"/>
      <c r="ECT2" s="87"/>
      <c r="ECV2" s="87"/>
      <c r="ECX2" s="87"/>
      <c r="ECZ2" s="87"/>
      <c r="EDB2" s="87"/>
      <c r="EDD2" s="87"/>
      <c r="EDF2" s="87"/>
      <c r="EDH2" s="87"/>
      <c r="EDJ2" s="87"/>
      <c r="EDL2" s="87"/>
      <c r="EDN2" s="87"/>
      <c r="EDP2" s="87"/>
      <c r="EDR2" s="87"/>
      <c r="EDT2" s="87"/>
      <c r="EDV2" s="87"/>
      <c r="EDX2" s="87"/>
      <c r="EDZ2" s="87"/>
      <c r="EEB2" s="87"/>
      <c r="EED2" s="87"/>
      <c r="EEF2" s="87"/>
      <c r="EEH2" s="87"/>
      <c r="EEJ2" s="87"/>
      <c r="EEL2" s="87"/>
      <c r="EEN2" s="87"/>
      <c r="EEP2" s="87"/>
      <c r="EER2" s="87"/>
      <c r="EET2" s="87"/>
      <c r="EEV2" s="87"/>
      <c r="EEX2" s="87"/>
      <c r="EEZ2" s="87"/>
      <c r="EFB2" s="87"/>
      <c r="EFD2" s="87"/>
      <c r="EFF2" s="87"/>
      <c r="EFH2" s="87"/>
      <c r="EFJ2" s="87"/>
      <c r="EFL2" s="87"/>
      <c r="EFN2" s="87"/>
      <c r="EFP2" s="87"/>
      <c r="EFR2" s="87"/>
      <c r="EFT2" s="87"/>
      <c r="EFV2" s="87"/>
      <c r="EFX2" s="87"/>
      <c r="EFZ2" s="87"/>
      <c r="EGB2" s="87"/>
      <c r="EGD2" s="87"/>
      <c r="EGF2" s="87"/>
      <c r="EGH2" s="87"/>
      <c r="EGJ2" s="87"/>
      <c r="EGL2" s="87"/>
      <c r="EGN2" s="87"/>
      <c r="EGP2" s="87"/>
      <c r="EGR2" s="87"/>
      <c r="EGT2" s="87"/>
      <c r="EGV2" s="87"/>
      <c r="EGX2" s="87"/>
      <c r="EGZ2" s="87"/>
      <c r="EHB2" s="87"/>
      <c r="EHD2" s="87"/>
      <c r="EHF2" s="87"/>
      <c r="EHH2" s="87"/>
      <c r="EHJ2" s="87"/>
      <c r="EHL2" s="87"/>
      <c r="EHN2" s="87"/>
      <c r="EHP2" s="87"/>
      <c r="EHR2" s="87"/>
      <c r="EHT2" s="87"/>
      <c r="EHV2" s="87"/>
      <c r="EHX2" s="87"/>
      <c r="EHZ2" s="87"/>
      <c r="EIB2" s="87"/>
      <c r="EID2" s="87"/>
      <c r="EIF2" s="87"/>
      <c r="EIH2" s="87"/>
      <c r="EIJ2" s="87"/>
      <c r="EIL2" s="87"/>
      <c r="EIN2" s="87"/>
      <c r="EIP2" s="87"/>
      <c r="EIR2" s="87"/>
      <c r="EIT2" s="87"/>
      <c r="EIV2" s="87"/>
      <c r="EIX2" s="87"/>
      <c r="EIZ2" s="87"/>
      <c r="EJB2" s="87"/>
      <c r="EJD2" s="87"/>
      <c r="EJF2" s="87"/>
      <c r="EJH2" s="87"/>
      <c r="EJJ2" s="87"/>
      <c r="EJL2" s="87"/>
      <c r="EJN2" s="87"/>
      <c r="EJP2" s="87"/>
      <c r="EJR2" s="87"/>
      <c r="EJT2" s="87"/>
      <c r="EJV2" s="87"/>
      <c r="EJX2" s="87"/>
      <c r="EJZ2" s="87"/>
      <c r="EKB2" s="87"/>
      <c r="EKD2" s="87"/>
      <c r="EKF2" s="87"/>
      <c r="EKH2" s="87"/>
      <c r="EKJ2" s="87"/>
      <c r="EKL2" s="87"/>
      <c r="EKN2" s="87"/>
      <c r="EKP2" s="87"/>
      <c r="EKR2" s="87"/>
      <c r="EKT2" s="87"/>
      <c r="EKV2" s="87"/>
      <c r="EKX2" s="87"/>
      <c r="EKZ2" s="87"/>
      <c r="ELB2" s="87"/>
      <c r="ELD2" s="87"/>
      <c r="ELF2" s="87"/>
      <c r="ELH2" s="87"/>
      <c r="ELJ2" s="87"/>
      <c r="ELL2" s="87"/>
      <c r="ELN2" s="87"/>
      <c r="ELP2" s="87"/>
      <c r="ELR2" s="87"/>
      <c r="ELT2" s="87"/>
      <c r="ELV2" s="87"/>
      <c r="ELX2" s="87"/>
      <c r="ELZ2" s="87"/>
      <c r="EMB2" s="87"/>
      <c r="EMD2" s="87"/>
      <c r="EMF2" s="87"/>
      <c r="EMH2" s="87"/>
      <c r="EMJ2" s="87"/>
      <c r="EML2" s="87"/>
      <c r="EMN2" s="87"/>
      <c r="EMP2" s="87"/>
      <c r="EMR2" s="87"/>
      <c r="EMT2" s="87"/>
      <c r="EMV2" s="87"/>
      <c r="EMX2" s="87"/>
      <c r="EMZ2" s="87"/>
      <c r="ENB2" s="87"/>
      <c r="END2" s="87"/>
      <c r="ENF2" s="87"/>
      <c r="ENH2" s="87"/>
      <c r="ENJ2" s="87"/>
      <c r="ENL2" s="87"/>
      <c r="ENN2" s="87"/>
      <c r="ENP2" s="87"/>
      <c r="ENR2" s="87"/>
      <c r="ENT2" s="87"/>
      <c r="ENV2" s="87"/>
      <c r="ENX2" s="87"/>
      <c r="ENZ2" s="87"/>
      <c r="EOB2" s="87"/>
      <c r="EOD2" s="87"/>
      <c r="EOF2" s="87"/>
      <c r="EOH2" s="87"/>
      <c r="EOJ2" s="87"/>
      <c r="EOL2" s="87"/>
      <c r="EON2" s="87"/>
      <c r="EOP2" s="87"/>
      <c r="EOR2" s="87"/>
      <c r="EOT2" s="87"/>
      <c r="EOV2" s="87"/>
      <c r="EOX2" s="87"/>
      <c r="EOZ2" s="87"/>
      <c r="EPB2" s="87"/>
      <c r="EPD2" s="87"/>
      <c r="EPF2" s="87"/>
      <c r="EPH2" s="87"/>
      <c r="EPJ2" s="87"/>
      <c r="EPL2" s="87"/>
      <c r="EPN2" s="87"/>
      <c r="EPP2" s="87"/>
      <c r="EPR2" s="87"/>
      <c r="EPT2" s="87"/>
      <c r="EPV2" s="87"/>
      <c r="EPX2" s="87"/>
      <c r="EPZ2" s="87"/>
      <c r="EQB2" s="87"/>
      <c r="EQD2" s="87"/>
      <c r="EQF2" s="87"/>
      <c r="EQH2" s="87"/>
      <c r="EQJ2" s="87"/>
      <c r="EQL2" s="87"/>
      <c r="EQN2" s="87"/>
      <c r="EQP2" s="87"/>
      <c r="EQR2" s="87"/>
      <c r="EQT2" s="87"/>
      <c r="EQV2" s="87"/>
      <c r="EQX2" s="87"/>
      <c r="EQZ2" s="87"/>
      <c r="ERB2" s="87"/>
      <c r="ERD2" s="87"/>
      <c r="ERF2" s="87"/>
      <c r="ERH2" s="87"/>
      <c r="ERJ2" s="87"/>
      <c r="ERL2" s="87"/>
      <c r="ERN2" s="87"/>
      <c r="ERP2" s="87"/>
      <c r="ERR2" s="87"/>
      <c r="ERT2" s="87"/>
      <c r="ERV2" s="87"/>
      <c r="ERX2" s="87"/>
      <c r="ERZ2" s="87"/>
      <c r="ESB2" s="87"/>
      <c r="ESD2" s="87"/>
      <c r="ESF2" s="87"/>
      <c r="ESH2" s="87"/>
      <c r="ESJ2" s="87"/>
      <c r="ESL2" s="87"/>
      <c r="ESN2" s="87"/>
      <c r="ESP2" s="87"/>
      <c r="ESR2" s="87"/>
      <c r="EST2" s="87"/>
      <c r="ESV2" s="87"/>
      <c r="ESX2" s="87"/>
      <c r="ESZ2" s="87"/>
      <c r="ETB2" s="87"/>
      <c r="ETD2" s="87"/>
      <c r="ETF2" s="87"/>
      <c r="ETH2" s="87"/>
      <c r="ETJ2" s="87"/>
      <c r="ETL2" s="87"/>
      <c r="ETN2" s="87"/>
      <c r="ETP2" s="87"/>
      <c r="ETR2" s="87"/>
      <c r="ETT2" s="87"/>
      <c r="ETV2" s="87"/>
      <c r="ETX2" s="87"/>
      <c r="ETZ2" s="87"/>
      <c r="EUB2" s="87"/>
      <c r="EUD2" s="87"/>
      <c r="EUF2" s="87"/>
      <c r="EUH2" s="87"/>
      <c r="EUJ2" s="87"/>
      <c r="EUL2" s="87"/>
      <c r="EUN2" s="87"/>
      <c r="EUP2" s="87"/>
      <c r="EUR2" s="87"/>
      <c r="EUT2" s="87"/>
      <c r="EUV2" s="87"/>
      <c r="EUX2" s="87"/>
      <c r="EUZ2" s="87"/>
      <c r="EVB2" s="87"/>
      <c r="EVD2" s="87"/>
      <c r="EVF2" s="87"/>
      <c r="EVH2" s="87"/>
      <c r="EVJ2" s="87"/>
      <c r="EVL2" s="87"/>
      <c r="EVN2" s="87"/>
      <c r="EVP2" s="87"/>
      <c r="EVR2" s="87"/>
      <c r="EVT2" s="87"/>
      <c r="EVV2" s="87"/>
      <c r="EVX2" s="87"/>
      <c r="EVZ2" s="87"/>
      <c r="EWB2" s="87"/>
      <c r="EWD2" s="87"/>
      <c r="EWF2" s="87"/>
      <c r="EWH2" s="87"/>
      <c r="EWJ2" s="87"/>
      <c r="EWL2" s="87"/>
      <c r="EWN2" s="87"/>
      <c r="EWP2" s="87"/>
      <c r="EWR2" s="87"/>
      <c r="EWT2" s="87"/>
      <c r="EWV2" s="87"/>
      <c r="EWX2" s="87"/>
      <c r="EWZ2" s="87"/>
      <c r="EXB2" s="87"/>
      <c r="EXD2" s="87"/>
      <c r="EXF2" s="87"/>
      <c r="EXH2" s="87"/>
      <c r="EXJ2" s="87"/>
      <c r="EXL2" s="87"/>
      <c r="EXN2" s="87"/>
      <c r="EXP2" s="87"/>
      <c r="EXR2" s="87"/>
      <c r="EXT2" s="87"/>
      <c r="EXV2" s="87"/>
      <c r="EXX2" s="87"/>
      <c r="EXZ2" s="87"/>
      <c r="EYB2" s="87"/>
      <c r="EYD2" s="87"/>
      <c r="EYF2" s="87"/>
      <c r="EYH2" s="87"/>
      <c r="EYJ2" s="87"/>
      <c r="EYL2" s="87"/>
      <c r="EYN2" s="87"/>
      <c r="EYP2" s="87"/>
      <c r="EYR2" s="87"/>
      <c r="EYT2" s="87"/>
      <c r="EYV2" s="87"/>
      <c r="EYX2" s="87"/>
      <c r="EYZ2" s="87"/>
      <c r="EZB2" s="87"/>
      <c r="EZD2" s="87"/>
      <c r="EZF2" s="87"/>
      <c r="EZH2" s="87"/>
      <c r="EZJ2" s="87"/>
      <c r="EZL2" s="87"/>
      <c r="EZN2" s="87"/>
      <c r="EZP2" s="87"/>
      <c r="EZR2" s="87"/>
      <c r="EZT2" s="87"/>
      <c r="EZV2" s="87"/>
      <c r="EZX2" s="87"/>
      <c r="EZZ2" s="87"/>
      <c r="FAB2" s="87"/>
      <c r="FAD2" s="87"/>
      <c r="FAF2" s="87"/>
      <c r="FAH2" s="87"/>
      <c r="FAJ2" s="87"/>
      <c r="FAL2" s="87"/>
      <c r="FAN2" s="87"/>
      <c r="FAP2" s="87"/>
      <c r="FAR2" s="87"/>
      <c r="FAT2" s="87"/>
      <c r="FAV2" s="87"/>
      <c r="FAX2" s="87"/>
      <c r="FAZ2" s="87"/>
      <c r="FBB2" s="87"/>
      <c r="FBD2" s="87"/>
      <c r="FBF2" s="87"/>
      <c r="FBH2" s="87"/>
      <c r="FBJ2" s="87"/>
      <c r="FBL2" s="87"/>
      <c r="FBN2" s="87"/>
      <c r="FBP2" s="87"/>
      <c r="FBR2" s="87"/>
      <c r="FBT2" s="87"/>
      <c r="FBV2" s="87"/>
      <c r="FBX2" s="87"/>
      <c r="FBZ2" s="87"/>
      <c r="FCB2" s="87"/>
      <c r="FCD2" s="87"/>
      <c r="FCF2" s="87"/>
      <c r="FCH2" s="87"/>
      <c r="FCJ2" s="87"/>
      <c r="FCL2" s="87"/>
      <c r="FCN2" s="87"/>
      <c r="FCP2" s="87"/>
      <c r="FCR2" s="87"/>
      <c r="FCT2" s="87"/>
      <c r="FCV2" s="87"/>
      <c r="FCX2" s="87"/>
      <c r="FCZ2" s="87"/>
      <c r="FDB2" s="87"/>
      <c r="FDD2" s="87"/>
      <c r="FDF2" s="87"/>
      <c r="FDH2" s="87"/>
      <c r="FDJ2" s="87"/>
      <c r="FDL2" s="87"/>
      <c r="FDN2" s="87"/>
      <c r="FDP2" s="87"/>
      <c r="FDR2" s="87"/>
      <c r="FDT2" s="87"/>
      <c r="FDV2" s="87"/>
      <c r="FDX2" s="87"/>
      <c r="FDZ2" s="87"/>
      <c r="FEB2" s="87"/>
      <c r="FED2" s="87"/>
      <c r="FEF2" s="87"/>
      <c r="FEH2" s="87"/>
      <c r="FEJ2" s="87"/>
      <c r="FEL2" s="87"/>
      <c r="FEN2" s="87"/>
      <c r="FEP2" s="87"/>
      <c r="FER2" s="87"/>
      <c r="FET2" s="87"/>
      <c r="FEV2" s="87"/>
      <c r="FEX2" s="87"/>
      <c r="FEZ2" s="87"/>
      <c r="FFB2" s="87"/>
      <c r="FFD2" s="87"/>
      <c r="FFF2" s="87"/>
      <c r="FFH2" s="87"/>
      <c r="FFJ2" s="87"/>
      <c r="FFL2" s="87"/>
      <c r="FFN2" s="87"/>
      <c r="FFP2" s="87"/>
      <c r="FFR2" s="87"/>
      <c r="FFT2" s="87"/>
      <c r="FFV2" s="87"/>
      <c r="FFX2" s="87"/>
      <c r="FFZ2" s="87"/>
      <c r="FGB2" s="87"/>
      <c r="FGD2" s="87"/>
      <c r="FGF2" s="87"/>
      <c r="FGH2" s="87"/>
      <c r="FGJ2" s="87"/>
      <c r="FGL2" s="87"/>
      <c r="FGN2" s="87"/>
      <c r="FGP2" s="87"/>
      <c r="FGR2" s="87"/>
      <c r="FGT2" s="87"/>
      <c r="FGV2" s="87"/>
      <c r="FGX2" s="87"/>
      <c r="FGZ2" s="87"/>
      <c r="FHB2" s="87"/>
      <c r="FHD2" s="87"/>
      <c r="FHF2" s="87"/>
      <c r="FHH2" s="87"/>
      <c r="FHJ2" s="87"/>
      <c r="FHL2" s="87"/>
      <c r="FHN2" s="87"/>
      <c r="FHP2" s="87"/>
      <c r="FHR2" s="87"/>
      <c r="FHT2" s="87"/>
      <c r="FHV2" s="87"/>
      <c r="FHX2" s="87"/>
      <c r="FHZ2" s="87"/>
      <c r="FIB2" s="87"/>
      <c r="FID2" s="87"/>
      <c r="FIF2" s="87"/>
      <c r="FIH2" s="87"/>
      <c r="FIJ2" s="87"/>
      <c r="FIL2" s="87"/>
      <c r="FIN2" s="87"/>
      <c r="FIP2" s="87"/>
      <c r="FIR2" s="87"/>
      <c r="FIT2" s="87"/>
      <c r="FIV2" s="87"/>
      <c r="FIX2" s="87"/>
      <c r="FIZ2" s="87"/>
      <c r="FJB2" s="87"/>
      <c r="FJD2" s="87"/>
      <c r="FJF2" s="87"/>
      <c r="FJH2" s="87"/>
      <c r="FJJ2" s="87"/>
      <c r="FJL2" s="87"/>
      <c r="FJN2" s="87"/>
      <c r="FJP2" s="87"/>
      <c r="FJR2" s="87"/>
      <c r="FJT2" s="87"/>
      <c r="FJV2" s="87"/>
      <c r="FJX2" s="87"/>
      <c r="FJZ2" s="87"/>
      <c r="FKB2" s="87"/>
      <c r="FKD2" s="87"/>
      <c r="FKF2" s="87"/>
      <c r="FKH2" s="87"/>
      <c r="FKJ2" s="87"/>
      <c r="FKL2" s="87"/>
      <c r="FKN2" s="87"/>
      <c r="FKP2" s="87"/>
      <c r="FKR2" s="87"/>
      <c r="FKT2" s="87"/>
      <c r="FKV2" s="87"/>
      <c r="FKX2" s="87"/>
      <c r="FKZ2" s="87"/>
      <c r="FLB2" s="87"/>
      <c r="FLD2" s="87"/>
      <c r="FLF2" s="87"/>
      <c r="FLH2" s="87"/>
      <c r="FLJ2" s="87"/>
      <c r="FLL2" s="87"/>
      <c r="FLN2" s="87"/>
      <c r="FLP2" s="87"/>
      <c r="FLR2" s="87"/>
      <c r="FLT2" s="87"/>
      <c r="FLV2" s="87"/>
      <c r="FLX2" s="87"/>
      <c r="FLZ2" s="87"/>
      <c r="FMB2" s="87"/>
      <c r="FMD2" s="87"/>
      <c r="FMF2" s="87"/>
      <c r="FMH2" s="87"/>
      <c r="FMJ2" s="87"/>
      <c r="FML2" s="87"/>
      <c r="FMN2" s="87"/>
      <c r="FMP2" s="87"/>
      <c r="FMR2" s="87"/>
      <c r="FMT2" s="87"/>
      <c r="FMV2" s="87"/>
      <c r="FMX2" s="87"/>
      <c r="FMZ2" s="87"/>
      <c r="FNB2" s="87"/>
      <c r="FND2" s="87"/>
      <c r="FNF2" s="87"/>
      <c r="FNH2" s="87"/>
      <c r="FNJ2" s="87"/>
      <c r="FNL2" s="87"/>
      <c r="FNN2" s="87"/>
      <c r="FNP2" s="87"/>
      <c r="FNR2" s="87"/>
      <c r="FNT2" s="87"/>
      <c r="FNV2" s="87"/>
      <c r="FNX2" s="87"/>
      <c r="FNZ2" s="87"/>
      <c r="FOB2" s="87"/>
      <c r="FOD2" s="87"/>
      <c r="FOF2" s="87"/>
      <c r="FOH2" s="87"/>
      <c r="FOJ2" s="87"/>
      <c r="FOL2" s="87"/>
      <c r="FON2" s="87"/>
      <c r="FOP2" s="87"/>
      <c r="FOR2" s="87"/>
      <c r="FOT2" s="87"/>
      <c r="FOV2" s="87"/>
      <c r="FOX2" s="87"/>
      <c r="FOZ2" s="87"/>
      <c r="FPB2" s="87"/>
      <c r="FPD2" s="87"/>
      <c r="FPF2" s="87"/>
      <c r="FPH2" s="87"/>
      <c r="FPJ2" s="87"/>
      <c r="FPL2" s="87"/>
      <c r="FPN2" s="87"/>
      <c r="FPP2" s="87"/>
      <c r="FPR2" s="87"/>
      <c r="FPT2" s="87"/>
      <c r="FPV2" s="87"/>
      <c r="FPX2" s="87"/>
      <c r="FPZ2" s="87"/>
      <c r="FQB2" s="87"/>
      <c r="FQD2" s="87"/>
      <c r="FQF2" s="87"/>
      <c r="FQH2" s="87"/>
      <c r="FQJ2" s="87"/>
      <c r="FQL2" s="87"/>
      <c r="FQN2" s="87"/>
      <c r="FQP2" s="87"/>
      <c r="FQR2" s="87"/>
      <c r="FQT2" s="87"/>
      <c r="FQV2" s="87"/>
      <c r="FQX2" s="87"/>
      <c r="FQZ2" s="87"/>
      <c r="FRB2" s="87"/>
      <c r="FRD2" s="87"/>
      <c r="FRF2" s="87"/>
      <c r="FRH2" s="87"/>
      <c r="FRJ2" s="87"/>
      <c r="FRL2" s="87"/>
      <c r="FRN2" s="87"/>
      <c r="FRP2" s="87"/>
      <c r="FRR2" s="87"/>
      <c r="FRT2" s="87"/>
      <c r="FRV2" s="87"/>
      <c r="FRX2" s="87"/>
      <c r="FRZ2" s="87"/>
      <c r="FSB2" s="87"/>
      <c r="FSD2" s="87"/>
      <c r="FSF2" s="87"/>
      <c r="FSH2" s="87"/>
      <c r="FSJ2" s="87"/>
      <c r="FSL2" s="87"/>
      <c r="FSN2" s="87"/>
      <c r="FSP2" s="87"/>
      <c r="FSR2" s="87"/>
      <c r="FST2" s="87"/>
      <c r="FSV2" s="87"/>
      <c r="FSX2" s="87"/>
      <c r="FSZ2" s="87"/>
      <c r="FTB2" s="87"/>
      <c r="FTD2" s="87"/>
      <c r="FTF2" s="87"/>
      <c r="FTH2" s="87"/>
      <c r="FTJ2" s="87"/>
      <c r="FTL2" s="87"/>
      <c r="FTN2" s="87"/>
      <c r="FTP2" s="87"/>
      <c r="FTR2" s="87"/>
      <c r="FTT2" s="87"/>
      <c r="FTV2" s="87"/>
      <c r="FTX2" s="87"/>
      <c r="FTZ2" s="87"/>
      <c r="FUB2" s="87"/>
      <c r="FUD2" s="87"/>
      <c r="FUF2" s="87"/>
      <c r="FUH2" s="87"/>
      <c r="FUJ2" s="87"/>
      <c r="FUL2" s="87"/>
      <c r="FUN2" s="87"/>
      <c r="FUP2" s="87"/>
      <c r="FUR2" s="87"/>
      <c r="FUT2" s="87"/>
      <c r="FUV2" s="87"/>
      <c r="FUX2" s="87"/>
      <c r="FUZ2" s="87"/>
      <c r="FVB2" s="87"/>
      <c r="FVD2" s="87"/>
      <c r="FVF2" s="87"/>
      <c r="FVH2" s="87"/>
      <c r="FVJ2" s="87"/>
      <c r="FVL2" s="87"/>
      <c r="FVN2" s="87"/>
      <c r="FVP2" s="87"/>
      <c r="FVR2" s="87"/>
      <c r="FVT2" s="87"/>
      <c r="FVV2" s="87"/>
      <c r="FVX2" s="87"/>
      <c r="FVZ2" s="87"/>
      <c r="FWB2" s="87"/>
      <c r="FWD2" s="87"/>
      <c r="FWF2" s="87"/>
      <c r="FWH2" s="87"/>
      <c r="FWJ2" s="87"/>
      <c r="FWL2" s="87"/>
      <c r="FWN2" s="87"/>
      <c r="FWP2" s="87"/>
      <c r="FWR2" s="87"/>
      <c r="FWT2" s="87"/>
      <c r="FWV2" s="87"/>
      <c r="FWX2" s="87"/>
      <c r="FWZ2" s="87"/>
      <c r="FXB2" s="87"/>
      <c r="FXD2" s="87"/>
      <c r="FXF2" s="87"/>
      <c r="FXH2" s="87"/>
      <c r="FXJ2" s="87"/>
      <c r="FXL2" s="87"/>
      <c r="FXN2" s="87"/>
      <c r="FXP2" s="87"/>
      <c r="FXR2" s="87"/>
      <c r="FXT2" s="87"/>
      <c r="FXV2" s="87"/>
      <c r="FXX2" s="87"/>
      <c r="FXZ2" s="87"/>
      <c r="FYB2" s="87"/>
      <c r="FYD2" s="87"/>
      <c r="FYF2" s="87"/>
      <c r="FYH2" s="87"/>
      <c r="FYJ2" s="87"/>
      <c r="FYL2" s="87"/>
      <c r="FYN2" s="87"/>
      <c r="FYP2" s="87"/>
      <c r="FYR2" s="87"/>
      <c r="FYT2" s="87"/>
      <c r="FYV2" s="87"/>
      <c r="FYX2" s="87"/>
      <c r="FYZ2" s="87"/>
      <c r="FZB2" s="87"/>
      <c r="FZD2" s="87"/>
      <c r="FZF2" s="87"/>
      <c r="FZH2" s="87"/>
      <c r="FZJ2" s="87"/>
      <c r="FZL2" s="87"/>
      <c r="FZN2" s="87"/>
      <c r="FZP2" s="87"/>
      <c r="FZR2" s="87"/>
      <c r="FZT2" s="87"/>
      <c r="FZV2" s="87"/>
      <c r="FZX2" s="87"/>
      <c r="FZZ2" s="87"/>
      <c r="GAB2" s="87"/>
      <c r="GAD2" s="87"/>
      <c r="GAF2" s="87"/>
      <c r="GAH2" s="87"/>
      <c r="GAJ2" s="87"/>
      <c r="GAL2" s="87"/>
      <c r="GAN2" s="87"/>
      <c r="GAP2" s="87"/>
      <c r="GAR2" s="87"/>
      <c r="GAT2" s="87"/>
      <c r="GAV2" s="87"/>
      <c r="GAX2" s="87"/>
      <c r="GAZ2" s="87"/>
      <c r="GBB2" s="87"/>
      <c r="GBD2" s="87"/>
      <c r="GBF2" s="87"/>
      <c r="GBH2" s="87"/>
      <c r="GBJ2" s="87"/>
      <c r="GBL2" s="87"/>
      <c r="GBN2" s="87"/>
      <c r="GBP2" s="87"/>
      <c r="GBR2" s="87"/>
      <c r="GBT2" s="87"/>
      <c r="GBV2" s="87"/>
      <c r="GBX2" s="87"/>
      <c r="GBZ2" s="87"/>
      <c r="GCB2" s="87"/>
      <c r="GCD2" s="87"/>
      <c r="GCF2" s="87"/>
      <c r="GCH2" s="87"/>
      <c r="GCJ2" s="87"/>
      <c r="GCL2" s="87"/>
      <c r="GCN2" s="87"/>
      <c r="GCP2" s="87"/>
      <c r="GCR2" s="87"/>
      <c r="GCT2" s="87"/>
      <c r="GCV2" s="87"/>
      <c r="GCX2" s="87"/>
      <c r="GCZ2" s="87"/>
      <c r="GDB2" s="87"/>
      <c r="GDD2" s="87"/>
      <c r="GDF2" s="87"/>
      <c r="GDH2" s="87"/>
      <c r="GDJ2" s="87"/>
      <c r="GDL2" s="87"/>
      <c r="GDN2" s="87"/>
      <c r="GDP2" s="87"/>
      <c r="GDR2" s="87"/>
      <c r="GDT2" s="87"/>
      <c r="GDV2" s="87"/>
      <c r="GDX2" s="87"/>
      <c r="GDZ2" s="87"/>
      <c r="GEB2" s="87"/>
      <c r="GED2" s="87"/>
      <c r="GEF2" s="87"/>
      <c r="GEH2" s="87"/>
      <c r="GEJ2" s="87"/>
      <c r="GEL2" s="87"/>
      <c r="GEN2" s="87"/>
      <c r="GEP2" s="87"/>
      <c r="GER2" s="87"/>
      <c r="GET2" s="87"/>
      <c r="GEV2" s="87"/>
      <c r="GEX2" s="87"/>
      <c r="GEZ2" s="87"/>
      <c r="GFB2" s="87"/>
      <c r="GFD2" s="87"/>
      <c r="GFF2" s="87"/>
      <c r="GFH2" s="87"/>
      <c r="GFJ2" s="87"/>
      <c r="GFL2" s="87"/>
      <c r="GFN2" s="87"/>
      <c r="GFP2" s="87"/>
      <c r="GFR2" s="87"/>
      <c r="GFT2" s="87"/>
      <c r="GFV2" s="87"/>
      <c r="GFX2" s="87"/>
      <c r="GFZ2" s="87"/>
      <c r="GGB2" s="87"/>
      <c r="GGD2" s="87"/>
      <c r="GGF2" s="87"/>
      <c r="GGH2" s="87"/>
      <c r="GGJ2" s="87"/>
      <c r="GGL2" s="87"/>
      <c r="GGN2" s="87"/>
      <c r="GGP2" s="87"/>
      <c r="GGR2" s="87"/>
      <c r="GGT2" s="87"/>
      <c r="GGV2" s="87"/>
      <c r="GGX2" s="87"/>
      <c r="GGZ2" s="87"/>
      <c r="GHB2" s="87"/>
      <c r="GHD2" s="87"/>
      <c r="GHF2" s="87"/>
      <c r="GHH2" s="87"/>
      <c r="GHJ2" s="87"/>
      <c r="GHL2" s="87"/>
      <c r="GHN2" s="87"/>
      <c r="GHP2" s="87"/>
      <c r="GHR2" s="87"/>
      <c r="GHT2" s="87"/>
      <c r="GHV2" s="87"/>
      <c r="GHX2" s="87"/>
      <c r="GHZ2" s="87"/>
      <c r="GIB2" s="87"/>
      <c r="GID2" s="87"/>
      <c r="GIF2" s="87"/>
      <c r="GIH2" s="87"/>
      <c r="GIJ2" s="87"/>
      <c r="GIL2" s="87"/>
      <c r="GIN2" s="87"/>
      <c r="GIP2" s="87"/>
      <c r="GIR2" s="87"/>
      <c r="GIT2" s="87"/>
      <c r="GIV2" s="87"/>
      <c r="GIX2" s="87"/>
      <c r="GIZ2" s="87"/>
      <c r="GJB2" s="87"/>
      <c r="GJD2" s="87"/>
      <c r="GJF2" s="87"/>
      <c r="GJH2" s="87"/>
      <c r="GJJ2" s="87"/>
      <c r="GJL2" s="87"/>
      <c r="GJN2" s="87"/>
      <c r="GJP2" s="87"/>
      <c r="GJR2" s="87"/>
      <c r="GJT2" s="87"/>
      <c r="GJV2" s="87"/>
      <c r="GJX2" s="87"/>
      <c r="GJZ2" s="87"/>
      <c r="GKB2" s="87"/>
      <c r="GKD2" s="87"/>
      <c r="GKF2" s="87"/>
      <c r="GKH2" s="87"/>
      <c r="GKJ2" s="87"/>
      <c r="GKL2" s="87"/>
      <c r="GKN2" s="87"/>
      <c r="GKP2" s="87"/>
      <c r="GKR2" s="87"/>
      <c r="GKT2" s="87"/>
      <c r="GKV2" s="87"/>
      <c r="GKX2" s="87"/>
      <c r="GKZ2" s="87"/>
      <c r="GLB2" s="87"/>
      <c r="GLD2" s="87"/>
      <c r="GLF2" s="87"/>
      <c r="GLH2" s="87"/>
      <c r="GLJ2" s="87"/>
      <c r="GLL2" s="87"/>
      <c r="GLN2" s="87"/>
      <c r="GLP2" s="87"/>
      <c r="GLR2" s="87"/>
      <c r="GLT2" s="87"/>
      <c r="GLV2" s="87"/>
      <c r="GLX2" s="87"/>
      <c r="GLZ2" s="87"/>
      <c r="GMB2" s="87"/>
      <c r="GMD2" s="87"/>
      <c r="GMF2" s="87"/>
      <c r="GMH2" s="87"/>
      <c r="GMJ2" s="87"/>
      <c r="GML2" s="87"/>
      <c r="GMN2" s="87"/>
      <c r="GMP2" s="87"/>
      <c r="GMR2" s="87"/>
      <c r="GMT2" s="87"/>
      <c r="GMV2" s="87"/>
      <c r="GMX2" s="87"/>
      <c r="GMZ2" s="87"/>
      <c r="GNB2" s="87"/>
      <c r="GND2" s="87"/>
      <c r="GNF2" s="87"/>
      <c r="GNH2" s="87"/>
      <c r="GNJ2" s="87"/>
      <c r="GNL2" s="87"/>
      <c r="GNN2" s="87"/>
      <c r="GNP2" s="87"/>
      <c r="GNR2" s="87"/>
      <c r="GNT2" s="87"/>
      <c r="GNV2" s="87"/>
      <c r="GNX2" s="87"/>
      <c r="GNZ2" s="87"/>
      <c r="GOB2" s="87"/>
      <c r="GOD2" s="87"/>
      <c r="GOF2" s="87"/>
      <c r="GOH2" s="87"/>
      <c r="GOJ2" s="87"/>
      <c r="GOL2" s="87"/>
      <c r="GON2" s="87"/>
      <c r="GOP2" s="87"/>
      <c r="GOR2" s="87"/>
      <c r="GOT2" s="87"/>
      <c r="GOV2" s="87"/>
      <c r="GOX2" s="87"/>
      <c r="GOZ2" s="87"/>
      <c r="GPB2" s="87"/>
      <c r="GPD2" s="87"/>
      <c r="GPF2" s="87"/>
      <c r="GPH2" s="87"/>
      <c r="GPJ2" s="87"/>
      <c r="GPL2" s="87"/>
      <c r="GPN2" s="87"/>
      <c r="GPP2" s="87"/>
      <c r="GPR2" s="87"/>
      <c r="GPT2" s="87"/>
      <c r="GPV2" s="87"/>
      <c r="GPX2" s="87"/>
      <c r="GPZ2" s="87"/>
      <c r="GQB2" s="87"/>
      <c r="GQD2" s="87"/>
      <c r="GQF2" s="87"/>
      <c r="GQH2" s="87"/>
      <c r="GQJ2" s="87"/>
      <c r="GQL2" s="87"/>
      <c r="GQN2" s="87"/>
      <c r="GQP2" s="87"/>
      <c r="GQR2" s="87"/>
      <c r="GQT2" s="87"/>
      <c r="GQV2" s="87"/>
      <c r="GQX2" s="87"/>
      <c r="GQZ2" s="87"/>
      <c r="GRB2" s="87"/>
      <c r="GRD2" s="87"/>
      <c r="GRF2" s="87"/>
      <c r="GRH2" s="87"/>
      <c r="GRJ2" s="87"/>
      <c r="GRL2" s="87"/>
      <c r="GRN2" s="87"/>
      <c r="GRP2" s="87"/>
      <c r="GRR2" s="87"/>
      <c r="GRT2" s="87"/>
      <c r="GRV2" s="87"/>
      <c r="GRX2" s="87"/>
      <c r="GRZ2" s="87"/>
      <c r="GSB2" s="87"/>
      <c r="GSD2" s="87"/>
      <c r="GSF2" s="87"/>
      <c r="GSH2" s="87"/>
      <c r="GSJ2" s="87"/>
      <c r="GSL2" s="87"/>
      <c r="GSN2" s="87"/>
      <c r="GSP2" s="87"/>
      <c r="GSR2" s="87"/>
      <c r="GST2" s="87"/>
      <c r="GSV2" s="87"/>
      <c r="GSX2" s="87"/>
      <c r="GSZ2" s="87"/>
      <c r="GTB2" s="87"/>
      <c r="GTD2" s="87"/>
      <c r="GTF2" s="87"/>
      <c r="GTH2" s="87"/>
      <c r="GTJ2" s="87"/>
      <c r="GTL2" s="87"/>
      <c r="GTN2" s="87"/>
      <c r="GTP2" s="87"/>
      <c r="GTR2" s="87"/>
      <c r="GTT2" s="87"/>
      <c r="GTV2" s="87"/>
      <c r="GTX2" s="87"/>
      <c r="GTZ2" s="87"/>
      <c r="GUB2" s="87"/>
      <c r="GUD2" s="87"/>
      <c r="GUF2" s="87"/>
      <c r="GUH2" s="87"/>
      <c r="GUJ2" s="87"/>
      <c r="GUL2" s="87"/>
      <c r="GUN2" s="87"/>
      <c r="GUP2" s="87"/>
      <c r="GUR2" s="87"/>
      <c r="GUT2" s="87"/>
      <c r="GUV2" s="87"/>
      <c r="GUX2" s="87"/>
      <c r="GUZ2" s="87"/>
      <c r="GVB2" s="87"/>
      <c r="GVD2" s="87"/>
      <c r="GVF2" s="87"/>
      <c r="GVH2" s="87"/>
      <c r="GVJ2" s="87"/>
      <c r="GVL2" s="87"/>
      <c r="GVN2" s="87"/>
      <c r="GVP2" s="87"/>
      <c r="GVR2" s="87"/>
      <c r="GVT2" s="87"/>
      <c r="GVV2" s="87"/>
      <c r="GVX2" s="87"/>
      <c r="GVZ2" s="87"/>
      <c r="GWB2" s="87"/>
      <c r="GWD2" s="87"/>
      <c r="GWF2" s="87"/>
      <c r="GWH2" s="87"/>
      <c r="GWJ2" s="87"/>
      <c r="GWL2" s="87"/>
      <c r="GWN2" s="87"/>
      <c r="GWP2" s="87"/>
      <c r="GWR2" s="87"/>
      <c r="GWT2" s="87"/>
      <c r="GWV2" s="87"/>
      <c r="GWX2" s="87"/>
      <c r="GWZ2" s="87"/>
      <c r="GXB2" s="87"/>
      <c r="GXD2" s="87"/>
      <c r="GXF2" s="87"/>
      <c r="GXH2" s="87"/>
      <c r="GXJ2" s="87"/>
      <c r="GXL2" s="87"/>
      <c r="GXN2" s="87"/>
      <c r="GXP2" s="87"/>
      <c r="GXR2" s="87"/>
      <c r="GXT2" s="87"/>
      <c r="GXV2" s="87"/>
      <c r="GXX2" s="87"/>
      <c r="GXZ2" s="87"/>
      <c r="GYB2" s="87"/>
      <c r="GYD2" s="87"/>
      <c r="GYF2" s="87"/>
      <c r="GYH2" s="87"/>
      <c r="GYJ2" s="87"/>
      <c r="GYL2" s="87"/>
      <c r="GYN2" s="87"/>
      <c r="GYP2" s="87"/>
      <c r="GYR2" s="87"/>
      <c r="GYT2" s="87"/>
      <c r="GYV2" s="87"/>
      <c r="GYX2" s="87"/>
      <c r="GYZ2" s="87"/>
      <c r="GZB2" s="87"/>
      <c r="GZD2" s="87"/>
      <c r="GZF2" s="87"/>
      <c r="GZH2" s="87"/>
      <c r="GZJ2" s="87"/>
      <c r="GZL2" s="87"/>
      <c r="GZN2" s="87"/>
      <c r="GZP2" s="87"/>
      <c r="GZR2" s="87"/>
      <c r="GZT2" s="87"/>
      <c r="GZV2" s="87"/>
      <c r="GZX2" s="87"/>
      <c r="GZZ2" s="87"/>
      <c r="HAB2" s="87"/>
      <c r="HAD2" s="87"/>
      <c r="HAF2" s="87"/>
      <c r="HAH2" s="87"/>
      <c r="HAJ2" s="87"/>
      <c r="HAL2" s="87"/>
      <c r="HAN2" s="87"/>
      <c r="HAP2" s="87"/>
      <c r="HAR2" s="87"/>
      <c r="HAT2" s="87"/>
      <c r="HAV2" s="87"/>
      <c r="HAX2" s="87"/>
      <c r="HAZ2" s="87"/>
      <c r="HBB2" s="87"/>
      <c r="HBD2" s="87"/>
      <c r="HBF2" s="87"/>
      <c r="HBH2" s="87"/>
      <c r="HBJ2" s="87"/>
      <c r="HBL2" s="87"/>
      <c r="HBN2" s="87"/>
      <c r="HBP2" s="87"/>
      <c r="HBR2" s="87"/>
      <c r="HBT2" s="87"/>
      <c r="HBV2" s="87"/>
      <c r="HBX2" s="87"/>
      <c r="HBZ2" s="87"/>
      <c r="HCB2" s="87"/>
      <c r="HCD2" s="87"/>
      <c r="HCF2" s="87"/>
      <c r="HCH2" s="87"/>
      <c r="HCJ2" s="87"/>
      <c r="HCL2" s="87"/>
      <c r="HCN2" s="87"/>
      <c r="HCP2" s="87"/>
      <c r="HCR2" s="87"/>
      <c r="HCT2" s="87"/>
      <c r="HCV2" s="87"/>
      <c r="HCX2" s="87"/>
      <c r="HCZ2" s="87"/>
      <c r="HDB2" s="87"/>
      <c r="HDD2" s="87"/>
      <c r="HDF2" s="87"/>
      <c r="HDH2" s="87"/>
      <c r="HDJ2" s="87"/>
      <c r="HDL2" s="87"/>
      <c r="HDN2" s="87"/>
      <c r="HDP2" s="87"/>
      <c r="HDR2" s="87"/>
      <c r="HDT2" s="87"/>
      <c r="HDV2" s="87"/>
      <c r="HDX2" s="87"/>
      <c r="HDZ2" s="87"/>
      <c r="HEB2" s="87"/>
      <c r="HED2" s="87"/>
      <c r="HEF2" s="87"/>
      <c r="HEH2" s="87"/>
      <c r="HEJ2" s="87"/>
      <c r="HEL2" s="87"/>
      <c r="HEN2" s="87"/>
      <c r="HEP2" s="87"/>
      <c r="HER2" s="87"/>
      <c r="HET2" s="87"/>
      <c r="HEV2" s="87"/>
      <c r="HEX2" s="87"/>
      <c r="HEZ2" s="87"/>
      <c r="HFB2" s="87"/>
      <c r="HFD2" s="87"/>
      <c r="HFF2" s="87"/>
      <c r="HFH2" s="87"/>
      <c r="HFJ2" s="87"/>
      <c r="HFL2" s="87"/>
      <c r="HFN2" s="87"/>
      <c r="HFP2" s="87"/>
      <c r="HFR2" s="87"/>
      <c r="HFT2" s="87"/>
      <c r="HFV2" s="87"/>
      <c r="HFX2" s="87"/>
      <c r="HFZ2" s="87"/>
      <c r="HGB2" s="87"/>
      <c r="HGD2" s="87"/>
      <c r="HGF2" s="87"/>
      <c r="HGH2" s="87"/>
      <c r="HGJ2" s="87"/>
      <c r="HGL2" s="87"/>
      <c r="HGN2" s="87"/>
      <c r="HGP2" s="87"/>
      <c r="HGR2" s="87"/>
      <c r="HGT2" s="87"/>
      <c r="HGV2" s="87"/>
      <c r="HGX2" s="87"/>
      <c r="HGZ2" s="87"/>
      <c r="HHB2" s="87"/>
      <c r="HHD2" s="87"/>
      <c r="HHF2" s="87"/>
      <c r="HHH2" s="87"/>
      <c r="HHJ2" s="87"/>
      <c r="HHL2" s="87"/>
      <c r="HHN2" s="87"/>
      <c r="HHP2" s="87"/>
      <c r="HHR2" s="87"/>
      <c r="HHT2" s="87"/>
      <c r="HHV2" s="87"/>
      <c r="HHX2" s="87"/>
      <c r="HHZ2" s="87"/>
      <c r="HIB2" s="87"/>
      <c r="HID2" s="87"/>
      <c r="HIF2" s="87"/>
      <c r="HIH2" s="87"/>
      <c r="HIJ2" s="87"/>
      <c r="HIL2" s="87"/>
      <c r="HIN2" s="87"/>
      <c r="HIP2" s="87"/>
      <c r="HIR2" s="87"/>
      <c r="HIT2" s="87"/>
      <c r="HIV2" s="87"/>
      <c r="HIX2" s="87"/>
      <c r="HIZ2" s="87"/>
      <c r="HJB2" s="87"/>
      <c r="HJD2" s="87"/>
      <c r="HJF2" s="87"/>
      <c r="HJH2" s="87"/>
      <c r="HJJ2" s="87"/>
      <c r="HJL2" s="87"/>
      <c r="HJN2" s="87"/>
      <c r="HJP2" s="87"/>
      <c r="HJR2" s="87"/>
      <c r="HJT2" s="87"/>
      <c r="HJV2" s="87"/>
      <c r="HJX2" s="87"/>
      <c r="HJZ2" s="87"/>
      <c r="HKB2" s="87"/>
      <c r="HKD2" s="87"/>
      <c r="HKF2" s="87"/>
      <c r="HKH2" s="87"/>
      <c r="HKJ2" s="87"/>
      <c r="HKL2" s="87"/>
      <c r="HKN2" s="87"/>
      <c r="HKP2" s="87"/>
      <c r="HKR2" s="87"/>
      <c r="HKT2" s="87"/>
      <c r="HKV2" s="87"/>
      <c r="HKX2" s="87"/>
      <c r="HKZ2" s="87"/>
      <c r="HLB2" s="87"/>
      <c r="HLD2" s="87"/>
      <c r="HLF2" s="87"/>
      <c r="HLH2" s="87"/>
      <c r="HLJ2" s="87"/>
      <c r="HLL2" s="87"/>
      <c r="HLN2" s="87"/>
      <c r="HLP2" s="87"/>
      <c r="HLR2" s="87"/>
      <c r="HLT2" s="87"/>
      <c r="HLV2" s="87"/>
      <c r="HLX2" s="87"/>
      <c r="HLZ2" s="87"/>
      <c r="HMB2" s="87"/>
      <c r="HMD2" s="87"/>
      <c r="HMF2" s="87"/>
      <c r="HMH2" s="87"/>
      <c r="HMJ2" s="87"/>
      <c r="HML2" s="87"/>
      <c r="HMN2" s="87"/>
      <c r="HMP2" s="87"/>
      <c r="HMR2" s="87"/>
      <c r="HMT2" s="87"/>
      <c r="HMV2" s="87"/>
      <c r="HMX2" s="87"/>
      <c r="HMZ2" s="87"/>
      <c r="HNB2" s="87"/>
      <c r="HND2" s="87"/>
      <c r="HNF2" s="87"/>
      <c r="HNH2" s="87"/>
      <c r="HNJ2" s="87"/>
      <c r="HNL2" s="87"/>
      <c r="HNN2" s="87"/>
      <c r="HNP2" s="87"/>
      <c r="HNR2" s="87"/>
      <c r="HNT2" s="87"/>
      <c r="HNV2" s="87"/>
      <c r="HNX2" s="87"/>
      <c r="HNZ2" s="87"/>
      <c r="HOB2" s="87"/>
      <c r="HOD2" s="87"/>
      <c r="HOF2" s="87"/>
      <c r="HOH2" s="87"/>
      <c r="HOJ2" s="87"/>
      <c r="HOL2" s="87"/>
      <c r="HON2" s="87"/>
      <c r="HOP2" s="87"/>
      <c r="HOR2" s="87"/>
      <c r="HOT2" s="87"/>
      <c r="HOV2" s="87"/>
      <c r="HOX2" s="87"/>
      <c r="HOZ2" s="87"/>
      <c r="HPB2" s="87"/>
      <c r="HPD2" s="87"/>
      <c r="HPF2" s="87"/>
      <c r="HPH2" s="87"/>
      <c r="HPJ2" s="87"/>
      <c r="HPL2" s="87"/>
      <c r="HPN2" s="87"/>
      <c r="HPP2" s="87"/>
      <c r="HPR2" s="87"/>
      <c r="HPT2" s="87"/>
      <c r="HPV2" s="87"/>
      <c r="HPX2" s="87"/>
      <c r="HPZ2" s="87"/>
      <c r="HQB2" s="87"/>
      <c r="HQD2" s="87"/>
      <c r="HQF2" s="87"/>
      <c r="HQH2" s="87"/>
      <c r="HQJ2" s="87"/>
      <c r="HQL2" s="87"/>
      <c r="HQN2" s="87"/>
      <c r="HQP2" s="87"/>
      <c r="HQR2" s="87"/>
      <c r="HQT2" s="87"/>
      <c r="HQV2" s="87"/>
      <c r="HQX2" s="87"/>
      <c r="HQZ2" s="87"/>
      <c r="HRB2" s="87"/>
      <c r="HRD2" s="87"/>
      <c r="HRF2" s="87"/>
      <c r="HRH2" s="87"/>
      <c r="HRJ2" s="87"/>
      <c r="HRL2" s="87"/>
      <c r="HRN2" s="87"/>
      <c r="HRP2" s="87"/>
      <c r="HRR2" s="87"/>
      <c r="HRT2" s="87"/>
      <c r="HRV2" s="87"/>
      <c r="HRX2" s="87"/>
      <c r="HRZ2" s="87"/>
      <c r="HSB2" s="87"/>
      <c r="HSD2" s="87"/>
      <c r="HSF2" s="87"/>
      <c r="HSH2" s="87"/>
      <c r="HSJ2" s="87"/>
      <c r="HSL2" s="87"/>
      <c r="HSN2" s="87"/>
      <c r="HSP2" s="87"/>
      <c r="HSR2" s="87"/>
      <c r="HST2" s="87"/>
      <c r="HSV2" s="87"/>
      <c r="HSX2" s="87"/>
      <c r="HSZ2" s="87"/>
      <c r="HTB2" s="87"/>
      <c r="HTD2" s="87"/>
      <c r="HTF2" s="87"/>
      <c r="HTH2" s="87"/>
      <c r="HTJ2" s="87"/>
      <c r="HTL2" s="87"/>
      <c r="HTN2" s="87"/>
      <c r="HTP2" s="87"/>
      <c r="HTR2" s="87"/>
      <c r="HTT2" s="87"/>
      <c r="HTV2" s="87"/>
      <c r="HTX2" s="87"/>
      <c r="HTZ2" s="87"/>
      <c r="HUB2" s="87"/>
      <c r="HUD2" s="87"/>
      <c r="HUF2" s="87"/>
      <c r="HUH2" s="87"/>
      <c r="HUJ2" s="87"/>
      <c r="HUL2" s="87"/>
      <c r="HUN2" s="87"/>
      <c r="HUP2" s="87"/>
      <c r="HUR2" s="87"/>
      <c r="HUT2" s="87"/>
      <c r="HUV2" s="87"/>
      <c r="HUX2" s="87"/>
      <c r="HUZ2" s="87"/>
      <c r="HVB2" s="87"/>
      <c r="HVD2" s="87"/>
      <c r="HVF2" s="87"/>
      <c r="HVH2" s="87"/>
      <c r="HVJ2" s="87"/>
      <c r="HVL2" s="87"/>
      <c r="HVN2" s="87"/>
      <c r="HVP2" s="87"/>
      <c r="HVR2" s="87"/>
      <c r="HVT2" s="87"/>
      <c r="HVV2" s="87"/>
      <c r="HVX2" s="87"/>
      <c r="HVZ2" s="87"/>
      <c r="HWB2" s="87"/>
      <c r="HWD2" s="87"/>
      <c r="HWF2" s="87"/>
      <c r="HWH2" s="87"/>
      <c r="HWJ2" s="87"/>
      <c r="HWL2" s="87"/>
      <c r="HWN2" s="87"/>
      <c r="HWP2" s="87"/>
      <c r="HWR2" s="87"/>
      <c r="HWT2" s="87"/>
      <c r="HWV2" s="87"/>
      <c r="HWX2" s="87"/>
      <c r="HWZ2" s="87"/>
      <c r="HXB2" s="87"/>
      <c r="HXD2" s="87"/>
      <c r="HXF2" s="87"/>
      <c r="HXH2" s="87"/>
      <c r="HXJ2" s="87"/>
      <c r="HXL2" s="87"/>
      <c r="HXN2" s="87"/>
      <c r="HXP2" s="87"/>
      <c r="HXR2" s="87"/>
      <c r="HXT2" s="87"/>
      <c r="HXV2" s="87"/>
      <c r="HXX2" s="87"/>
      <c r="HXZ2" s="87"/>
      <c r="HYB2" s="87"/>
      <c r="HYD2" s="87"/>
      <c r="HYF2" s="87"/>
      <c r="HYH2" s="87"/>
      <c r="HYJ2" s="87"/>
      <c r="HYL2" s="87"/>
      <c r="HYN2" s="87"/>
      <c r="HYP2" s="87"/>
      <c r="HYR2" s="87"/>
      <c r="HYT2" s="87"/>
      <c r="HYV2" s="87"/>
      <c r="HYX2" s="87"/>
      <c r="HYZ2" s="87"/>
      <c r="HZB2" s="87"/>
      <c r="HZD2" s="87"/>
      <c r="HZF2" s="87"/>
      <c r="HZH2" s="87"/>
      <c r="HZJ2" s="87"/>
      <c r="HZL2" s="87"/>
      <c r="HZN2" s="87"/>
      <c r="HZP2" s="87"/>
      <c r="HZR2" s="87"/>
      <c r="HZT2" s="87"/>
      <c r="HZV2" s="87"/>
      <c r="HZX2" s="87"/>
      <c r="HZZ2" s="87"/>
      <c r="IAB2" s="87"/>
      <c r="IAD2" s="87"/>
      <c r="IAF2" s="87"/>
      <c r="IAH2" s="87"/>
      <c r="IAJ2" s="87"/>
      <c r="IAL2" s="87"/>
      <c r="IAN2" s="87"/>
      <c r="IAP2" s="87"/>
      <c r="IAR2" s="87"/>
      <c r="IAT2" s="87"/>
      <c r="IAV2" s="87"/>
      <c r="IAX2" s="87"/>
      <c r="IAZ2" s="87"/>
      <c r="IBB2" s="87"/>
      <c r="IBD2" s="87"/>
      <c r="IBF2" s="87"/>
      <c r="IBH2" s="87"/>
      <c r="IBJ2" s="87"/>
      <c r="IBL2" s="87"/>
      <c r="IBN2" s="87"/>
      <c r="IBP2" s="87"/>
      <c r="IBR2" s="87"/>
      <c r="IBT2" s="87"/>
      <c r="IBV2" s="87"/>
      <c r="IBX2" s="87"/>
      <c r="IBZ2" s="87"/>
      <c r="ICB2" s="87"/>
      <c r="ICD2" s="87"/>
      <c r="ICF2" s="87"/>
      <c r="ICH2" s="87"/>
      <c r="ICJ2" s="87"/>
      <c r="ICL2" s="87"/>
      <c r="ICN2" s="87"/>
      <c r="ICP2" s="87"/>
      <c r="ICR2" s="87"/>
      <c r="ICT2" s="87"/>
      <c r="ICV2" s="87"/>
      <c r="ICX2" s="87"/>
      <c r="ICZ2" s="87"/>
      <c r="IDB2" s="87"/>
      <c r="IDD2" s="87"/>
      <c r="IDF2" s="87"/>
      <c r="IDH2" s="87"/>
      <c r="IDJ2" s="87"/>
      <c r="IDL2" s="87"/>
      <c r="IDN2" s="87"/>
      <c r="IDP2" s="87"/>
      <c r="IDR2" s="87"/>
      <c r="IDT2" s="87"/>
      <c r="IDV2" s="87"/>
      <c r="IDX2" s="87"/>
      <c r="IDZ2" s="87"/>
      <c r="IEB2" s="87"/>
      <c r="IED2" s="87"/>
      <c r="IEF2" s="87"/>
      <c r="IEH2" s="87"/>
      <c r="IEJ2" s="87"/>
      <c r="IEL2" s="87"/>
      <c r="IEN2" s="87"/>
      <c r="IEP2" s="87"/>
      <c r="IER2" s="87"/>
      <c r="IET2" s="87"/>
      <c r="IEV2" s="87"/>
      <c r="IEX2" s="87"/>
      <c r="IEZ2" s="87"/>
      <c r="IFB2" s="87"/>
      <c r="IFD2" s="87"/>
      <c r="IFF2" s="87"/>
      <c r="IFH2" s="87"/>
      <c r="IFJ2" s="87"/>
      <c r="IFL2" s="87"/>
      <c r="IFN2" s="87"/>
      <c r="IFP2" s="87"/>
      <c r="IFR2" s="87"/>
      <c r="IFT2" s="87"/>
      <c r="IFV2" s="87"/>
      <c r="IFX2" s="87"/>
      <c r="IFZ2" s="87"/>
      <c r="IGB2" s="87"/>
      <c r="IGD2" s="87"/>
      <c r="IGF2" s="87"/>
      <c r="IGH2" s="87"/>
      <c r="IGJ2" s="87"/>
      <c r="IGL2" s="87"/>
      <c r="IGN2" s="87"/>
      <c r="IGP2" s="87"/>
      <c r="IGR2" s="87"/>
      <c r="IGT2" s="87"/>
      <c r="IGV2" s="87"/>
      <c r="IGX2" s="87"/>
      <c r="IGZ2" s="87"/>
      <c r="IHB2" s="87"/>
      <c r="IHD2" s="87"/>
      <c r="IHF2" s="87"/>
      <c r="IHH2" s="87"/>
      <c r="IHJ2" s="87"/>
      <c r="IHL2" s="87"/>
      <c r="IHN2" s="87"/>
      <c r="IHP2" s="87"/>
      <c r="IHR2" s="87"/>
      <c r="IHT2" s="87"/>
      <c r="IHV2" s="87"/>
      <c r="IHX2" s="87"/>
      <c r="IHZ2" s="87"/>
      <c r="IIB2" s="87"/>
      <c r="IID2" s="87"/>
      <c r="IIF2" s="87"/>
      <c r="IIH2" s="87"/>
      <c r="IIJ2" s="87"/>
      <c r="IIL2" s="87"/>
      <c r="IIN2" s="87"/>
      <c r="IIP2" s="87"/>
      <c r="IIR2" s="87"/>
      <c r="IIT2" s="87"/>
      <c r="IIV2" s="87"/>
      <c r="IIX2" s="87"/>
      <c r="IIZ2" s="87"/>
      <c r="IJB2" s="87"/>
      <c r="IJD2" s="87"/>
      <c r="IJF2" s="87"/>
      <c r="IJH2" s="87"/>
      <c r="IJJ2" s="87"/>
      <c r="IJL2" s="87"/>
      <c r="IJN2" s="87"/>
      <c r="IJP2" s="87"/>
      <c r="IJR2" s="87"/>
      <c r="IJT2" s="87"/>
      <c r="IJV2" s="87"/>
      <c r="IJX2" s="87"/>
      <c r="IJZ2" s="87"/>
      <c r="IKB2" s="87"/>
      <c r="IKD2" s="87"/>
      <c r="IKF2" s="87"/>
      <c r="IKH2" s="87"/>
      <c r="IKJ2" s="87"/>
      <c r="IKL2" s="87"/>
      <c r="IKN2" s="87"/>
      <c r="IKP2" s="87"/>
      <c r="IKR2" s="87"/>
      <c r="IKT2" s="87"/>
      <c r="IKV2" s="87"/>
      <c r="IKX2" s="87"/>
      <c r="IKZ2" s="87"/>
      <c r="ILB2" s="87"/>
      <c r="ILD2" s="87"/>
      <c r="ILF2" s="87"/>
      <c r="ILH2" s="87"/>
      <c r="ILJ2" s="87"/>
      <c r="ILL2" s="87"/>
      <c r="ILN2" s="87"/>
      <c r="ILP2" s="87"/>
      <c r="ILR2" s="87"/>
      <c r="ILT2" s="87"/>
      <c r="ILV2" s="87"/>
      <c r="ILX2" s="87"/>
      <c r="ILZ2" s="87"/>
      <c r="IMB2" s="87"/>
      <c r="IMD2" s="87"/>
      <c r="IMF2" s="87"/>
      <c r="IMH2" s="87"/>
      <c r="IMJ2" s="87"/>
      <c r="IML2" s="87"/>
      <c r="IMN2" s="87"/>
      <c r="IMP2" s="87"/>
      <c r="IMR2" s="87"/>
      <c r="IMT2" s="87"/>
      <c r="IMV2" s="87"/>
      <c r="IMX2" s="87"/>
      <c r="IMZ2" s="87"/>
      <c r="INB2" s="87"/>
      <c r="IND2" s="87"/>
      <c r="INF2" s="87"/>
      <c r="INH2" s="87"/>
      <c r="INJ2" s="87"/>
      <c r="INL2" s="87"/>
      <c r="INN2" s="87"/>
      <c r="INP2" s="87"/>
      <c r="INR2" s="87"/>
      <c r="INT2" s="87"/>
      <c r="INV2" s="87"/>
      <c r="INX2" s="87"/>
      <c r="INZ2" s="87"/>
      <c r="IOB2" s="87"/>
      <c r="IOD2" s="87"/>
      <c r="IOF2" s="87"/>
      <c r="IOH2" s="87"/>
      <c r="IOJ2" s="87"/>
      <c r="IOL2" s="87"/>
      <c r="ION2" s="87"/>
      <c r="IOP2" s="87"/>
      <c r="IOR2" s="87"/>
      <c r="IOT2" s="87"/>
      <c r="IOV2" s="87"/>
      <c r="IOX2" s="87"/>
      <c r="IOZ2" s="87"/>
      <c r="IPB2" s="87"/>
      <c r="IPD2" s="87"/>
      <c r="IPF2" s="87"/>
      <c r="IPH2" s="87"/>
      <c r="IPJ2" s="87"/>
      <c r="IPL2" s="87"/>
      <c r="IPN2" s="87"/>
      <c r="IPP2" s="87"/>
      <c r="IPR2" s="87"/>
      <c r="IPT2" s="87"/>
      <c r="IPV2" s="87"/>
      <c r="IPX2" s="87"/>
      <c r="IPZ2" s="87"/>
      <c r="IQB2" s="87"/>
      <c r="IQD2" s="87"/>
      <c r="IQF2" s="87"/>
      <c r="IQH2" s="87"/>
      <c r="IQJ2" s="87"/>
      <c r="IQL2" s="87"/>
      <c r="IQN2" s="87"/>
      <c r="IQP2" s="87"/>
      <c r="IQR2" s="87"/>
      <c r="IQT2" s="87"/>
      <c r="IQV2" s="87"/>
      <c r="IQX2" s="87"/>
      <c r="IQZ2" s="87"/>
      <c r="IRB2" s="87"/>
      <c r="IRD2" s="87"/>
      <c r="IRF2" s="87"/>
      <c r="IRH2" s="87"/>
      <c r="IRJ2" s="87"/>
      <c r="IRL2" s="87"/>
      <c r="IRN2" s="87"/>
      <c r="IRP2" s="87"/>
      <c r="IRR2" s="87"/>
      <c r="IRT2" s="87"/>
      <c r="IRV2" s="87"/>
      <c r="IRX2" s="87"/>
      <c r="IRZ2" s="87"/>
      <c r="ISB2" s="87"/>
      <c r="ISD2" s="87"/>
      <c r="ISF2" s="87"/>
      <c r="ISH2" s="87"/>
      <c r="ISJ2" s="87"/>
      <c r="ISL2" s="87"/>
      <c r="ISN2" s="87"/>
      <c r="ISP2" s="87"/>
      <c r="ISR2" s="87"/>
      <c r="IST2" s="87"/>
      <c r="ISV2" s="87"/>
      <c r="ISX2" s="87"/>
      <c r="ISZ2" s="87"/>
      <c r="ITB2" s="87"/>
      <c r="ITD2" s="87"/>
      <c r="ITF2" s="87"/>
      <c r="ITH2" s="87"/>
      <c r="ITJ2" s="87"/>
      <c r="ITL2" s="87"/>
      <c r="ITN2" s="87"/>
      <c r="ITP2" s="87"/>
      <c r="ITR2" s="87"/>
      <c r="ITT2" s="87"/>
      <c r="ITV2" s="87"/>
      <c r="ITX2" s="87"/>
      <c r="ITZ2" s="87"/>
      <c r="IUB2" s="87"/>
      <c r="IUD2" s="87"/>
      <c r="IUF2" s="87"/>
      <c r="IUH2" s="87"/>
      <c r="IUJ2" s="87"/>
      <c r="IUL2" s="87"/>
      <c r="IUN2" s="87"/>
      <c r="IUP2" s="87"/>
      <c r="IUR2" s="87"/>
      <c r="IUT2" s="87"/>
      <c r="IUV2" s="87"/>
      <c r="IUX2" s="87"/>
      <c r="IUZ2" s="87"/>
      <c r="IVB2" s="87"/>
      <c r="IVD2" s="87"/>
      <c r="IVF2" s="87"/>
      <c r="IVH2" s="87"/>
      <c r="IVJ2" s="87"/>
      <c r="IVL2" s="87"/>
      <c r="IVN2" s="87"/>
      <c r="IVP2" s="87"/>
      <c r="IVR2" s="87"/>
      <c r="IVT2" s="87"/>
      <c r="IVV2" s="87"/>
      <c r="IVX2" s="87"/>
      <c r="IVZ2" s="87"/>
      <c r="IWB2" s="87"/>
      <c r="IWD2" s="87"/>
      <c r="IWF2" s="87"/>
      <c r="IWH2" s="87"/>
      <c r="IWJ2" s="87"/>
      <c r="IWL2" s="87"/>
      <c r="IWN2" s="87"/>
      <c r="IWP2" s="87"/>
      <c r="IWR2" s="87"/>
      <c r="IWT2" s="87"/>
      <c r="IWV2" s="87"/>
      <c r="IWX2" s="87"/>
      <c r="IWZ2" s="87"/>
      <c r="IXB2" s="87"/>
      <c r="IXD2" s="87"/>
      <c r="IXF2" s="87"/>
      <c r="IXH2" s="87"/>
      <c r="IXJ2" s="87"/>
      <c r="IXL2" s="87"/>
      <c r="IXN2" s="87"/>
      <c r="IXP2" s="87"/>
      <c r="IXR2" s="87"/>
      <c r="IXT2" s="87"/>
      <c r="IXV2" s="87"/>
      <c r="IXX2" s="87"/>
      <c r="IXZ2" s="87"/>
      <c r="IYB2" s="87"/>
      <c r="IYD2" s="87"/>
      <c r="IYF2" s="87"/>
      <c r="IYH2" s="87"/>
      <c r="IYJ2" s="87"/>
      <c r="IYL2" s="87"/>
      <c r="IYN2" s="87"/>
      <c r="IYP2" s="87"/>
      <c r="IYR2" s="87"/>
      <c r="IYT2" s="87"/>
      <c r="IYV2" s="87"/>
      <c r="IYX2" s="87"/>
      <c r="IYZ2" s="87"/>
      <c r="IZB2" s="87"/>
      <c r="IZD2" s="87"/>
      <c r="IZF2" s="87"/>
      <c r="IZH2" s="87"/>
      <c r="IZJ2" s="87"/>
      <c r="IZL2" s="87"/>
      <c r="IZN2" s="87"/>
      <c r="IZP2" s="87"/>
      <c r="IZR2" s="87"/>
      <c r="IZT2" s="87"/>
      <c r="IZV2" s="87"/>
      <c r="IZX2" s="87"/>
      <c r="IZZ2" s="87"/>
      <c r="JAB2" s="87"/>
      <c r="JAD2" s="87"/>
      <c r="JAF2" s="87"/>
      <c r="JAH2" s="87"/>
      <c r="JAJ2" s="87"/>
      <c r="JAL2" s="87"/>
      <c r="JAN2" s="87"/>
      <c r="JAP2" s="87"/>
      <c r="JAR2" s="87"/>
      <c r="JAT2" s="87"/>
      <c r="JAV2" s="87"/>
      <c r="JAX2" s="87"/>
      <c r="JAZ2" s="87"/>
      <c r="JBB2" s="87"/>
      <c r="JBD2" s="87"/>
      <c r="JBF2" s="87"/>
      <c r="JBH2" s="87"/>
      <c r="JBJ2" s="87"/>
      <c r="JBL2" s="87"/>
      <c r="JBN2" s="87"/>
      <c r="JBP2" s="87"/>
      <c r="JBR2" s="87"/>
      <c r="JBT2" s="87"/>
      <c r="JBV2" s="87"/>
      <c r="JBX2" s="87"/>
      <c r="JBZ2" s="87"/>
      <c r="JCB2" s="87"/>
      <c r="JCD2" s="87"/>
      <c r="JCF2" s="87"/>
      <c r="JCH2" s="87"/>
      <c r="JCJ2" s="87"/>
      <c r="JCL2" s="87"/>
      <c r="JCN2" s="87"/>
      <c r="JCP2" s="87"/>
      <c r="JCR2" s="87"/>
      <c r="JCT2" s="87"/>
      <c r="JCV2" s="87"/>
      <c r="JCX2" s="87"/>
      <c r="JCZ2" s="87"/>
      <c r="JDB2" s="87"/>
      <c r="JDD2" s="87"/>
      <c r="JDF2" s="87"/>
      <c r="JDH2" s="87"/>
      <c r="JDJ2" s="87"/>
      <c r="JDL2" s="87"/>
      <c r="JDN2" s="87"/>
      <c r="JDP2" s="87"/>
      <c r="JDR2" s="87"/>
      <c r="JDT2" s="87"/>
      <c r="JDV2" s="87"/>
      <c r="JDX2" s="87"/>
      <c r="JDZ2" s="87"/>
      <c r="JEB2" s="87"/>
      <c r="JED2" s="87"/>
      <c r="JEF2" s="87"/>
      <c r="JEH2" s="87"/>
      <c r="JEJ2" s="87"/>
      <c r="JEL2" s="87"/>
      <c r="JEN2" s="87"/>
      <c r="JEP2" s="87"/>
      <c r="JER2" s="87"/>
      <c r="JET2" s="87"/>
      <c r="JEV2" s="87"/>
      <c r="JEX2" s="87"/>
      <c r="JEZ2" s="87"/>
      <c r="JFB2" s="87"/>
      <c r="JFD2" s="87"/>
      <c r="JFF2" s="87"/>
      <c r="JFH2" s="87"/>
      <c r="JFJ2" s="87"/>
      <c r="JFL2" s="87"/>
      <c r="JFN2" s="87"/>
      <c r="JFP2" s="87"/>
      <c r="JFR2" s="87"/>
      <c r="JFT2" s="87"/>
      <c r="JFV2" s="87"/>
      <c r="JFX2" s="87"/>
      <c r="JFZ2" s="87"/>
      <c r="JGB2" s="87"/>
      <c r="JGD2" s="87"/>
      <c r="JGF2" s="87"/>
      <c r="JGH2" s="87"/>
      <c r="JGJ2" s="87"/>
      <c r="JGL2" s="87"/>
      <c r="JGN2" s="87"/>
      <c r="JGP2" s="87"/>
      <c r="JGR2" s="87"/>
      <c r="JGT2" s="87"/>
      <c r="JGV2" s="87"/>
      <c r="JGX2" s="87"/>
      <c r="JGZ2" s="87"/>
      <c r="JHB2" s="87"/>
      <c r="JHD2" s="87"/>
      <c r="JHF2" s="87"/>
      <c r="JHH2" s="87"/>
      <c r="JHJ2" s="87"/>
      <c r="JHL2" s="87"/>
      <c r="JHN2" s="87"/>
      <c r="JHP2" s="87"/>
      <c r="JHR2" s="87"/>
      <c r="JHT2" s="87"/>
      <c r="JHV2" s="87"/>
      <c r="JHX2" s="87"/>
      <c r="JHZ2" s="87"/>
      <c r="JIB2" s="87"/>
      <c r="JID2" s="87"/>
      <c r="JIF2" s="87"/>
      <c r="JIH2" s="87"/>
      <c r="JIJ2" s="87"/>
      <c r="JIL2" s="87"/>
      <c r="JIN2" s="87"/>
      <c r="JIP2" s="87"/>
      <c r="JIR2" s="87"/>
      <c r="JIT2" s="87"/>
      <c r="JIV2" s="87"/>
      <c r="JIX2" s="87"/>
      <c r="JIZ2" s="87"/>
      <c r="JJB2" s="87"/>
      <c r="JJD2" s="87"/>
      <c r="JJF2" s="87"/>
      <c r="JJH2" s="87"/>
      <c r="JJJ2" s="87"/>
      <c r="JJL2" s="87"/>
      <c r="JJN2" s="87"/>
      <c r="JJP2" s="87"/>
      <c r="JJR2" s="87"/>
      <c r="JJT2" s="87"/>
      <c r="JJV2" s="87"/>
      <c r="JJX2" s="87"/>
      <c r="JJZ2" s="87"/>
      <c r="JKB2" s="87"/>
      <c r="JKD2" s="87"/>
      <c r="JKF2" s="87"/>
      <c r="JKH2" s="87"/>
      <c r="JKJ2" s="87"/>
      <c r="JKL2" s="87"/>
      <c r="JKN2" s="87"/>
      <c r="JKP2" s="87"/>
      <c r="JKR2" s="87"/>
      <c r="JKT2" s="87"/>
      <c r="JKV2" s="87"/>
      <c r="JKX2" s="87"/>
      <c r="JKZ2" s="87"/>
      <c r="JLB2" s="87"/>
      <c r="JLD2" s="87"/>
      <c r="JLF2" s="87"/>
      <c r="JLH2" s="87"/>
      <c r="JLJ2" s="87"/>
      <c r="JLL2" s="87"/>
      <c r="JLN2" s="87"/>
      <c r="JLP2" s="87"/>
      <c r="JLR2" s="87"/>
      <c r="JLT2" s="87"/>
      <c r="JLV2" s="87"/>
      <c r="JLX2" s="87"/>
      <c r="JLZ2" s="87"/>
      <c r="JMB2" s="87"/>
      <c r="JMD2" s="87"/>
      <c r="JMF2" s="87"/>
      <c r="JMH2" s="87"/>
      <c r="JMJ2" s="87"/>
      <c r="JML2" s="87"/>
      <c r="JMN2" s="87"/>
      <c r="JMP2" s="87"/>
      <c r="JMR2" s="87"/>
      <c r="JMT2" s="87"/>
      <c r="JMV2" s="87"/>
      <c r="JMX2" s="87"/>
      <c r="JMZ2" s="87"/>
      <c r="JNB2" s="87"/>
      <c r="JND2" s="87"/>
      <c r="JNF2" s="87"/>
      <c r="JNH2" s="87"/>
      <c r="JNJ2" s="87"/>
      <c r="JNL2" s="87"/>
      <c r="JNN2" s="87"/>
      <c r="JNP2" s="87"/>
      <c r="JNR2" s="87"/>
      <c r="JNT2" s="87"/>
      <c r="JNV2" s="87"/>
      <c r="JNX2" s="87"/>
      <c r="JNZ2" s="87"/>
      <c r="JOB2" s="87"/>
      <c r="JOD2" s="87"/>
      <c r="JOF2" s="87"/>
      <c r="JOH2" s="87"/>
      <c r="JOJ2" s="87"/>
      <c r="JOL2" s="87"/>
      <c r="JON2" s="87"/>
      <c r="JOP2" s="87"/>
      <c r="JOR2" s="87"/>
      <c r="JOT2" s="87"/>
      <c r="JOV2" s="87"/>
      <c r="JOX2" s="87"/>
      <c r="JOZ2" s="87"/>
      <c r="JPB2" s="87"/>
      <c r="JPD2" s="87"/>
      <c r="JPF2" s="87"/>
      <c r="JPH2" s="87"/>
      <c r="JPJ2" s="87"/>
      <c r="JPL2" s="87"/>
      <c r="JPN2" s="87"/>
      <c r="JPP2" s="87"/>
      <c r="JPR2" s="87"/>
      <c r="JPT2" s="87"/>
      <c r="JPV2" s="87"/>
      <c r="JPX2" s="87"/>
      <c r="JPZ2" s="87"/>
      <c r="JQB2" s="87"/>
      <c r="JQD2" s="87"/>
      <c r="JQF2" s="87"/>
      <c r="JQH2" s="87"/>
      <c r="JQJ2" s="87"/>
      <c r="JQL2" s="87"/>
      <c r="JQN2" s="87"/>
      <c r="JQP2" s="87"/>
      <c r="JQR2" s="87"/>
      <c r="JQT2" s="87"/>
      <c r="JQV2" s="87"/>
      <c r="JQX2" s="87"/>
      <c r="JQZ2" s="87"/>
      <c r="JRB2" s="87"/>
      <c r="JRD2" s="87"/>
      <c r="JRF2" s="87"/>
      <c r="JRH2" s="87"/>
      <c r="JRJ2" s="87"/>
      <c r="JRL2" s="87"/>
      <c r="JRN2" s="87"/>
      <c r="JRP2" s="87"/>
      <c r="JRR2" s="87"/>
      <c r="JRT2" s="87"/>
      <c r="JRV2" s="87"/>
      <c r="JRX2" s="87"/>
      <c r="JRZ2" s="87"/>
      <c r="JSB2" s="87"/>
      <c r="JSD2" s="87"/>
      <c r="JSF2" s="87"/>
      <c r="JSH2" s="87"/>
      <c r="JSJ2" s="87"/>
      <c r="JSL2" s="87"/>
      <c r="JSN2" s="87"/>
      <c r="JSP2" s="87"/>
      <c r="JSR2" s="87"/>
      <c r="JST2" s="87"/>
      <c r="JSV2" s="87"/>
      <c r="JSX2" s="87"/>
      <c r="JSZ2" s="87"/>
      <c r="JTB2" s="87"/>
      <c r="JTD2" s="87"/>
      <c r="JTF2" s="87"/>
      <c r="JTH2" s="87"/>
      <c r="JTJ2" s="87"/>
      <c r="JTL2" s="87"/>
      <c r="JTN2" s="87"/>
      <c r="JTP2" s="87"/>
      <c r="JTR2" s="87"/>
      <c r="JTT2" s="87"/>
      <c r="JTV2" s="87"/>
      <c r="JTX2" s="87"/>
      <c r="JTZ2" s="87"/>
      <c r="JUB2" s="87"/>
      <c r="JUD2" s="87"/>
      <c r="JUF2" s="87"/>
      <c r="JUH2" s="87"/>
      <c r="JUJ2" s="87"/>
      <c r="JUL2" s="87"/>
      <c r="JUN2" s="87"/>
      <c r="JUP2" s="87"/>
      <c r="JUR2" s="87"/>
      <c r="JUT2" s="87"/>
      <c r="JUV2" s="87"/>
      <c r="JUX2" s="87"/>
      <c r="JUZ2" s="87"/>
      <c r="JVB2" s="87"/>
      <c r="JVD2" s="87"/>
      <c r="JVF2" s="87"/>
      <c r="JVH2" s="87"/>
      <c r="JVJ2" s="87"/>
      <c r="JVL2" s="87"/>
      <c r="JVN2" s="87"/>
      <c r="JVP2" s="87"/>
      <c r="JVR2" s="87"/>
      <c r="JVT2" s="87"/>
      <c r="JVV2" s="87"/>
      <c r="JVX2" s="87"/>
      <c r="JVZ2" s="87"/>
      <c r="JWB2" s="87"/>
      <c r="JWD2" s="87"/>
      <c r="JWF2" s="87"/>
      <c r="JWH2" s="87"/>
      <c r="JWJ2" s="87"/>
      <c r="JWL2" s="87"/>
      <c r="JWN2" s="87"/>
      <c r="JWP2" s="87"/>
      <c r="JWR2" s="87"/>
      <c r="JWT2" s="87"/>
      <c r="JWV2" s="87"/>
      <c r="JWX2" s="87"/>
      <c r="JWZ2" s="87"/>
      <c r="JXB2" s="87"/>
      <c r="JXD2" s="87"/>
      <c r="JXF2" s="87"/>
      <c r="JXH2" s="87"/>
      <c r="JXJ2" s="87"/>
      <c r="JXL2" s="87"/>
      <c r="JXN2" s="87"/>
      <c r="JXP2" s="87"/>
      <c r="JXR2" s="87"/>
      <c r="JXT2" s="87"/>
      <c r="JXV2" s="87"/>
      <c r="JXX2" s="87"/>
      <c r="JXZ2" s="87"/>
      <c r="JYB2" s="87"/>
      <c r="JYD2" s="87"/>
      <c r="JYF2" s="87"/>
      <c r="JYH2" s="87"/>
      <c r="JYJ2" s="87"/>
      <c r="JYL2" s="87"/>
      <c r="JYN2" s="87"/>
      <c r="JYP2" s="87"/>
      <c r="JYR2" s="87"/>
      <c r="JYT2" s="87"/>
      <c r="JYV2" s="87"/>
      <c r="JYX2" s="87"/>
      <c r="JYZ2" s="87"/>
      <c r="JZB2" s="87"/>
      <c r="JZD2" s="87"/>
      <c r="JZF2" s="87"/>
      <c r="JZH2" s="87"/>
      <c r="JZJ2" s="87"/>
      <c r="JZL2" s="87"/>
      <c r="JZN2" s="87"/>
      <c r="JZP2" s="87"/>
      <c r="JZR2" s="87"/>
      <c r="JZT2" s="87"/>
      <c r="JZV2" s="87"/>
      <c r="JZX2" s="87"/>
      <c r="JZZ2" s="87"/>
      <c r="KAB2" s="87"/>
      <c r="KAD2" s="87"/>
      <c r="KAF2" s="87"/>
      <c r="KAH2" s="87"/>
      <c r="KAJ2" s="87"/>
      <c r="KAL2" s="87"/>
      <c r="KAN2" s="87"/>
      <c r="KAP2" s="87"/>
      <c r="KAR2" s="87"/>
      <c r="KAT2" s="87"/>
      <c r="KAV2" s="87"/>
      <c r="KAX2" s="87"/>
      <c r="KAZ2" s="87"/>
      <c r="KBB2" s="87"/>
      <c r="KBD2" s="87"/>
      <c r="KBF2" s="87"/>
      <c r="KBH2" s="87"/>
      <c r="KBJ2" s="87"/>
      <c r="KBL2" s="87"/>
      <c r="KBN2" s="87"/>
      <c r="KBP2" s="87"/>
      <c r="KBR2" s="87"/>
      <c r="KBT2" s="87"/>
      <c r="KBV2" s="87"/>
      <c r="KBX2" s="87"/>
      <c r="KBZ2" s="87"/>
      <c r="KCB2" s="87"/>
      <c r="KCD2" s="87"/>
      <c r="KCF2" s="87"/>
      <c r="KCH2" s="87"/>
      <c r="KCJ2" s="87"/>
      <c r="KCL2" s="87"/>
      <c r="KCN2" s="87"/>
      <c r="KCP2" s="87"/>
      <c r="KCR2" s="87"/>
      <c r="KCT2" s="87"/>
      <c r="KCV2" s="87"/>
      <c r="KCX2" s="87"/>
      <c r="KCZ2" s="87"/>
      <c r="KDB2" s="87"/>
      <c r="KDD2" s="87"/>
      <c r="KDF2" s="87"/>
      <c r="KDH2" s="87"/>
      <c r="KDJ2" s="87"/>
      <c r="KDL2" s="87"/>
      <c r="KDN2" s="87"/>
      <c r="KDP2" s="87"/>
      <c r="KDR2" s="87"/>
      <c r="KDT2" s="87"/>
      <c r="KDV2" s="87"/>
      <c r="KDX2" s="87"/>
      <c r="KDZ2" s="87"/>
      <c r="KEB2" s="87"/>
      <c r="KED2" s="87"/>
      <c r="KEF2" s="87"/>
      <c r="KEH2" s="87"/>
      <c r="KEJ2" s="87"/>
      <c r="KEL2" s="87"/>
      <c r="KEN2" s="87"/>
      <c r="KEP2" s="87"/>
      <c r="KER2" s="87"/>
      <c r="KET2" s="87"/>
      <c r="KEV2" s="87"/>
      <c r="KEX2" s="87"/>
      <c r="KEZ2" s="87"/>
      <c r="KFB2" s="87"/>
      <c r="KFD2" s="87"/>
      <c r="KFF2" s="87"/>
      <c r="KFH2" s="87"/>
      <c r="KFJ2" s="87"/>
      <c r="KFL2" s="87"/>
      <c r="KFN2" s="87"/>
      <c r="KFP2" s="87"/>
      <c r="KFR2" s="87"/>
      <c r="KFT2" s="87"/>
      <c r="KFV2" s="87"/>
      <c r="KFX2" s="87"/>
      <c r="KFZ2" s="87"/>
      <c r="KGB2" s="87"/>
      <c r="KGD2" s="87"/>
      <c r="KGF2" s="87"/>
      <c r="KGH2" s="87"/>
      <c r="KGJ2" s="87"/>
      <c r="KGL2" s="87"/>
      <c r="KGN2" s="87"/>
      <c r="KGP2" s="87"/>
      <c r="KGR2" s="87"/>
      <c r="KGT2" s="87"/>
      <c r="KGV2" s="87"/>
      <c r="KGX2" s="87"/>
      <c r="KGZ2" s="87"/>
      <c r="KHB2" s="87"/>
      <c r="KHD2" s="87"/>
      <c r="KHF2" s="87"/>
      <c r="KHH2" s="87"/>
      <c r="KHJ2" s="87"/>
      <c r="KHL2" s="87"/>
      <c r="KHN2" s="87"/>
      <c r="KHP2" s="87"/>
      <c r="KHR2" s="87"/>
      <c r="KHT2" s="87"/>
      <c r="KHV2" s="87"/>
      <c r="KHX2" s="87"/>
      <c r="KHZ2" s="87"/>
      <c r="KIB2" s="87"/>
      <c r="KID2" s="87"/>
      <c r="KIF2" s="87"/>
      <c r="KIH2" s="87"/>
      <c r="KIJ2" s="87"/>
      <c r="KIL2" s="87"/>
      <c r="KIN2" s="87"/>
      <c r="KIP2" s="87"/>
      <c r="KIR2" s="87"/>
      <c r="KIT2" s="87"/>
      <c r="KIV2" s="87"/>
      <c r="KIX2" s="87"/>
      <c r="KIZ2" s="87"/>
      <c r="KJB2" s="87"/>
      <c r="KJD2" s="87"/>
      <c r="KJF2" s="87"/>
      <c r="KJH2" s="87"/>
      <c r="KJJ2" s="87"/>
      <c r="KJL2" s="87"/>
      <c r="KJN2" s="87"/>
      <c r="KJP2" s="87"/>
      <c r="KJR2" s="87"/>
      <c r="KJT2" s="87"/>
      <c r="KJV2" s="87"/>
      <c r="KJX2" s="87"/>
      <c r="KJZ2" s="87"/>
      <c r="KKB2" s="87"/>
      <c r="KKD2" s="87"/>
      <c r="KKF2" s="87"/>
      <c r="KKH2" s="87"/>
      <c r="KKJ2" s="87"/>
      <c r="KKL2" s="87"/>
      <c r="KKN2" s="87"/>
      <c r="KKP2" s="87"/>
      <c r="KKR2" s="87"/>
      <c r="KKT2" s="87"/>
      <c r="KKV2" s="87"/>
      <c r="KKX2" s="87"/>
      <c r="KKZ2" s="87"/>
      <c r="KLB2" s="87"/>
      <c r="KLD2" s="87"/>
      <c r="KLF2" s="87"/>
      <c r="KLH2" s="87"/>
      <c r="KLJ2" s="87"/>
      <c r="KLL2" s="87"/>
      <c r="KLN2" s="87"/>
      <c r="KLP2" s="87"/>
      <c r="KLR2" s="87"/>
      <c r="KLT2" s="87"/>
      <c r="KLV2" s="87"/>
      <c r="KLX2" s="87"/>
      <c r="KLZ2" s="87"/>
      <c r="KMB2" s="87"/>
      <c r="KMD2" s="87"/>
      <c r="KMF2" s="87"/>
      <c r="KMH2" s="87"/>
      <c r="KMJ2" s="87"/>
      <c r="KML2" s="87"/>
      <c r="KMN2" s="87"/>
      <c r="KMP2" s="87"/>
      <c r="KMR2" s="87"/>
      <c r="KMT2" s="87"/>
      <c r="KMV2" s="87"/>
      <c r="KMX2" s="87"/>
      <c r="KMZ2" s="87"/>
      <c r="KNB2" s="87"/>
      <c r="KND2" s="87"/>
      <c r="KNF2" s="87"/>
      <c r="KNH2" s="87"/>
      <c r="KNJ2" s="87"/>
      <c r="KNL2" s="87"/>
      <c r="KNN2" s="87"/>
      <c r="KNP2" s="87"/>
      <c r="KNR2" s="87"/>
      <c r="KNT2" s="87"/>
      <c r="KNV2" s="87"/>
      <c r="KNX2" s="87"/>
      <c r="KNZ2" s="87"/>
      <c r="KOB2" s="87"/>
      <c r="KOD2" s="87"/>
      <c r="KOF2" s="87"/>
      <c r="KOH2" s="87"/>
      <c r="KOJ2" s="87"/>
      <c r="KOL2" s="87"/>
      <c r="KON2" s="87"/>
      <c r="KOP2" s="87"/>
      <c r="KOR2" s="87"/>
      <c r="KOT2" s="87"/>
      <c r="KOV2" s="87"/>
      <c r="KOX2" s="87"/>
      <c r="KOZ2" s="87"/>
      <c r="KPB2" s="87"/>
      <c r="KPD2" s="87"/>
      <c r="KPF2" s="87"/>
      <c r="KPH2" s="87"/>
      <c r="KPJ2" s="87"/>
      <c r="KPL2" s="87"/>
      <c r="KPN2" s="87"/>
      <c r="KPP2" s="87"/>
      <c r="KPR2" s="87"/>
      <c r="KPT2" s="87"/>
      <c r="KPV2" s="87"/>
      <c r="KPX2" s="87"/>
      <c r="KPZ2" s="87"/>
      <c r="KQB2" s="87"/>
      <c r="KQD2" s="87"/>
      <c r="KQF2" s="87"/>
      <c r="KQH2" s="87"/>
      <c r="KQJ2" s="87"/>
      <c r="KQL2" s="87"/>
      <c r="KQN2" s="87"/>
      <c r="KQP2" s="87"/>
      <c r="KQR2" s="87"/>
      <c r="KQT2" s="87"/>
      <c r="KQV2" s="87"/>
      <c r="KQX2" s="87"/>
      <c r="KQZ2" s="87"/>
      <c r="KRB2" s="87"/>
      <c r="KRD2" s="87"/>
      <c r="KRF2" s="87"/>
      <c r="KRH2" s="87"/>
      <c r="KRJ2" s="87"/>
      <c r="KRL2" s="87"/>
      <c r="KRN2" s="87"/>
      <c r="KRP2" s="87"/>
      <c r="KRR2" s="87"/>
      <c r="KRT2" s="87"/>
      <c r="KRV2" s="87"/>
      <c r="KRX2" s="87"/>
      <c r="KRZ2" s="87"/>
      <c r="KSB2" s="87"/>
      <c r="KSD2" s="87"/>
      <c r="KSF2" s="87"/>
      <c r="KSH2" s="87"/>
      <c r="KSJ2" s="87"/>
      <c r="KSL2" s="87"/>
      <c r="KSN2" s="87"/>
      <c r="KSP2" s="87"/>
      <c r="KSR2" s="87"/>
      <c r="KST2" s="87"/>
      <c r="KSV2" s="87"/>
      <c r="KSX2" s="87"/>
      <c r="KSZ2" s="87"/>
      <c r="KTB2" s="87"/>
      <c r="KTD2" s="87"/>
      <c r="KTF2" s="87"/>
      <c r="KTH2" s="87"/>
      <c r="KTJ2" s="87"/>
      <c r="KTL2" s="87"/>
      <c r="KTN2" s="87"/>
      <c r="KTP2" s="87"/>
      <c r="KTR2" s="87"/>
      <c r="KTT2" s="87"/>
      <c r="KTV2" s="87"/>
      <c r="KTX2" s="87"/>
      <c r="KTZ2" s="87"/>
      <c r="KUB2" s="87"/>
      <c r="KUD2" s="87"/>
      <c r="KUF2" s="87"/>
      <c r="KUH2" s="87"/>
      <c r="KUJ2" s="87"/>
      <c r="KUL2" s="87"/>
      <c r="KUN2" s="87"/>
      <c r="KUP2" s="87"/>
      <c r="KUR2" s="87"/>
      <c r="KUT2" s="87"/>
      <c r="KUV2" s="87"/>
      <c r="KUX2" s="87"/>
      <c r="KUZ2" s="87"/>
      <c r="KVB2" s="87"/>
      <c r="KVD2" s="87"/>
      <c r="KVF2" s="87"/>
      <c r="KVH2" s="87"/>
      <c r="KVJ2" s="87"/>
      <c r="KVL2" s="87"/>
      <c r="KVN2" s="87"/>
      <c r="KVP2" s="87"/>
      <c r="KVR2" s="87"/>
      <c r="KVT2" s="87"/>
      <c r="KVV2" s="87"/>
      <c r="KVX2" s="87"/>
      <c r="KVZ2" s="87"/>
      <c r="KWB2" s="87"/>
      <c r="KWD2" s="87"/>
      <c r="KWF2" s="87"/>
      <c r="KWH2" s="87"/>
      <c r="KWJ2" s="87"/>
      <c r="KWL2" s="87"/>
      <c r="KWN2" s="87"/>
      <c r="KWP2" s="87"/>
      <c r="KWR2" s="87"/>
      <c r="KWT2" s="87"/>
      <c r="KWV2" s="87"/>
      <c r="KWX2" s="87"/>
      <c r="KWZ2" s="87"/>
      <c r="KXB2" s="87"/>
      <c r="KXD2" s="87"/>
      <c r="KXF2" s="87"/>
      <c r="KXH2" s="87"/>
      <c r="KXJ2" s="87"/>
      <c r="KXL2" s="87"/>
      <c r="KXN2" s="87"/>
      <c r="KXP2" s="87"/>
      <c r="KXR2" s="87"/>
      <c r="KXT2" s="87"/>
      <c r="KXV2" s="87"/>
      <c r="KXX2" s="87"/>
      <c r="KXZ2" s="87"/>
      <c r="KYB2" s="87"/>
      <c r="KYD2" s="87"/>
      <c r="KYF2" s="87"/>
      <c r="KYH2" s="87"/>
      <c r="KYJ2" s="87"/>
      <c r="KYL2" s="87"/>
      <c r="KYN2" s="87"/>
      <c r="KYP2" s="87"/>
      <c r="KYR2" s="87"/>
      <c r="KYT2" s="87"/>
      <c r="KYV2" s="87"/>
      <c r="KYX2" s="87"/>
      <c r="KYZ2" s="87"/>
      <c r="KZB2" s="87"/>
      <c r="KZD2" s="87"/>
      <c r="KZF2" s="87"/>
      <c r="KZH2" s="87"/>
      <c r="KZJ2" s="87"/>
      <c r="KZL2" s="87"/>
      <c r="KZN2" s="87"/>
      <c r="KZP2" s="87"/>
      <c r="KZR2" s="87"/>
      <c r="KZT2" s="87"/>
      <c r="KZV2" s="87"/>
      <c r="KZX2" s="87"/>
      <c r="KZZ2" s="87"/>
      <c r="LAB2" s="87"/>
      <c r="LAD2" s="87"/>
      <c r="LAF2" s="87"/>
      <c r="LAH2" s="87"/>
      <c r="LAJ2" s="87"/>
      <c r="LAL2" s="87"/>
      <c r="LAN2" s="87"/>
      <c r="LAP2" s="87"/>
      <c r="LAR2" s="87"/>
      <c r="LAT2" s="87"/>
      <c r="LAV2" s="87"/>
      <c r="LAX2" s="87"/>
      <c r="LAZ2" s="87"/>
      <c r="LBB2" s="87"/>
      <c r="LBD2" s="87"/>
      <c r="LBF2" s="87"/>
      <c r="LBH2" s="87"/>
      <c r="LBJ2" s="87"/>
      <c r="LBL2" s="87"/>
      <c r="LBN2" s="87"/>
      <c r="LBP2" s="87"/>
      <c r="LBR2" s="87"/>
      <c r="LBT2" s="87"/>
      <c r="LBV2" s="87"/>
      <c r="LBX2" s="87"/>
      <c r="LBZ2" s="87"/>
      <c r="LCB2" s="87"/>
      <c r="LCD2" s="87"/>
      <c r="LCF2" s="87"/>
      <c r="LCH2" s="87"/>
      <c r="LCJ2" s="87"/>
      <c r="LCL2" s="87"/>
      <c r="LCN2" s="87"/>
      <c r="LCP2" s="87"/>
      <c r="LCR2" s="87"/>
      <c r="LCT2" s="87"/>
      <c r="LCV2" s="87"/>
      <c r="LCX2" s="87"/>
      <c r="LCZ2" s="87"/>
      <c r="LDB2" s="87"/>
      <c r="LDD2" s="87"/>
      <c r="LDF2" s="87"/>
      <c r="LDH2" s="87"/>
      <c r="LDJ2" s="87"/>
      <c r="LDL2" s="87"/>
      <c r="LDN2" s="87"/>
      <c r="LDP2" s="87"/>
      <c r="LDR2" s="87"/>
      <c r="LDT2" s="87"/>
      <c r="LDV2" s="87"/>
      <c r="LDX2" s="87"/>
      <c r="LDZ2" s="87"/>
      <c r="LEB2" s="87"/>
      <c r="LED2" s="87"/>
      <c r="LEF2" s="87"/>
      <c r="LEH2" s="87"/>
      <c r="LEJ2" s="87"/>
      <c r="LEL2" s="87"/>
      <c r="LEN2" s="87"/>
      <c r="LEP2" s="87"/>
      <c r="LER2" s="87"/>
      <c r="LET2" s="87"/>
      <c r="LEV2" s="87"/>
      <c r="LEX2" s="87"/>
      <c r="LEZ2" s="87"/>
      <c r="LFB2" s="87"/>
      <c r="LFD2" s="87"/>
      <c r="LFF2" s="87"/>
      <c r="LFH2" s="87"/>
      <c r="LFJ2" s="87"/>
      <c r="LFL2" s="87"/>
      <c r="LFN2" s="87"/>
      <c r="LFP2" s="87"/>
      <c r="LFR2" s="87"/>
      <c r="LFT2" s="87"/>
      <c r="LFV2" s="87"/>
      <c r="LFX2" s="87"/>
      <c r="LFZ2" s="87"/>
      <c r="LGB2" s="87"/>
      <c r="LGD2" s="87"/>
      <c r="LGF2" s="87"/>
      <c r="LGH2" s="87"/>
      <c r="LGJ2" s="87"/>
      <c r="LGL2" s="87"/>
      <c r="LGN2" s="87"/>
      <c r="LGP2" s="87"/>
      <c r="LGR2" s="87"/>
      <c r="LGT2" s="87"/>
      <c r="LGV2" s="87"/>
      <c r="LGX2" s="87"/>
      <c r="LGZ2" s="87"/>
      <c r="LHB2" s="87"/>
      <c r="LHD2" s="87"/>
      <c r="LHF2" s="87"/>
      <c r="LHH2" s="87"/>
      <c r="LHJ2" s="87"/>
      <c r="LHL2" s="87"/>
      <c r="LHN2" s="87"/>
      <c r="LHP2" s="87"/>
      <c r="LHR2" s="87"/>
      <c r="LHT2" s="87"/>
      <c r="LHV2" s="87"/>
      <c r="LHX2" s="87"/>
      <c r="LHZ2" s="87"/>
      <c r="LIB2" s="87"/>
      <c r="LID2" s="87"/>
      <c r="LIF2" s="87"/>
      <c r="LIH2" s="87"/>
      <c r="LIJ2" s="87"/>
      <c r="LIL2" s="87"/>
      <c r="LIN2" s="87"/>
      <c r="LIP2" s="87"/>
      <c r="LIR2" s="87"/>
      <c r="LIT2" s="87"/>
      <c r="LIV2" s="87"/>
      <c r="LIX2" s="87"/>
      <c r="LIZ2" s="87"/>
      <c r="LJB2" s="87"/>
      <c r="LJD2" s="87"/>
      <c r="LJF2" s="87"/>
      <c r="LJH2" s="87"/>
      <c r="LJJ2" s="87"/>
      <c r="LJL2" s="87"/>
      <c r="LJN2" s="87"/>
      <c r="LJP2" s="87"/>
      <c r="LJR2" s="87"/>
      <c r="LJT2" s="87"/>
      <c r="LJV2" s="87"/>
      <c r="LJX2" s="87"/>
      <c r="LJZ2" s="87"/>
      <c r="LKB2" s="87"/>
      <c r="LKD2" s="87"/>
      <c r="LKF2" s="87"/>
      <c r="LKH2" s="87"/>
      <c r="LKJ2" s="87"/>
      <c r="LKL2" s="87"/>
      <c r="LKN2" s="87"/>
      <c r="LKP2" s="87"/>
      <c r="LKR2" s="87"/>
      <c r="LKT2" s="87"/>
      <c r="LKV2" s="87"/>
      <c r="LKX2" s="87"/>
      <c r="LKZ2" s="87"/>
      <c r="LLB2" s="87"/>
      <c r="LLD2" s="87"/>
      <c r="LLF2" s="87"/>
      <c r="LLH2" s="87"/>
      <c r="LLJ2" s="87"/>
      <c r="LLL2" s="87"/>
      <c r="LLN2" s="87"/>
      <c r="LLP2" s="87"/>
      <c r="LLR2" s="87"/>
      <c r="LLT2" s="87"/>
      <c r="LLV2" s="87"/>
      <c r="LLX2" s="87"/>
      <c r="LLZ2" s="87"/>
      <c r="LMB2" s="87"/>
      <c r="LMD2" s="87"/>
      <c r="LMF2" s="87"/>
      <c r="LMH2" s="87"/>
      <c r="LMJ2" s="87"/>
      <c r="LML2" s="87"/>
      <c r="LMN2" s="87"/>
      <c r="LMP2" s="87"/>
      <c r="LMR2" s="87"/>
      <c r="LMT2" s="87"/>
      <c r="LMV2" s="87"/>
      <c r="LMX2" s="87"/>
      <c r="LMZ2" s="87"/>
      <c r="LNB2" s="87"/>
      <c r="LND2" s="87"/>
      <c r="LNF2" s="87"/>
      <c r="LNH2" s="87"/>
      <c r="LNJ2" s="87"/>
      <c r="LNL2" s="87"/>
      <c r="LNN2" s="87"/>
      <c r="LNP2" s="87"/>
      <c r="LNR2" s="87"/>
      <c r="LNT2" s="87"/>
      <c r="LNV2" s="87"/>
      <c r="LNX2" s="87"/>
      <c r="LNZ2" s="87"/>
      <c r="LOB2" s="87"/>
      <c r="LOD2" s="87"/>
      <c r="LOF2" s="87"/>
      <c r="LOH2" s="87"/>
      <c r="LOJ2" s="87"/>
      <c r="LOL2" s="87"/>
      <c r="LON2" s="87"/>
      <c r="LOP2" s="87"/>
      <c r="LOR2" s="87"/>
      <c r="LOT2" s="87"/>
      <c r="LOV2" s="87"/>
      <c r="LOX2" s="87"/>
      <c r="LOZ2" s="87"/>
      <c r="LPB2" s="87"/>
      <c r="LPD2" s="87"/>
      <c r="LPF2" s="87"/>
      <c r="LPH2" s="87"/>
      <c r="LPJ2" s="87"/>
      <c r="LPL2" s="87"/>
      <c r="LPN2" s="87"/>
      <c r="LPP2" s="87"/>
      <c r="LPR2" s="87"/>
      <c r="LPT2" s="87"/>
      <c r="LPV2" s="87"/>
      <c r="LPX2" s="87"/>
      <c r="LPZ2" s="87"/>
      <c r="LQB2" s="87"/>
      <c r="LQD2" s="87"/>
      <c r="LQF2" s="87"/>
      <c r="LQH2" s="87"/>
      <c r="LQJ2" s="87"/>
      <c r="LQL2" s="87"/>
      <c r="LQN2" s="87"/>
      <c r="LQP2" s="87"/>
      <c r="LQR2" s="87"/>
      <c r="LQT2" s="87"/>
      <c r="LQV2" s="87"/>
      <c r="LQX2" s="87"/>
      <c r="LQZ2" s="87"/>
      <c r="LRB2" s="87"/>
      <c r="LRD2" s="87"/>
      <c r="LRF2" s="87"/>
      <c r="LRH2" s="87"/>
      <c r="LRJ2" s="87"/>
      <c r="LRL2" s="87"/>
      <c r="LRN2" s="87"/>
      <c r="LRP2" s="87"/>
      <c r="LRR2" s="87"/>
      <c r="LRT2" s="87"/>
      <c r="LRV2" s="87"/>
      <c r="LRX2" s="87"/>
      <c r="LRZ2" s="87"/>
      <c r="LSB2" s="87"/>
      <c r="LSD2" s="87"/>
      <c r="LSF2" s="87"/>
      <c r="LSH2" s="87"/>
      <c r="LSJ2" s="87"/>
      <c r="LSL2" s="87"/>
      <c r="LSN2" s="87"/>
      <c r="LSP2" s="87"/>
      <c r="LSR2" s="87"/>
      <c r="LST2" s="87"/>
      <c r="LSV2" s="87"/>
      <c r="LSX2" s="87"/>
      <c r="LSZ2" s="87"/>
      <c r="LTB2" s="87"/>
      <c r="LTD2" s="87"/>
      <c r="LTF2" s="87"/>
      <c r="LTH2" s="87"/>
      <c r="LTJ2" s="87"/>
      <c r="LTL2" s="87"/>
      <c r="LTN2" s="87"/>
      <c r="LTP2" s="87"/>
      <c r="LTR2" s="87"/>
      <c r="LTT2" s="87"/>
      <c r="LTV2" s="87"/>
      <c r="LTX2" s="87"/>
      <c r="LTZ2" s="87"/>
      <c r="LUB2" s="87"/>
      <c r="LUD2" s="87"/>
      <c r="LUF2" s="87"/>
      <c r="LUH2" s="87"/>
      <c r="LUJ2" s="87"/>
      <c r="LUL2" s="87"/>
      <c r="LUN2" s="87"/>
      <c r="LUP2" s="87"/>
      <c r="LUR2" s="87"/>
      <c r="LUT2" s="87"/>
      <c r="LUV2" s="87"/>
      <c r="LUX2" s="87"/>
      <c r="LUZ2" s="87"/>
      <c r="LVB2" s="87"/>
      <c r="LVD2" s="87"/>
      <c r="LVF2" s="87"/>
      <c r="LVH2" s="87"/>
      <c r="LVJ2" s="87"/>
      <c r="LVL2" s="87"/>
      <c r="LVN2" s="87"/>
      <c r="LVP2" s="87"/>
      <c r="LVR2" s="87"/>
      <c r="LVT2" s="87"/>
      <c r="LVV2" s="87"/>
      <c r="LVX2" s="87"/>
      <c r="LVZ2" s="87"/>
      <c r="LWB2" s="87"/>
      <c r="LWD2" s="87"/>
      <c r="LWF2" s="87"/>
      <c r="LWH2" s="87"/>
      <c r="LWJ2" s="87"/>
      <c r="LWL2" s="87"/>
      <c r="LWN2" s="87"/>
      <c r="LWP2" s="87"/>
      <c r="LWR2" s="87"/>
      <c r="LWT2" s="87"/>
      <c r="LWV2" s="87"/>
      <c r="LWX2" s="87"/>
      <c r="LWZ2" s="87"/>
      <c r="LXB2" s="87"/>
      <c r="LXD2" s="87"/>
      <c r="LXF2" s="87"/>
      <c r="LXH2" s="87"/>
      <c r="LXJ2" s="87"/>
      <c r="LXL2" s="87"/>
      <c r="LXN2" s="87"/>
      <c r="LXP2" s="87"/>
      <c r="LXR2" s="87"/>
      <c r="LXT2" s="87"/>
      <c r="LXV2" s="87"/>
      <c r="LXX2" s="87"/>
      <c r="LXZ2" s="87"/>
      <c r="LYB2" s="87"/>
      <c r="LYD2" s="87"/>
      <c r="LYF2" s="87"/>
      <c r="LYH2" s="87"/>
      <c r="LYJ2" s="87"/>
      <c r="LYL2" s="87"/>
      <c r="LYN2" s="87"/>
      <c r="LYP2" s="87"/>
      <c r="LYR2" s="87"/>
      <c r="LYT2" s="87"/>
      <c r="LYV2" s="87"/>
      <c r="LYX2" s="87"/>
      <c r="LYZ2" s="87"/>
      <c r="LZB2" s="87"/>
      <c r="LZD2" s="87"/>
      <c r="LZF2" s="87"/>
      <c r="LZH2" s="87"/>
      <c r="LZJ2" s="87"/>
      <c r="LZL2" s="87"/>
      <c r="LZN2" s="87"/>
      <c r="LZP2" s="87"/>
      <c r="LZR2" s="87"/>
      <c r="LZT2" s="87"/>
      <c r="LZV2" s="87"/>
      <c r="LZX2" s="87"/>
      <c r="LZZ2" s="87"/>
      <c r="MAB2" s="87"/>
      <c r="MAD2" s="87"/>
      <c r="MAF2" s="87"/>
      <c r="MAH2" s="87"/>
      <c r="MAJ2" s="87"/>
      <c r="MAL2" s="87"/>
      <c r="MAN2" s="87"/>
      <c r="MAP2" s="87"/>
      <c r="MAR2" s="87"/>
      <c r="MAT2" s="87"/>
      <c r="MAV2" s="87"/>
      <c r="MAX2" s="87"/>
      <c r="MAZ2" s="87"/>
      <c r="MBB2" s="87"/>
      <c r="MBD2" s="87"/>
      <c r="MBF2" s="87"/>
      <c r="MBH2" s="87"/>
      <c r="MBJ2" s="87"/>
      <c r="MBL2" s="87"/>
      <c r="MBN2" s="87"/>
      <c r="MBP2" s="87"/>
      <c r="MBR2" s="87"/>
      <c r="MBT2" s="87"/>
      <c r="MBV2" s="87"/>
      <c r="MBX2" s="87"/>
      <c r="MBZ2" s="87"/>
      <c r="MCB2" s="87"/>
      <c r="MCD2" s="87"/>
      <c r="MCF2" s="87"/>
      <c r="MCH2" s="87"/>
      <c r="MCJ2" s="87"/>
      <c r="MCL2" s="87"/>
      <c r="MCN2" s="87"/>
      <c r="MCP2" s="87"/>
      <c r="MCR2" s="87"/>
      <c r="MCT2" s="87"/>
      <c r="MCV2" s="87"/>
      <c r="MCX2" s="87"/>
      <c r="MCZ2" s="87"/>
      <c r="MDB2" s="87"/>
      <c r="MDD2" s="87"/>
      <c r="MDF2" s="87"/>
      <c r="MDH2" s="87"/>
      <c r="MDJ2" s="87"/>
      <c r="MDL2" s="87"/>
      <c r="MDN2" s="87"/>
      <c r="MDP2" s="87"/>
      <c r="MDR2" s="87"/>
      <c r="MDT2" s="87"/>
      <c r="MDV2" s="87"/>
      <c r="MDX2" s="87"/>
      <c r="MDZ2" s="87"/>
      <c r="MEB2" s="87"/>
      <c r="MED2" s="87"/>
      <c r="MEF2" s="87"/>
      <c r="MEH2" s="87"/>
      <c r="MEJ2" s="87"/>
      <c r="MEL2" s="87"/>
      <c r="MEN2" s="87"/>
      <c r="MEP2" s="87"/>
      <c r="MER2" s="87"/>
      <c r="MET2" s="87"/>
      <c r="MEV2" s="87"/>
      <c r="MEX2" s="87"/>
      <c r="MEZ2" s="87"/>
      <c r="MFB2" s="87"/>
      <c r="MFD2" s="87"/>
      <c r="MFF2" s="87"/>
      <c r="MFH2" s="87"/>
      <c r="MFJ2" s="87"/>
      <c r="MFL2" s="87"/>
      <c r="MFN2" s="87"/>
      <c r="MFP2" s="87"/>
      <c r="MFR2" s="87"/>
      <c r="MFT2" s="87"/>
      <c r="MFV2" s="87"/>
      <c r="MFX2" s="87"/>
      <c r="MFZ2" s="87"/>
      <c r="MGB2" s="87"/>
      <c r="MGD2" s="87"/>
      <c r="MGF2" s="87"/>
      <c r="MGH2" s="87"/>
      <c r="MGJ2" s="87"/>
      <c r="MGL2" s="87"/>
      <c r="MGN2" s="87"/>
      <c r="MGP2" s="87"/>
      <c r="MGR2" s="87"/>
      <c r="MGT2" s="87"/>
      <c r="MGV2" s="87"/>
      <c r="MGX2" s="87"/>
      <c r="MGZ2" s="87"/>
      <c r="MHB2" s="87"/>
      <c r="MHD2" s="87"/>
      <c r="MHF2" s="87"/>
      <c r="MHH2" s="87"/>
      <c r="MHJ2" s="87"/>
      <c r="MHL2" s="87"/>
      <c r="MHN2" s="87"/>
      <c r="MHP2" s="87"/>
      <c r="MHR2" s="87"/>
      <c r="MHT2" s="87"/>
      <c r="MHV2" s="87"/>
      <c r="MHX2" s="87"/>
      <c r="MHZ2" s="87"/>
      <c r="MIB2" s="87"/>
      <c r="MID2" s="87"/>
      <c r="MIF2" s="87"/>
      <c r="MIH2" s="87"/>
      <c r="MIJ2" s="87"/>
      <c r="MIL2" s="87"/>
      <c r="MIN2" s="87"/>
      <c r="MIP2" s="87"/>
      <c r="MIR2" s="87"/>
      <c r="MIT2" s="87"/>
      <c r="MIV2" s="87"/>
      <c r="MIX2" s="87"/>
      <c r="MIZ2" s="87"/>
      <c r="MJB2" s="87"/>
      <c r="MJD2" s="87"/>
      <c r="MJF2" s="87"/>
      <c r="MJH2" s="87"/>
      <c r="MJJ2" s="87"/>
      <c r="MJL2" s="87"/>
      <c r="MJN2" s="87"/>
      <c r="MJP2" s="87"/>
      <c r="MJR2" s="87"/>
      <c r="MJT2" s="87"/>
      <c r="MJV2" s="87"/>
      <c r="MJX2" s="87"/>
      <c r="MJZ2" s="87"/>
      <c r="MKB2" s="87"/>
      <c r="MKD2" s="87"/>
      <c r="MKF2" s="87"/>
      <c r="MKH2" s="87"/>
      <c r="MKJ2" s="87"/>
      <c r="MKL2" s="87"/>
      <c r="MKN2" s="87"/>
      <c r="MKP2" s="87"/>
      <c r="MKR2" s="87"/>
      <c r="MKT2" s="87"/>
      <c r="MKV2" s="87"/>
      <c r="MKX2" s="87"/>
      <c r="MKZ2" s="87"/>
      <c r="MLB2" s="87"/>
      <c r="MLD2" s="87"/>
      <c r="MLF2" s="87"/>
      <c r="MLH2" s="87"/>
      <c r="MLJ2" s="87"/>
      <c r="MLL2" s="87"/>
      <c r="MLN2" s="87"/>
      <c r="MLP2" s="87"/>
      <c r="MLR2" s="87"/>
      <c r="MLT2" s="87"/>
      <c r="MLV2" s="87"/>
      <c r="MLX2" s="87"/>
      <c r="MLZ2" s="87"/>
      <c r="MMB2" s="87"/>
      <c r="MMD2" s="87"/>
      <c r="MMF2" s="87"/>
      <c r="MMH2" s="87"/>
      <c r="MMJ2" s="87"/>
      <c r="MML2" s="87"/>
      <c r="MMN2" s="87"/>
      <c r="MMP2" s="87"/>
      <c r="MMR2" s="87"/>
      <c r="MMT2" s="87"/>
      <c r="MMV2" s="87"/>
      <c r="MMX2" s="87"/>
      <c r="MMZ2" s="87"/>
      <c r="MNB2" s="87"/>
      <c r="MND2" s="87"/>
      <c r="MNF2" s="87"/>
      <c r="MNH2" s="87"/>
      <c r="MNJ2" s="87"/>
      <c r="MNL2" s="87"/>
      <c r="MNN2" s="87"/>
      <c r="MNP2" s="87"/>
      <c r="MNR2" s="87"/>
      <c r="MNT2" s="87"/>
      <c r="MNV2" s="87"/>
      <c r="MNX2" s="87"/>
      <c r="MNZ2" s="87"/>
      <c r="MOB2" s="87"/>
      <c r="MOD2" s="87"/>
      <c r="MOF2" s="87"/>
      <c r="MOH2" s="87"/>
      <c r="MOJ2" s="87"/>
      <c r="MOL2" s="87"/>
      <c r="MON2" s="87"/>
      <c r="MOP2" s="87"/>
      <c r="MOR2" s="87"/>
      <c r="MOT2" s="87"/>
      <c r="MOV2" s="87"/>
      <c r="MOX2" s="87"/>
      <c r="MOZ2" s="87"/>
      <c r="MPB2" s="87"/>
      <c r="MPD2" s="87"/>
      <c r="MPF2" s="87"/>
      <c r="MPH2" s="87"/>
      <c r="MPJ2" s="87"/>
      <c r="MPL2" s="87"/>
      <c r="MPN2" s="87"/>
      <c r="MPP2" s="87"/>
      <c r="MPR2" s="87"/>
      <c r="MPT2" s="87"/>
      <c r="MPV2" s="87"/>
      <c r="MPX2" s="87"/>
      <c r="MPZ2" s="87"/>
      <c r="MQB2" s="87"/>
      <c r="MQD2" s="87"/>
      <c r="MQF2" s="87"/>
      <c r="MQH2" s="87"/>
      <c r="MQJ2" s="87"/>
      <c r="MQL2" s="87"/>
      <c r="MQN2" s="87"/>
      <c r="MQP2" s="87"/>
      <c r="MQR2" s="87"/>
      <c r="MQT2" s="87"/>
      <c r="MQV2" s="87"/>
      <c r="MQX2" s="87"/>
      <c r="MQZ2" s="87"/>
      <c r="MRB2" s="87"/>
      <c r="MRD2" s="87"/>
      <c r="MRF2" s="87"/>
      <c r="MRH2" s="87"/>
      <c r="MRJ2" s="87"/>
      <c r="MRL2" s="87"/>
      <c r="MRN2" s="87"/>
      <c r="MRP2" s="87"/>
      <c r="MRR2" s="87"/>
      <c r="MRT2" s="87"/>
      <c r="MRV2" s="87"/>
      <c r="MRX2" s="87"/>
      <c r="MRZ2" s="87"/>
      <c r="MSB2" s="87"/>
      <c r="MSD2" s="87"/>
      <c r="MSF2" s="87"/>
      <c r="MSH2" s="87"/>
      <c r="MSJ2" s="87"/>
      <c r="MSL2" s="87"/>
      <c r="MSN2" s="87"/>
      <c r="MSP2" s="87"/>
      <c r="MSR2" s="87"/>
      <c r="MST2" s="87"/>
      <c r="MSV2" s="87"/>
      <c r="MSX2" s="87"/>
      <c r="MSZ2" s="87"/>
      <c r="MTB2" s="87"/>
      <c r="MTD2" s="87"/>
      <c r="MTF2" s="87"/>
      <c r="MTH2" s="87"/>
      <c r="MTJ2" s="87"/>
      <c r="MTL2" s="87"/>
      <c r="MTN2" s="87"/>
      <c r="MTP2" s="87"/>
      <c r="MTR2" s="87"/>
      <c r="MTT2" s="87"/>
      <c r="MTV2" s="87"/>
      <c r="MTX2" s="87"/>
      <c r="MTZ2" s="87"/>
      <c r="MUB2" s="87"/>
      <c r="MUD2" s="87"/>
      <c r="MUF2" s="87"/>
      <c r="MUH2" s="87"/>
      <c r="MUJ2" s="87"/>
      <c r="MUL2" s="87"/>
      <c r="MUN2" s="87"/>
      <c r="MUP2" s="87"/>
      <c r="MUR2" s="87"/>
      <c r="MUT2" s="87"/>
      <c r="MUV2" s="87"/>
      <c r="MUX2" s="87"/>
      <c r="MUZ2" s="87"/>
      <c r="MVB2" s="87"/>
      <c r="MVD2" s="87"/>
      <c r="MVF2" s="87"/>
      <c r="MVH2" s="87"/>
      <c r="MVJ2" s="87"/>
      <c r="MVL2" s="87"/>
      <c r="MVN2" s="87"/>
      <c r="MVP2" s="87"/>
      <c r="MVR2" s="87"/>
      <c r="MVT2" s="87"/>
      <c r="MVV2" s="87"/>
      <c r="MVX2" s="87"/>
      <c r="MVZ2" s="87"/>
      <c r="MWB2" s="87"/>
      <c r="MWD2" s="87"/>
      <c r="MWF2" s="87"/>
      <c r="MWH2" s="87"/>
      <c r="MWJ2" s="87"/>
      <c r="MWL2" s="87"/>
      <c r="MWN2" s="87"/>
      <c r="MWP2" s="87"/>
      <c r="MWR2" s="87"/>
      <c r="MWT2" s="87"/>
      <c r="MWV2" s="87"/>
      <c r="MWX2" s="87"/>
      <c r="MWZ2" s="87"/>
      <c r="MXB2" s="87"/>
      <c r="MXD2" s="87"/>
      <c r="MXF2" s="87"/>
      <c r="MXH2" s="87"/>
      <c r="MXJ2" s="87"/>
      <c r="MXL2" s="87"/>
      <c r="MXN2" s="87"/>
      <c r="MXP2" s="87"/>
      <c r="MXR2" s="87"/>
      <c r="MXT2" s="87"/>
      <c r="MXV2" s="87"/>
      <c r="MXX2" s="87"/>
      <c r="MXZ2" s="87"/>
      <c r="MYB2" s="87"/>
      <c r="MYD2" s="87"/>
      <c r="MYF2" s="87"/>
      <c r="MYH2" s="87"/>
      <c r="MYJ2" s="87"/>
      <c r="MYL2" s="87"/>
      <c r="MYN2" s="87"/>
      <c r="MYP2" s="87"/>
      <c r="MYR2" s="87"/>
      <c r="MYT2" s="87"/>
      <c r="MYV2" s="87"/>
      <c r="MYX2" s="87"/>
      <c r="MYZ2" s="87"/>
      <c r="MZB2" s="87"/>
      <c r="MZD2" s="87"/>
      <c r="MZF2" s="87"/>
      <c r="MZH2" s="87"/>
      <c r="MZJ2" s="87"/>
      <c r="MZL2" s="87"/>
      <c r="MZN2" s="87"/>
      <c r="MZP2" s="87"/>
      <c r="MZR2" s="87"/>
      <c r="MZT2" s="87"/>
      <c r="MZV2" s="87"/>
      <c r="MZX2" s="87"/>
      <c r="MZZ2" s="87"/>
      <c r="NAB2" s="87"/>
      <c r="NAD2" s="87"/>
      <c r="NAF2" s="87"/>
      <c r="NAH2" s="87"/>
      <c r="NAJ2" s="87"/>
      <c r="NAL2" s="87"/>
      <c r="NAN2" s="87"/>
      <c r="NAP2" s="87"/>
      <c r="NAR2" s="87"/>
      <c r="NAT2" s="87"/>
      <c r="NAV2" s="87"/>
      <c r="NAX2" s="87"/>
      <c r="NAZ2" s="87"/>
      <c r="NBB2" s="87"/>
      <c r="NBD2" s="87"/>
      <c r="NBF2" s="87"/>
      <c r="NBH2" s="87"/>
      <c r="NBJ2" s="87"/>
      <c r="NBL2" s="87"/>
      <c r="NBN2" s="87"/>
      <c r="NBP2" s="87"/>
      <c r="NBR2" s="87"/>
      <c r="NBT2" s="87"/>
      <c r="NBV2" s="87"/>
      <c r="NBX2" s="87"/>
      <c r="NBZ2" s="87"/>
      <c r="NCB2" s="87"/>
      <c r="NCD2" s="87"/>
      <c r="NCF2" s="87"/>
      <c r="NCH2" s="87"/>
      <c r="NCJ2" s="87"/>
      <c r="NCL2" s="87"/>
      <c r="NCN2" s="87"/>
      <c r="NCP2" s="87"/>
      <c r="NCR2" s="87"/>
      <c r="NCT2" s="87"/>
      <c r="NCV2" s="87"/>
      <c r="NCX2" s="87"/>
      <c r="NCZ2" s="87"/>
      <c r="NDB2" s="87"/>
      <c r="NDD2" s="87"/>
      <c r="NDF2" s="87"/>
      <c r="NDH2" s="87"/>
      <c r="NDJ2" s="87"/>
      <c r="NDL2" s="87"/>
      <c r="NDN2" s="87"/>
      <c r="NDP2" s="87"/>
      <c r="NDR2" s="87"/>
      <c r="NDT2" s="87"/>
      <c r="NDV2" s="87"/>
      <c r="NDX2" s="87"/>
      <c r="NDZ2" s="87"/>
      <c r="NEB2" s="87"/>
      <c r="NED2" s="87"/>
      <c r="NEF2" s="87"/>
      <c r="NEH2" s="87"/>
      <c r="NEJ2" s="87"/>
      <c r="NEL2" s="87"/>
      <c r="NEN2" s="87"/>
      <c r="NEP2" s="87"/>
      <c r="NER2" s="87"/>
      <c r="NET2" s="87"/>
      <c r="NEV2" s="87"/>
      <c r="NEX2" s="87"/>
      <c r="NEZ2" s="87"/>
      <c r="NFB2" s="87"/>
      <c r="NFD2" s="87"/>
      <c r="NFF2" s="87"/>
      <c r="NFH2" s="87"/>
      <c r="NFJ2" s="87"/>
      <c r="NFL2" s="87"/>
      <c r="NFN2" s="87"/>
      <c r="NFP2" s="87"/>
      <c r="NFR2" s="87"/>
      <c r="NFT2" s="87"/>
      <c r="NFV2" s="87"/>
      <c r="NFX2" s="87"/>
      <c r="NFZ2" s="87"/>
      <c r="NGB2" s="87"/>
      <c r="NGD2" s="87"/>
      <c r="NGF2" s="87"/>
      <c r="NGH2" s="87"/>
      <c r="NGJ2" s="87"/>
      <c r="NGL2" s="87"/>
      <c r="NGN2" s="87"/>
      <c r="NGP2" s="87"/>
      <c r="NGR2" s="87"/>
      <c r="NGT2" s="87"/>
      <c r="NGV2" s="87"/>
      <c r="NGX2" s="87"/>
      <c r="NGZ2" s="87"/>
      <c r="NHB2" s="87"/>
      <c r="NHD2" s="87"/>
      <c r="NHF2" s="87"/>
      <c r="NHH2" s="87"/>
      <c r="NHJ2" s="87"/>
      <c r="NHL2" s="87"/>
      <c r="NHN2" s="87"/>
      <c r="NHP2" s="87"/>
      <c r="NHR2" s="87"/>
      <c r="NHT2" s="87"/>
      <c r="NHV2" s="87"/>
      <c r="NHX2" s="87"/>
      <c r="NHZ2" s="87"/>
      <c r="NIB2" s="87"/>
      <c r="NID2" s="87"/>
      <c r="NIF2" s="87"/>
      <c r="NIH2" s="87"/>
      <c r="NIJ2" s="87"/>
      <c r="NIL2" s="87"/>
      <c r="NIN2" s="87"/>
      <c r="NIP2" s="87"/>
      <c r="NIR2" s="87"/>
      <c r="NIT2" s="87"/>
      <c r="NIV2" s="87"/>
      <c r="NIX2" s="87"/>
      <c r="NIZ2" s="87"/>
      <c r="NJB2" s="87"/>
      <c r="NJD2" s="87"/>
      <c r="NJF2" s="87"/>
      <c r="NJH2" s="87"/>
      <c r="NJJ2" s="87"/>
      <c r="NJL2" s="87"/>
      <c r="NJN2" s="87"/>
      <c r="NJP2" s="87"/>
      <c r="NJR2" s="87"/>
      <c r="NJT2" s="87"/>
      <c r="NJV2" s="87"/>
      <c r="NJX2" s="87"/>
      <c r="NJZ2" s="87"/>
      <c r="NKB2" s="87"/>
      <c r="NKD2" s="87"/>
      <c r="NKF2" s="87"/>
      <c r="NKH2" s="87"/>
      <c r="NKJ2" s="87"/>
      <c r="NKL2" s="87"/>
      <c r="NKN2" s="87"/>
      <c r="NKP2" s="87"/>
      <c r="NKR2" s="87"/>
      <c r="NKT2" s="87"/>
      <c r="NKV2" s="87"/>
      <c r="NKX2" s="87"/>
      <c r="NKZ2" s="87"/>
      <c r="NLB2" s="87"/>
      <c r="NLD2" s="87"/>
      <c r="NLF2" s="87"/>
      <c r="NLH2" s="87"/>
      <c r="NLJ2" s="87"/>
      <c r="NLL2" s="87"/>
      <c r="NLN2" s="87"/>
      <c r="NLP2" s="87"/>
      <c r="NLR2" s="87"/>
      <c r="NLT2" s="87"/>
      <c r="NLV2" s="87"/>
      <c r="NLX2" s="87"/>
      <c r="NLZ2" s="87"/>
      <c r="NMB2" s="87"/>
      <c r="NMD2" s="87"/>
      <c r="NMF2" s="87"/>
      <c r="NMH2" s="87"/>
      <c r="NMJ2" s="87"/>
      <c r="NML2" s="87"/>
      <c r="NMN2" s="87"/>
      <c r="NMP2" s="87"/>
      <c r="NMR2" s="87"/>
      <c r="NMT2" s="87"/>
      <c r="NMV2" s="87"/>
      <c r="NMX2" s="87"/>
      <c r="NMZ2" s="87"/>
      <c r="NNB2" s="87"/>
      <c r="NND2" s="87"/>
      <c r="NNF2" s="87"/>
      <c r="NNH2" s="87"/>
      <c r="NNJ2" s="87"/>
      <c r="NNL2" s="87"/>
      <c r="NNN2" s="87"/>
      <c r="NNP2" s="87"/>
      <c r="NNR2" s="87"/>
      <c r="NNT2" s="87"/>
      <c r="NNV2" s="87"/>
      <c r="NNX2" s="87"/>
      <c r="NNZ2" s="87"/>
      <c r="NOB2" s="87"/>
      <c r="NOD2" s="87"/>
      <c r="NOF2" s="87"/>
      <c r="NOH2" s="87"/>
      <c r="NOJ2" s="87"/>
      <c r="NOL2" s="87"/>
      <c r="NON2" s="87"/>
      <c r="NOP2" s="87"/>
      <c r="NOR2" s="87"/>
      <c r="NOT2" s="87"/>
      <c r="NOV2" s="87"/>
      <c r="NOX2" s="87"/>
      <c r="NOZ2" s="87"/>
      <c r="NPB2" s="87"/>
      <c r="NPD2" s="87"/>
      <c r="NPF2" s="87"/>
      <c r="NPH2" s="87"/>
      <c r="NPJ2" s="87"/>
      <c r="NPL2" s="87"/>
      <c r="NPN2" s="87"/>
      <c r="NPP2" s="87"/>
      <c r="NPR2" s="87"/>
      <c r="NPT2" s="87"/>
      <c r="NPV2" s="87"/>
      <c r="NPX2" s="87"/>
      <c r="NPZ2" s="87"/>
      <c r="NQB2" s="87"/>
      <c r="NQD2" s="87"/>
      <c r="NQF2" s="87"/>
      <c r="NQH2" s="87"/>
      <c r="NQJ2" s="87"/>
      <c r="NQL2" s="87"/>
      <c r="NQN2" s="87"/>
      <c r="NQP2" s="87"/>
      <c r="NQR2" s="87"/>
      <c r="NQT2" s="87"/>
      <c r="NQV2" s="87"/>
      <c r="NQX2" s="87"/>
      <c r="NQZ2" s="87"/>
      <c r="NRB2" s="87"/>
      <c r="NRD2" s="87"/>
      <c r="NRF2" s="87"/>
      <c r="NRH2" s="87"/>
      <c r="NRJ2" s="87"/>
      <c r="NRL2" s="87"/>
      <c r="NRN2" s="87"/>
      <c r="NRP2" s="87"/>
      <c r="NRR2" s="87"/>
      <c r="NRT2" s="87"/>
      <c r="NRV2" s="87"/>
      <c r="NRX2" s="87"/>
      <c r="NRZ2" s="87"/>
      <c r="NSB2" s="87"/>
      <c r="NSD2" s="87"/>
      <c r="NSF2" s="87"/>
      <c r="NSH2" s="87"/>
      <c r="NSJ2" s="87"/>
      <c r="NSL2" s="87"/>
      <c r="NSN2" s="87"/>
      <c r="NSP2" s="87"/>
      <c r="NSR2" s="87"/>
      <c r="NST2" s="87"/>
      <c r="NSV2" s="87"/>
      <c r="NSX2" s="87"/>
      <c r="NSZ2" s="87"/>
      <c r="NTB2" s="87"/>
      <c r="NTD2" s="87"/>
      <c r="NTF2" s="87"/>
      <c r="NTH2" s="87"/>
      <c r="NTJ2" s="87"/>
      <c r="NTL2" s="87"/>
      <c r="NTN2" s="87"/>
      <c r="NTP2" s="87"/>
      <c r="NTR2" s="87"/>
      <c r="NTT2" s="87"/>
      <c r="NTV2" s="87"/>
      <c r="NTX2" s="87"/>
      <c r="NTZ2" s="87"/>
      <c r="NUB2" s="87"/>
      <c r="NUD2" s="87"/>
      <c r="NUF2" s="87"/>
      <c r="NUH2" s="87"/>
      <c r="NUJ2" s="87"/>
      <c r="NUL2" s="87"/>
      <c r="NUN2" s="87"/>
      <c r="NUP2" s="87"/>
      <c r="NUR2" s="87"/>
      <c r="NUT2" s="87"/>
      <c r="NUV2" s="87"/>
      <c r="NUX2" s="87"/>
      <c r="NUZ2" s="87"/>
      <c r="NVB2" s="87"/>
      <c r="NVD2" s="87"/>
      <c r="NVF2" s="87"/>
      <c r="NVH2" s="87"/>
      <c r="NVJ2" s="87"/>
      <c r="NVL2" s="87"/>
      <c r="NVN2" s="87"/>
      <c r="NVP2" s="87"/>
      <c r="NVR2" s="87"/>
      <c r="NVT2" s="87"/>
      <c r="NVV2" s="87"/>
      <c r="NVX2" s="87"/>
      <c r="NVZ2" s="87"/>
      <c r="NWB2" s="87"/>
      <c r="NWD2" s="87"/>
      <c r="NWF2" s="87"/>
      <c r="NWH2" s="87"/>
      <c r="NWJ2" s="87"/>
      <c r="NWL2" s="87"/>
      <c r="NWN2" s="87"/>
      <c r="NWP2" s="87"/>
      <c r="NWR2" s="87"/>
      <c r="NWT2" s="87"/>
      <c r="NWV2" s="87"/>
      <c r="NWX2" s="87"/>
      <c r="NWZ2" s="87"/>
      <c r="NXB2" s="87"/>
      <c r="NXD2" s="87"/>
      <c r="NXF2" s="87"/>
      <c r="NXH2" s="87"/>
      <c r="NXJ2" s="87"/>
      <c r="NXL2" s="87"/>
      <c r="NXN2" s="87"/>
      <c r="NXP2" s="87"/>
      <c r="NXR2" s="87"/>
      <c r="NXT2" s="87"/>
      <c r="NXV2" s="87"/>
      <c r="NXX2" s="87"/>
      <c r="NXZ2" s="87"/>
      <c r="NYB2" s="87"/>
      <c r="NYD2" s="87"/>
      <c r="NYF2" s="87"/>
      <c r="NYH2" s="87"/>
      <c r="NYJ2" s="87"/>
      <c r="NYL2" s="87"/>
      <c r="NYN2" s="87"/>
      <c r="NYP2" s="87"/>
      <c r="NYR2" s="87"/>
      <c r="NYT2" s="87"/>
      <c r="NYV2" s="87"/>
      <c r="NYX2" s="87"/>
      <c r="NYZ2" s="87"/>
      <c r="NZB2" s="87"/>
      <c r="NZD2" s="87"/>
      <c r="NZF2" s="87"/>
      <c r="NZH2" s="87"/>
      <c r="NZJ2" s="87"/>
      <c r="NZL2" s="87"/>
      <c r="NZN2" s="87"/>
      <c r="NZP2" s="87"/>
      <c r="NZR2" s="87"/>
      <c r="NZT2" s="87"/>
      <c r="NZV2" s="87"/>
      <c r="NZX2" s="87"/>
      <c r="NZZ2" s="87"/>
      <c r="OAB2" s="87"/>
      <c r="OAD2" s="87"/>
      <c r="OAF2" s="87"/>
      <c r="OAH2" s="87"/>
      <c r="OAJ2" s="87"/>
      <c r="OAL2" s="87"/>
      <c r="OAN2" s="87"/>
      <c r="OAP2" s="87"/>
      <c r="OAR2" s="87"/>
      <c r="OAT2" s="87"/>
      <c r="OAV2" s="87"/>
      <c r="OAX2" s="87"/>
      <c r="OAZ2" s="87"/>
      <c r="OBB2" s="87"/>
      <c r="OBD2" s="87"/>
      <c r="OBF2" s="87"/>
      <c r="OBH2" s="87"/>
      <c r="OBJ2" s="87"/>
      <c r="OBL2" s="87"/>
      <c r="OBN2" s="87"/>
      <c r="OBP2" s="87"/>
      <c r="OBR2" s="87"/>
      <c r="OBT2" s="87"/>
      <c r="OBV2" s="87"/>
      <c r="OBX2" s="87"/>
      <c r="OBZ2" s="87"/>
      <c r="OCB2" s="87"/>
      <c r="OCD2" s="87"/>
      <c r="OCF2" s="87"/>
      <c r="OCH2" s="87"/>
      <c r="OCJ2" s="87"/>
      <c r="OCL2" s="87"/>
      <c r="OCN2" s="87"/>
      <c r="OCP2" s="87"/>
      <c r="OCR2" s="87"/>
      <c r="OCT2" s="87"/>
      <c r="OCV2" s="87"/>
      <c r="OCX2" s="87"/>
      <c r="OCZ2" s="87"/>
      <c r="ODB2" s="87"/>
      <c r="ODD2" s="87"/>
      <c r="ODF2" s="87"/>
      <c r="ODH2" s="87"/>
      <c r="ODJ2" s="87"/>
      <c r="ODL2" s="87"/>
      <c r="ODN2" s="87"/>
      <c r="ODP2" s="87"/>
      <c r="ODR2" s="87"/>
      <c r="ODT2" s="87"/>
      <c r="ODV2" s="87"/>
      <c r="ODX2" s="87"/>
      <c r="ODZ2" s="87"/>
      <c r="OEB2" s="87"/>
      <c r="OED2" s="87"/>
      <c r="OEF2" s="87"/>
      <c r="OEH2" s="87"/>
      <c r="OEJ2" s="87"/>
      <c r="OEL2" s="87"/>
      <c r="OEN2" s="87"/>
      <c r="OEP2" s="87"/>
      <c r="OER2" s="87"/>
      <c r="OET2" s="87"/>
      <c r="OEV2" s="87"/>
      <c r="OEX2" s="87"/>
      <c r="OEZ2" s="87"/>
      <c r="OFB2" s="87"/>
      <c r="OFD2" s="87"/>
      <c r="OFF2" s="87"/>
      <c r="OFH2" s="87"/>
      <c r="OFJ2" s="87"/>
      <c r="OFL2" s="87"/>
      <c r="OFN2" s="87"/>
      <c r="OFP2" s="87"/>
      <c r="OFR2" s="87"/>
      <c r="OFT2" s="87"/>
      <c r="OFV2" s="87"/>
      <c r="OFX2" s="87"/>
      <c r="OFZ2" s="87"/>
      <c r="OGB2" s="87"/>
      <c r="OGD2" s="87"/>
      <c r="OGF2" s="87"/>
      <c r="OGH2" s="87"/>
      <c r="OGJ2" s="87"/>
      <c r="OGL2" s="87"/>
      <c r="OGN2" s="87"/>
      <c r="OGP2" s="87"/>
      <c r="OGR2" s="87"/>
      <c r="OGT2" s="87"/>
      <c r="OGV2" s="87"/>
      <c r="OGX2" s="87"/>
      <c r="OGZ2" s="87"/>
      <c r="OHB2" s="87"/>
      <c r="OHD2" s="87"/>
      <c r="OHF2" s="87"/>
      <c r="OHH2" s="87"/>
      <c r="OHJ2" s="87"/>
      <c r="OHL2" s="87"/>
      <c r="OHN2" s="87"/>
      <c r="OHP2" s="87"/>
      <c r="OHR2" s="87"/>
      <c r="OHT2" s="87"/>
      <c r="OHV2" s="87"/>
      <c r="OHX2" s="87"/>
      <c r="OHZ2" s="87"/>
      <c r="OIB2" s="87"/>
      <c r="OID2" s="87"/>
      <c r="OIF2" s="87"/>
      <c r="OIH2" s="87"/>
      <c r="OIJ2" s="87"/>
      <c r="OIL2" s="87"/>
      <c r="OIN2" s="87"/>
      <c r="OIP2" s="87"/>
      <c r="OIR2" s="87"/>
      <c r="OIT2" s="87"/>
      <c r="OIV2" s="87"/>
      <c r="OIX2" s="87"/>
      <c r="OIZ2" s="87"/>
      <c r="OJB2" s="87"/>
      <c r="OJD2" s="87"/>
      <c r="OJF2" s="87"/>
      <c r="OJH2" s="87"/>
      <c r="OJJ2" s="87"/>
      <c r="OJL2" s="87"/>
      <c r="OJN2" s="87"/>
      <c r="OJP2" s="87"/>
      <c r="OJR2" s="87"/>
      <c r="OJT2" s="87"/>
      <c r="OJV2" s="87"/>
      <c r="OJX2" s="87"/>
      <c r="OJZ2" s="87"/>
      <c r="OKB2" s="87"/>
      <c r="OKD2" s="87"/>
      <c r="OKF2" s="87"/>
      <c r="OKH2" s="87"/>
      <c r="OKJ2" s="87"/>
      <c r="OKL2" s="87"/>
      <c r="OKN2" s="87"/>
      <c r="OKP2" s="87"/>
      <c r="OKR2" s="87"/>
      <c r="OKT2" s="87"/>
      <c r="OKV2" s="87"/>
      <c r="OKX2" s="87"/>
      <c r="OKZ2" s="87"/>
      <c r="OLB2" s="87"/>
      <c r="OLD2" s="87"/>
      <c r="OLF2" s="87"/>
      <c r="OLH2" s="87"/>
      <c r="OLJ2" s="87"/>
      <c r="OLL2" s="87"/>
      <c r="OLN2" s="87"/>
      <c r="OLP2" s="87"/>
      <c r="OLR2" s="87"/>
      <c r="OLT2" s="87"/>
      <c r="OLV2" s="87"/>
      <c r="OLX2" s="87"/>
      <c r="OLZ2" s="87"/>
      <c r="OMB2" s="87"/>
      <c r="OMD2" s="87"/>
      <c r="OMF2" s="87"/>
      <c r="OMH2" s="87"/>
      <c r="OMJ2" s="87"/>
      <c r="OML2" s="87"/>
      <c r="OMN2" s="87"/>
      <c r="OMP2" s="87"/>
      <c r="OMR2" s="87"/>
      <c r="OMT2" s="87"/>
      <c r="OMV2" s="87"/>
      <c r="OMX2" s="87"/>
      <c r="OMZ2" s="87"/>
      <c r="ONB2" s="87"/>
      <c r="OND2" s="87"/>
      <c r="ONF2" s="87"/>
      <c r="ONH2" s="87"/>
      <c r="ONJ2" s="87"/>
      <c r="ONL2" s="87"/>
      <c r="ONN2" s="87"/>
      <c r="ONP2" s="87"/>
      <c r="ONR2" s="87"/>
      <c r="ONT2" s="87"/>
      <c r="ONV2" s="87"/>
      <c r="ONX2" s="87"/>
      <c r="ONZ2" s="87"/>
      <c r="OOB2" s="87"/>
      <c r="OOD2" s="87"/>
      <c r="OOF2" s="87"/>
      <c r="OOH2" s="87"/>
      <c r="OOJ2" s="87"/>
      <c r="OOL2" s="87"/>
      <c r="OON2" s="87"/>
      <c r="OOP2" s="87"/>
      <c r="OOR2" s="87"/>
      <c r="OOT2" s="87"/>
      <c r="OOV2" s="87"/>
      <c r="OOX2" s="87"/>
      <c r="OOZ2" s="87"/>
      <c r="OPB2" s="87"/>
      <c r="OPD2" s="87"/>
      <c r="OPF2" s="87"/>
      <c r="OPH2" s="87"/>
      <c r="OPJ2" s="87"/>
      <c r="OPL2" s="87"/>
      <c r="OPN2" s="87"/>
      <c r="OPP2" s="87"/>
      <c r="OPR2" s="87"/>
      <c r="OPT2" s="87"/>
      <c r="OPV2" s="87"/>
      <c r="OPX2" s="87"/>
      <c r="OPZ2" s="87"/>
      <c r="OQB2" s="87"/>
      <c r="OQD2" s="87"/>
      <c r="OQF2" s="87"/>
      <c r="OQH2" s="87"/>
      <c r="OQJ2" s="87"/>
      <c r="OQL2" s="87"/>
      <c r="OQN2" s="87"/>
      <c r="OQP2" s="87"/>
      <c r="OQR2" s="87"/>
      <c r="OQT2" s="87"/>
      <c r="OQV2" s="87"/>
      <c r="OQX2" s="87"/>
      <c r="OQZ2" s="87"/>
      <c r="ORB2" s="87"/>
      <c r="ORD2" s="87"/>
      <c r="ORF2" s="87"/>
      <c r="ORH2" s="87"/>
      <c r="ORJ2" s="87"/>
      <c r="ORL2" s="87"/>
      <c r="ORN2" s="87"/>
      <c r="ORP2" s="87"/>
      <c r="ORR2" s="87"/>
      <c r="ORT2" s="87"/>
      <c r="ORV2" s="87"/>
      <c r="ORX2" s="87"/>
      <c r="ORZ2" s="87"/>
      <c r="OSB2" s="87"/>
      <c r="OSD2" s="87"/>
      <c r="OSF2" s="87"/>
      <c r="OSH2" s="87"/>
      <c r="OSJ2" s="87"/>
      <c r="OSL2" s="87"/>
      <c r="OSN2" s="87"/>
      <c r="OSP2" s="87"/>
      <c r="OSR2" s="87"/>
      <c r="OST2" s="87"/>
      <c r="OSV2" s="87"/>
      <c r="OSX2" s="87"/>
      <c r="OSZ2" s="87"/>
      <c r="OTB2" s="87"/>
      <c r="OTD2" s="87"/>
      <c r="OTF2" s="87"/>
      <c r="OTH2" s="87"/>
      <c r="OTJ2" s="87"/>
      <c r="OTL2" s="87"/>
      <c r="OTN2" s="87"/>
      <c r="OTP2" s="87"/>
      <c r="OTR2" s="87"/>
      <c r="OTT2" s="87"/>
      <c r="OTV2" s="87"/>
      <c r="OTX2" s="87"/>
      <c r="OTZ2" s="87"/>
      <c r="OUB2" s="87"/>
      <c r="OUD2" s="87"/>
      <c r="OUF2" s="87"/>
      <c r="OUH2" s="87"/>
      <c r="OUJ2" s="87"/>
      <c r="OUL2" s="87"/>
      <c r="OUN2" s="87"/>
      <c r="OUP2" s="87"/>
      <c r="OUR2" s="87"/>
      <c r="OUT2" s="87"/>
      <c r="OUV2" s="87"/>
      <c r="OUX2" s="87"/>
      <c r="OUZ2" s="87"/>
      <c r="OVB2" s="87"/>
      <c r="OVD2" s="87"/>
      <c r="OVF2" s="87"/>
      <c r="OVH2" s="87"/>
      <c r="OVJ2" s="87"/>
      <c r="OVL2" s="87"/>
      <c r="OVN2" s="87"/>
      <c r="OVP2" s="87"/>
      <c r="OVR2" s="87"/>
      <c r="OVT2" s="87"/>
      <c r="OVV2" s="87"/>
      <c r="OVX2" s="87"/>
      <c r="OVZ2" s="87"/>
      <c r="OWB2" s="87"/>
      <c r="OWD2" s="87"/>
      <c r="OWF2" s="87"/>
      <c r="OWH2" s="87"/>
      <c r="OWJ2" s="87"/>
      <c r="OWL2" s="87"/>
      <c r="OWN2" s="87"/>
      <c r="OWP2" s="87"/>
      <c r="OWR2" s="87"/>
      <c r="OWT2" s="87"/>
      <c r="OWV2" s="87"/>
      <c r="OWX2" s="87"/>
      <c r="OWZ2" s="87"/>
      <c r="OXB2" s="87"/>
      <c r="OXD2" s="87"/>
      <c r="OXF2" s="87"/>
      <c r="OXH2" s="87"/>
      <c r="OXJ2" s="87"/>
      <c r="OXL2" s="87"/>
      <c r="OXN2" s="87"/>
      <c r="OXP2" s="87"/>
      <c r="OXR2" s="87"/>
      <c r="OXT2" s="87"/>
      <c r="OXV2" s="87"/>
      <c r="OXX2" s="87"/>
      <c r="OXZ2" s="87"/>
      <c r="OYB2" s="87"/>
      <c r="OYD2" s="87"/>
      <c r="OYF2" s="87"/>
      <c r="OYH2" s="87"/>
      <c r="OYJ2" s="87"/>
      <c r="OYL2" s="87"/>
      <c r="OYN2" s="87"/>
      <c r="OYP2" s="87"/>
      <c r="OYR2" s="87"/>
      <c r="OYT2" s="87"/>
      <c r="OYV2" s="87"/>
      <c r="OYX2" s="87"/>
      <c r="OYZ2" s="87"/>
      <c r="OZB2" s="87"/>
      <c r="OZD2" s="87"/>
      <c r="OZF2" s="87"/>
      <c r="OZH2" s="87"/>
      <c r="OZJ2" s="87"/>
      <c r="OZL2" s="87"/>
      <c r="OZN2" s="87"/>
      <c r="OZP2" s="87"/>
      <c r="OZR2" s="87"/>
      <c r="OZT2" s="87"/>
      <c r="OZV2" s="87"/>
      <c r="OZX2" s="87"/>
      <c r="OZZ2" s="87"/>
      <c r="PAB2" s="87"/>
      <c r="PAD2" s="87"/>
      <c r="PAF2" s="87"/>
      <c r="PAH2" s="87"/>
      <c r="PAJ2" s="87"/>
      <c r="PAL2" s="87"/>
      <c r="PAN2" s="87"/>
      <c r="PAP2" s="87"/>
      <c r="PAR2" s="87"/>
      <c r="PAT2" s="87"/>
      <c r="PAV2" s="87"/>
      <c r="PAX2" s="87"/>
      <c r="PAZ2" s="87"/>
      <c r="PBB2" s="87"/>
      <c r="PBD2" s="87"/>
      <c r="PBF2" s="87"/>
      <c r="PBH2" s="87"/>
      <c r="PBJ2" s="87"/>
      <c r="PBL2" s="87"/>
      <c r="PBN2" s="87"/>
      <c r="PBP2" s="87"/>
      <c r="PBR2" s="87"/>
      <c r="PBT2" s="87"/>
      <c r="PBV2" s="87"/>
      <c r="PBX2" s="87"/>
      <c r="PBZ2" s="87"/>
      <c r="PCB2" s="87"/>
      <c r="PCD2" s="87"/>
      <c r="PCF2" s="87"/>
      <c r="PCH2" s="87"/>
      <c r="PCJ2" s="87"/>
      <c r="PCL2" s="87"/>
      <c r="PCN2" s="87"/>
      <c r="PCP2" s="87"/>
      <c r="PCR2" s="87"/>
      <c r="PCT2" s="87"/>
      <c r="PCV2" s="87"/>
      <c r="PCX2" s="87"/>
      <c r="PCZ2" s="87"/>
      <c r="PDB2" s="87"/>
      <c r="PDD2" s="87"/>
      <c r="PDF2" s="87"/>
      <c r="PDH2" s="87"/>
      <c r="PDJ2" s="87"/>
      <c r="PDL2" s="87"/>
      <c r="PDN2" s="87"/>
      <c r="PDP2" s="87"/>
      <c r="PDR2" s="87"/>
      <c r="PDT2" s="87"/>
      <c r="PDV2" s="87"/>
      <c r="PDX2" s="87"/>
      <c r="PDZ2" s="87"/>
      <c r="PEB2" s="87"/>
      <c r="PED2" s="87"/>
      <c r="PEF2" s="87"/>
      <c r="PEH2" s="87"/>
      <c r="PEJ2" s="87"/>
      <c r="PEL2" s="87"/>
      <c r="PEN2" s="87"/>
      <c r="PEP2" s="87"/>
      <c r="PER2" s="87"/>
      <c r="PET2" s="87"/>
      <c r="PEV2" s="87"/>
      <c r="PEX2" s="87"/>
      <c r="PEZ2" s="87"/>
      <c r="PFB2" s="87"/>
      <c r="PFD2" s="87"/>
      <c r="PFF2" s="87"/>
      <c r="PFH2" s="87"/>
      <c r="PFJ2" s="87"/>
      <c r="PFL2" s="87"/>
      <c r="PFN2" s="87"/>
      <c r="PFP2" s="87"/>
      <c r="PFR2" s="87"/>
      <c r="PFT2" s="87"/>
      <c r="PFV2" s="87"/>
      <c r="PFX2" s="87"/>
      <c r="PFZ2" s="87"/>
      <c r="PGB2" s="87"/>
      <c r="PGD2" s="87"/>
      <c r="PGF2" s="87"/>
      <c r="PGH2" s="87"/>
      <c r="PGJ2" s="87"/>
      <c r="PGL2" s="87"/>
      <c r="PGN2" s="87"/>
      <c r="PGP2" s="87"/>
      <c r="PGR2" s="87"/>
      <c r="PGT2" s="87"/>
      <c r="PGV2" s="87"/>
      <c r="PGX2" s="87"/>
      <c r="PGZ2" s="87"/>
      <c r="PHB2" s="87"/>
      <c r="PHD2" s="87"/>
      <c r="PHF2" s="87"/>
      <c r="PHH2" s="87"/>
      <c r="PHJ2" s="87"/>
      <c r="PHL2" s="87"/>
      <c r="PHN2" s="87"/>
      <c r="PHP2" s="87"/>
      <c r="PHR2" s="87"/>
      <c r="PHT2" s="87"/>
      <c r="PHV2" s="87"/>
      <c r="PHX2" s="87"/>
      <c r="PHZ2" s="87"/>
      <c r="PIB2" s="87"/>
      <c r="PID2" s="87"/>
      <c r="PIF2" s="87"/>
      <c r="PIH2" s="87"/>
      <c r="PIJ2" s="87"/>
      <c r="PIL2" s="87"/>
      <c r="PIN2" s="87"/>
      <c r="PIP2" s="87"/>
      <c r="PIR2" s="87"/>
      <c r="PIT2" s="87"/>
      <c r="PIV2" s="87"/>
      <c r="PIX2" s="87"/>
      <c r="PIZ2" s="87"/>
      <c r="PJB2" s="87"/>
      <c r="PJD2" s="87"/>
      <c r="PJF2" s="87"/>
      <c r="PJH2" s="87"/>
      <c r="PJJ2" s="87"/>
      <c r="PJL2" s="87"/>
      <c r="PJN2" s="87"/>
      <c r="PJP2" s="87"/>
      <c r="PJR2" s="87"/>
      <c r="PJT2" s="87"/>
      <c r="PJV2" s="87"/>
      <c r="PJX2" s="87"/>
      <c r="PJZ2" s="87"/>
      <c r="PKB2" s="87"/>
      <c r="PKD2" s="87"/>
      <c r="PKF2" s="87"/>
      <c r="PKH2" s="87"/>
      <c r="PKJ2" s="87"/>
      <c r="PKL2" s="87"/>
      <c r="PKN2" s="87"/>
      <c r="PKP2" s="87"/>
      <c r="PKR2" s="87"/>
      <c r="PKT2" s="87"/>
      <c r="PKV2" s="87"/>
      <c r="PKX2" s="87"/>
      <c r="PKZ2" s="87"/>
      <c r="PLB2" s="87"/>
      <c r="PLD2" s="87"/>
      <c r="PLF2" s="87"/>
      <c r="PLH2" s="87"/>
      <c r="PLJ2" s="87"/>
      <c r="PLL2" s="87"/>
      <c r="PLN2" s="87"/>
      <c r="PLP2" s="87"/>
      <c r="PLR2" s="87"/>
      <c r="PLT2" s="87"/>
      <c r="PLV2" s="87"/>
      <c r="PLX2" s="87"/>
      <c r="PLZ2" s="87"/>
      <c r="PMB2" s="87"/>
      <c r="PMD2" s="87"/>
      <c r="PMF2" s="87"/>
      <c r="PMH2" s="87"/>
      <c r="PMJ2" s="87"/>
      <c r="PML2" s="87"/>
      <c r="PMN2" s="87"/>
      <c r="PMP2" s="87"/>
      <c r="PMR2" s="87"/>
      <c r="PMT2" s="87"/>
      <c r="PMV2" s="87"/>
      <c r="PMX2" s="87"/>
      <c r="PMZ2" s="87"/>
      <c r="PNB2" s="87"/>
      <c r="PND2" s="87"/>
      <c r="PNF2" s="87"/>
      <c r="PNH2" s="87"/>
      <c r="PNJ2" s="87"/>
      <c r="PNL2" s="87"/>
      <c r="PNN2" s="87"/>
      <c r="PNP2" s="87"/>
      <c r="PNR2" s="87"/>
      <c r="PNT2" s="87"/>
      <c r="PNV2" s="87"/>
      <c r="PNX2" s="87"/>
      <c r="PNZ2" s="87"/>
      <c r="POB2" s="87"/>
      <c r="POD2" s="87"/>
      <c r="POF2" s="87"/>
      <c r="POH2" s="87"/>
      <c r="POJ2" s="87"/>
      <c r="POL2" s="87"/>
      <c r="PON2" s="87"/>
      <c r="POP2" s="87"/>
      <c r="POR2" s="87"/>
      <c r="POT2" s="87"/>
      <c r="POV2" s="87"/>
      <c r="POX2" s="87"/>
      <c r="POZ2" s="87"/>
      <c r="PPB2" s="87"/>
      <c r="PPD2" s="87"/>
      <c r="PPF2" s="87"/>
      <c r="PPH2" s="87"/>
      <c r="PPJ2" s="87"/>
      <c r="PPL2" s="87"/>
      <c r="PPN2" s="87"/>
      <c r="PPP2" s="87"/>
      <c r="PPR2" s="87"/>
      <c r="PPT2" s="87"/>
      <c r="PPV2" s="87"/>
      <c r="PPX2" s="87"/>
      <c r="PPZ2" s="87"/>
      <c r="PQB2" s="87"/>
      <c r="PQD2" s="87"/>
      <c r="PQF2" s="87"/>
      <c r="PQH2" s="87"/>
      <c r="PQJ2" s="87"/>
      <c r="PQL2" s="87"/>
      <c r="PQN2" s="87"/>
      <c r="PQP2" s="87"/>
      <c r="PQR2" s="87"/>
      <c r="PQT2" s="87"/>
      <c r="PQV2" s="87"/>
      <c r="PQX2" s="87"/>
      <c r="PQZ2" s="87"/>
      <c r="PRB2" s="87"/>
      <c r="PRD2" s="87"/>
      <c r="PRF2" s="87"/>
      <c r="PRH2" s="87"/>
      <c r="PRJ2" s="87"/>
      <c r="PRL2" s="87"/>
      <c r="PRN2" s="87"/>
      <c r="PRP2" s="87"/>
      <c r="PRR2" s="87"/>
      <c r="PRT2" s="87"/>
      <c r="PRV2" s="87"/>
      <c r="PRX2" s="87"/>
      <c r="PRZ2" s="87"/>
      <c r="PSB2" s="87"/>
      <c r="PSD2" s="87"/>
      <c r="PSF2" s="87"/>
      <c r="PSH2" s="87"/>
      <c r="PSJ2" s="87"/>
      <c r="PSL2" s="87"/>
      <c r="PSN2" s="87"/>
      <c r="PSP2" s="87"/>
      <c r="PSR2" s="87"/>
      <c r="PST2" s="87"/>
      <c r="PSV2" s="87"/>
      <c r="PSX2" s="87"/>
      <c r="PSZ2" s="87"/>
      <c r="PTB2" s="87"/>
      <c r="PTD2" s="87"/>
      <c r="PTF2" s="87"/>
      <c r="PTH2" s="87"/>
      <c r="PTJ2" s="87"/>
      <c r="PTL2" s="87"/>
      <c r="PTN2" s="87"/>
      <c r="PTP2" s="87"/>
      <c r="PTR2" s="87"/>
      <c r="PTT2" s="87"/>
      <c r="PTV2" s="87"/>
      <c r="PTX2" s="87"/>
      <c r="PTZ2" s="87"/>
      <c r="PUB2" s="87"/>
      <c r="PUD2" s="87"/>
      <c r="PUF2" s="87"/>
      <c r="PUH2" s="87"/>
      <c r="PUJ2" s="87"/>
      <c r="PUL2" s="87"/>
      <c r="PUN2" s="87"/>
      <c r="PUP2" s="87"/>
      <c r="PUR2" s="87"/>
      <c r="PUT2" s="87"/>
      <c r="PUV2" s="87"/>
      <c r="PUX2" s="87"/>
      <c r="PUZ2" s="87"/>
      <c r="PVB2" s="87"/>
      <c r="PVD2" s="87"/>
      <c r="PVF2" s="87"/>
      <c r="PVH2" s="87"/>
      <c r="PVJ2" s="87"/>
      <c r="PVL2" s="87"/>
      <c r="PVN2" s="87"/>
      <c r="PVP2" s="87"/>
      <c r="PVR2" s="87"/>
      <c r="PVT2" s="87"/>
      <c r="PVV2" s="87"/>
      <c r="PVX2" s="87"/>
      <c r="PVZ2" s="87"/>
      <c r="PWB2" s="87"/>
      <c r="PWD2" s="87"/>
      <c r="PWF2" s="87"/>
      <c r="PWH2" s="87"/>
      <c r="PWJ2" s="87"/>
      <c r="PWL2" s="87"/>
      <c r="PWN2" s="87"/>
      <c r="PWP2" s="87"/>
      <c r="PWR2" s="87"/>
      <c r="PWT2" s="87"/>
      <c r="PWV2" s="87"/>
      <c r="PWX2" s="87"/>
      <c r="PWZ2" s="87"/>
      <c r="PXB2" s="87"/>
      <c r="PXD2" s="87"/>
      <c r="PXF2" s="87"/>
      <c r="PXH2" s="87"/>
      <c r="PXJ2" s="87"/>
      <c r="PXL2" s="87"/>
      <c r="PXN2" s="87"/>
      <c r="PXP2" s="87"/>
      <c r="PXR2" s="87"/>
      <c r="PXT2" s="87"/>
      <c r="PXV2" s="87"/>
      <c r="PXX2" s="87"/>
      <c r="PXZ2" s="87"/>
      <c r="PYB2" s="87"/>
      <c r="PYD2" s="87"/>
      <c r="PYF2" s="87"/>
      <c r="PYH2" s="87"/>
      <c r="PYJ2" s="87"/>
      <c r="PYL2" s="87"/>
      <c r="PYN2" s="87"/>
      <c r="PYP2" s="87"/>
      <c r="PYR2" s="87"/>
      <c r="PYT2" s="87"/>
      <c r="PYV2" s="87"/>
      <c r="PYX2" s="87"/>
      <c r="PYZ2" s="87"/>
      <c r="PZB2" s="87"/>
      <c r="PZD2" s="87"/>
      <c r="PZF2" s="87"/>
      <c r="PZH2" s="87"/>
      <c r="PZJ2" s="87"/>
      <c r="PZL2" s="87"/>
      <c r="PZN2" s="87"/>
      <c r="PZP2" s="87"/>
      <c r="PZR2" s="87"/>
      <c r="PZT2" s="87"/>
      <c r="PZV2" s="87"/>
      <c r="PZX2" s="87"/>
      <c r="PZZ2" s="87"/>
      <c r="QAB2" s="87"/>
      <c r="QAD2" s="87"/>
      <c r="QAF2" s="87"/>
      <c r="QAH2" s="87"/>
      <c r="QAJ2" s="87"/>
      <c r="QAL2" s="87"/>
      <c r="QAN2" s="87"/>
      <c r="QAP2" s="87"/>
      <c r="QAR2" s="87"/>
      <c r="QAT2" s="87"/>
      <c r="QAV2" s="87"/>
      <c r="QAX2" s="87"/>
      <c r="QAZ2" s="87"/>
      <c r="QBB2" s="87"/>
      <c r="QBD2" s="87"/>
      <c r="QBF2" s="87"/>
      <c r="QBH2" s="87"/>
      <c r="QBJ2" s="87"/>
      <c r="QBL2" s="87"/>
      <c r="QBN2" s="87"/>
      <c r="QBP2" s="87"/>
      <c r="QBR2" s="87"/>
      <c r="QBT2" s="87"/>
      <c r="QBV2" s="87"/>
      <c r="QBX2" s="87"/>
      <c r="QBZ2" s="87"/>
      <c r="QCB2" s="87"/>
      <c r="QCD2" s="87"/>
      <c r="QCF2" s="87"/>
      <c r="QCH2" s="87"/>
      <c r="QCJ2" s="87"/>
      <c r="QCL2" s="87"/>
      <c r="QCN2" s="87"/>
      <c r="QCP2" s="87"/>
      <c r="QCR2" s="87"/>
      <c r="QCT2" s="87"/>
      <c r="QCV2" s="87"/>
      <c r="QCX2" s="87"/>
      <c r="QCZ2" s="87"/>
      <c r="QDB2" s="87"/>
      <c r="QDD2" s="87"/>
      <c r="QDF2" s="87"/>
      <c r="QDH2" s="87"/>
      <c r="QDJ2" s="87"/>
      <c r="QDL2" s="87"/>
      <c r="QDN2" s="87"/>
      <c r="QDP2" s="87"/>
      <c r="QDR2" s="87"/>
      <c r="QDT2" s="87"/>
      <c r="QDV2" s="87"/>
      <c r="QDX2" s="87"/>
      <c r="QDZ2" s="87"/>
      <c r="QEB2" s="87"/>
      <c r="QED2" s="87"/>
      <c r="QEF2" s="87"/>
      <c r="QEH2" s="87"/>
      <c r="QEJ2" s="87"/>
      <c r="QEL2" s="87"/>
      <c r="QEN2" s="87"/>
      <c r="QEP2" s="87"/>
      <c r="QER2" s="87"/>
      <c r="QET2" s="87"/>
      <c r="QEV2" s="87"/>
      <c r="QEX2" s="87"/>
      <c r="QEZ2" s="87"/>
      <c r="QFB2" s="87"/>
      <c r="QFD2" s="87"/>
      <c r="QFF2" s="87"/>
      <c r="QFH2" s="87"/>
      <c r="QFJ2" s="87"/>
      <c r="QFL2" s="87"/>
      <c r="QFN2" s="87"/>
      <c r="QFP2" s="87"/>
      <c r="QFR2" s="87"/>
      <c r="QFT2" s="87"/>
      <c r="QFV2" s="87"/>
      <c r="QFX2" s="87"/>
      <c r="QFZ2" s="87"/>
      <c r="QGB2" s="87"/>
      <c r="QGD2" s="87"/>
      <c r="QGF2" s="87"/>
      <c r="QGH2" s="87"/>
      <c r="QGJ2" s="87"/>
      <c r="QGL2" s="87"/>
      <c r="QGN2" s="87"/>
      <c r="QGP2" s="87"/>
      <c r="QGR2" s="87"/>
      <c r="QGT2" s="87"/>
      <c r="QGV2" s="87"/>
      <c r="QGX2" s="87"/>
      <c r="QGZ2" s="87"/>
      <c r="QHB2" s="87"/>
      <c r="QHD2" s="87"/>
      <c r="QHF2" s="87"/>
      <c r="QHH2" s="87"/>
      <c r="QHJ2" s="87"/>
      <c r="QHL2" s="87"/>
      <c r="QHN2" s="87"/>
      <c r="QHP2" s="87"/>
      <c r="QHR2" s="87"/>
      <c r="QHT2" s="87"/>
      <c r="QHV2" s="87"/>
      <c r="QHX2" s="87"/>
      <c r="QHZ2" s="87"/>
      <c r="QIB2" s="87"/>
      <c r="QID2" s="87"/>
      <c r="QIF2" s="87"/>
      <c r="QIH2" s="87"/>
      <c r="QIJ2" s="87"/>
      <c r="QIL2" s="87"/>
      <c r="QIN2" s="87"/>
      <c r="QIP2" s="87"/>
      <c r="QIR2" s="87"/>
      <c r="QIT2" s="87"/>
      <c r="QIV2" s="87"/>
      <c r="QIX2" s="87"/>
      <c r="QIZ2" s="87"/>
      <c r="QJB2" s="87"/>
      <c r="QJD2" s="87"/>
      <c r="QJF2" s="87"/>
      <c r="QJH2" s="87"/>
      <c r="QJJ2" s="87"/>
      <c r="QJL2" s="87"/>
      <c r="QJN2" s="87"/>
      <c r="QJP2" s="87"/>
      <c r="QJR2" s="87"/>
      <c r="QJT2" s="87"/>
      <c r="QJV2" s="87"/>
      <c r="QJX2" s="87"/>
      <c r="QJZ2" s="87"/>
      <c r="QKB2" s="87"/>
      <c r="QKD2" s="87"/>
      <c r="QKF2" s="87"/>
      <c r="QKH2" s="87"/>
      <c r="QKJ2" s="87"/>
      <c r="QKL2" s="87"/>
      <c r="QKN2" s="87"/>
      <c r="QKP2" s="87"/>
      <c r="QKR2" s="87"/>
      <c r="QKT2" s="87"/>
      <c r="QKV2" s="87"/>
      <c r="QKX2" s="87"/>
      <c r="QKZ2" s="87"/>
      <c r="QLB2" s="87"/>
      <c r="QLD2" s="87"/>
      <c r="QLF2" s="87"/>
      <c r="QLH2" s="87"/>
      <c r="QLJ2" s="87"/>
      <c r="QLL2" s="87"/>
      <c r="QLN2" s="87"/>
      <c r="QLP2" s="87"/>
      <c r="QLR2" s="87"/>
      <c r="QLT2" s="87"/>
      <c r="QLV2" s="87"/>
      <c r="QLX2" s="87"/>
      <c r="QLZ2" s="87"/>
      <c r="QMB2" s="87"/>
      <c r="QMD2" s="87"/>
      <c r="QMF2" s="87"/>
      <c r="QMH2" s="87"/>
      <c r="QMJ2" s="87"/>
      <c r="QML2" s="87"/>
      <c r="QMN2" s="87"/>
      <c r="QMP2" s="87"/>
      <c r="QMR2" s="87"/>
      <c r="QMT2" s="87"/>
      <c r="QMV2" s="87"/>
      <c r="QMX2" s="87"/>
      <c r="QMZ2" s="87"/>
      <c r="QNB2" s="87"/>
      <c r="QND2" s="87"/>
      <c r="QNF2" s="87"/>
      <c r="QNH2" s="87"/>
      <c r="QNJ2" s="87"/>
      <c r="QNL2" s="87"/>
      <c r="QNN2" s="87"/>
      <c r="QNP2" s="87"/>
      <c r="QNR2" s="87"/>
      <c r="QNT2" s="87"/>
      <c r="QNV2" s="87"/>
      <c r="QNX2" s="87"/>
      <c r="QNZ2" s="87"/>
      <c r="QOB2" s="87"/>
      <c r="QOD2" s="87"/>
      <c r="QOF2" s="87"/>
      <c r="QOH2" s="87"/>
      <c r="QOJ2" s="87"/>
      <c r="QOL2" s="87"/>
      <c r="QON2" s="87"/>
      <c r="QOP2" s="87"/>
      <c r="QOR2" s="87"/>
      <c r="QOT2" s="87"/>
      <c r="QOV2" s="87"/>
      <c r="QOX2" s="87"/>
      <c r="QOZ2" s="87"/>
      <c r="QPB2" s="87"/>
      <c r="QPD2" s="87"/>
      <c r="QPF2" s="87"/>
      <c r="QPH2" s="87"/>
      <c r="QPJ2" s="87"/>
      <c r="QPL2" s="87"/>
      <c r="QPN2" s="87"/>
      <c r="QPP2" s="87"/>
      <c r="QPR2" s="87"/>
      <c r="QPT2" s="87"/>
      <c r="QPV2" s="87"/>
      <c r="QPX2" s="87"/>
      <c r="QPZ2" s="87"/>
      <c r="QQB2" s="87"/>
      <c r="QQD2" s="87"/>
      <c r="QQF2" s="87"/>
      <c r="QQH2" s="87"/>
      <c r="QQJ2" s="87"/>
      <c r="QQL2" s="87"/>
      <c r="QQN2" s="87"/>
      <c r="QQP2" s="87"/>
      <c r="QQR2" s="87"/>
      <c r="QQT2" s="87"/>
      <c r="QQV2" s="87"/>
      <c r="QQX2" s="87"/>
      <c r="QQZ2" s="87"/>
      <c r="QRB2" s="87"/>
      <c r="QRD2" s="87"/>
      <c r="QRF2" s="87"/>
      <c r="QRH2" s="87"/>
      <c r="QRJ2" s="87"/>
      <c r="QRL2" s="87"/>
      <c r="QRN2" s="87"/>
      <c r="QRP2" s="87"/>
      <c r="QRR2" s="87"/>
      <c r="QRT2" s="87"/>
      <c r="QRV2" s="87"/>
      <c r="QRX2" s="87"/>
      <c r="QRZ2" s="87"/>
      <c r="QSB2" s="87"/>
      <c r="QSD2" s="87"/>
      <c r="QSF2" s="87"/>
      <c r="QSH2" s="87"/>
      <c r="QSJ2" s="87"/>
      <c r="QSL2" s="87"/>
      <c r="QSN2" s="87"/>
      <c r="QSP2" s="87"/>
      <c r="QSR2" s="87"/>
      <c r="QST2" s="87"/>
      <c r="QSV2" s="87"/>
      <c r="QSX2" s="87"/>
      <c r="QSZ2" s="87"/>
      <c r="QTB2" s="87"/>
      <c r="QTD2" s="87"/>
      <c r="QTF2" s="87"/>
      <c r="QTH2" s="87"/>
      <c r="QTJ2" s="87"/>
      <c r="QTL2" s="87"/>
      <c r="QTN2" s="87"/>
      <c r="QTP2" s="87"/>
      <c r="QTR2" s="87"/>
      <c r="QTT2" s="87"/>
      <c r="QTV2" s="87"/>
      <c r="QTX2" s="87"/>
      <c r="QTZ2" s="87"/>
      <c r="QUB2" s="87"/>
      <c r="QUD2" s="87"/>
      <c r="QUF2" s="87"/>
      <c r="QUH2" s="87"/>
      <c r="QUJ2" s="87"/>
      <c r="QUL2" s="87"/>
      <c r="QUN2" s="87"/>
      <c r="QUP2" s="87"/>
      <c r="QUR2" s="87"/>
      <c r="QUT2" s="87"/>
      <c r="QUV2" s="87"/>
      <c r="QUX2" s="87"/>
      <c r="QUZ2" s="87"/>
      <c r="QVB2" s="87"/>
      <c r="QVD2" s="87"/>
      <c r="QVF2" s="87"/>
      <c r="QVH2" s="87"/>
      <c r="QVJ2" s="87"/>
      <c r="QVL2" s="87"/>
      <c r="QVN2" s="87"/>
      <c r="QVP2" s="87"/>
      <c r="QVR2" s="87"/>
      <c r="QVT2" s="87"/>
      <c r="QVV2" s="87"/>
      <c r="QVX2" s="87"/>
      <c r="QVZ2" s="87"/>
      <c r="QWB2" s="87"/>
      <c r="QWD2" s="87"/>
      <c r="QWF2" s="87"/>
      <c r="QWH2" s="87"/>
      <c r="QWJ2" s="87"/>
      <c r="QWL2" s="87"/>
      <c r="QWN2" s="87"/>
      <c r="QWP2" s="87"/>
      <c r="QWR2" s="87"/>
      <c r="QWT2" s="87"/>
      <c r="QWV2" s="87"/>
      <c r="QWX2" s="87"/>
      <c r="QWZ2" s="87"/>
      <c r="QXB2" s="87"/>
      <c r="QXD2" s="87"/>
      <c r="QXF2" s="87"/>
      <c r="QXH2" s="87"/>
      <c r="QXJ2" s="87"/>
      <c r="QXL2" s="87"/>
      <c r="QXN2" s="87"/>
      <c r="QXP2" s="87"/>
      <c r="QXR2" s="87"/>
      <c r="QXT2" s="87"/>
      <c r="QXV2" s="87"/>
      <c r="QXX2" s="87"/>
      <c r="QXZ2" s="87"/>
      <c r="QYB2" s="87"/>
      <c r="QYD2" s="87"/>
      <c r="QYF2" s="87"/>
      <c r="QYH2" s="87"/>
      <c r="QYJ2" s="87"/>
      <c r="QYL2" s="87"/>
      <c r="QYN2" s="87"/>
      <c r="QYP2" s="87"/>
      <c r="QYR2" s="87"/>
      <c r="QYT2" s="87"/>
      <c r="QYV2" s="87"/>
      <c r="QYX2" s="87"/>
      <c r="QYZ2" s="87"/>
      <c r="QZB2" s="87"/>
      <c r="QZD2" s="87"/>
      <c r="QZF2" s="87"/>
      <c r="QZH2" s="87"/>
      <c r="QZJ2" s="87"/>
      <c r="QZL2" s="87"/>
      <c r="QZN2" s="87"/>
      <c r="QZP2" s="87"/>
      <c r="QZR2" s="87"/>
      <c r="QZT2" s="87"/>
      <c r="QZV2" s="87"/>
      <c r="QZX2" s="87"/>
      <c r="QZZ2" s="87"/>
      <c r="RAB2" s="87"/>
      <c r="RAD2" s="87"/>
      <c r="RAF2" s="87"/>
      <c r="RAH2" s="87"/>
      <c r="RAJ2" s="87"/>
      <c r="RAL2" s="87"/>
      <c r="RAN2" s="87"/>
      <c r="RAP2" s="87"/>
      <c r="RAR2" s="87"/>
      <c r="RAT2" s="87"/>
      <c r="RAV2" s="87"/>
      <c r="RAX2" s="87"/>
      <c r="RAZ2" s="87"/>
      <c r="RBB2" s="87"/>
      <c r="RBD2" s="87"/>
      <c r="RBF2" s="87"/>
      <c r="RBH2" s="87"/>
      <c r="RBJ2" s="87"/>
      <c r="RBL2" s="87"/>
      <c r="RBN2" s="87"/>
      <c r="RBP2" s="87"/>
      <c r="RBR2" s="87"/>
      <c r="RBT2" s="87"/>
      <c r="RBV2" s="87"/>
      <c r="RBX2" s="87"/>
      <c r="RBZ2" s="87"/>
      <c r="RCB2" s="87"/>
      <c r="RCD2" s="87"/>
      <c r="RCF2" s="87"/>
      <c r="RCH2" s="87"/>
      <c r="RCJ2" s="87"/>
      <c r="RCL2" s="87"/>
      <c r="RCN2" s="87"/>
      <c r="RCP2" s="87"/>
      <c r="RCR2" s="87"/>
      <c r="RCT2" s="87"/>
      <c r="RCV2" s="87"/>
      <c r="RCX2" s="87"/>
      <c r="RCZ2" s="87"/>
      <c r="RDB2" s="87"/>
      <c r="RDD2" s="87"/>
      <c r="RDF2" s="87"/>
      <c r="RDH2" s="87"/>
      <c r="RDJ2" s="87"/>
      <c r="RDL2" s="87"/>
      <c r="RDN2" s="87"/>
      <c r="RDP2" s="87"/>
      <c r="RDR2" s="87"/>
      <c r="RDT2" s="87"/>
      <c r="RDV2" s="87"/>
      <c r="RDX2" s="87"/>
      <c r="RDZ2" s="87"/>
      <c r="REB2" s="87"/>
      <c r="RED2" s="87"/>
      <c r="REF2" s="87"/>
      <c r="REH2" s="87"/>
      <c r="REJ2" s="87"/>
      <c r="REL2" s="87"/>
      <c r="REN2" s="87"/>
      <c r="REP2" s="87"/>
      <c r="RER2" s="87"/>
      <c r="RET2" s="87"/>
      <c r="REV2" s="87"/>
      <c r="REX2" s="87"/>
      <c r="REZ2" s="87"/>
      <c r="RFB2" s="87"/>
      <c r="RFD2" s="87"/>
      <c r="RFF2" s="87"/>
      <c r="RFH2" s="87"/>
      <c r="RFJ2" s="87"/>
      <c r="RFL2" s="87"/>
      <c r="RFN2" s="87"/>
      <c r="RFP2" s="87"/>
      <c r="RFR2" s="87"/>
      <c r="RFT2" s="87"/>
      <c r="RFV2" s="87"/>
      <c r="RFX2" s="87"/>
      <c r="RFZ2" s="87"/>
      <c r="RGB2" s="87"/>
      <c r="RGD2" s="87"/>
      <c r="RGF2" s="87"/>
      <c r="RGH2" s="87"/>
      <c r="RGJ2" s="87"/>
      <c r="RGL2" s="87"/>
      <c r="RGN2" s="87"/>
      <c r="RGP2" s="87"/>
      <c r="RGR2" s="87"/>
      <c r="RGT2" s="87"/>
      <c r="RGV2" s="87"/>
      <c r="RGX2" s="87"/>
      <c r="RGZ2" s="87"/>
      <c r="RHB2" s="87"/>
      <c r="RHD2" s="87"/>
      <c r="RHF2" s="87"/>
      <c r="RHH2" s="87"/>
      <c r="RHJ2" s="87"/>
      <c r="RHL2" s="87"/>
      <c r="RHN2" s="87"/>
      <c r="RHP2" s="87"/>
      <c r="RHR2" s="87"/>
      <c r="RHT2" s="87"/>
      <c r="RHV2" s="87"/>
      <c r="RHX2" s="87"/>
      <c r="RHZ2" s="87"/>
      <c r="RIB2" s="87"/>
      <c r="RID2" s="87"/>
      <c r="RIF2" s="87"/>
      <c r="RIH2" s="87"/>
      <c r="RIJ2" s="87"/>
      <c r="RIL2" s="87"/>
      <c r="RIN2" s="87"/>
      <c r="RIP2" s="87"/>
      <c r="RIR2" s="87"/>
      <c r="RIT2" s="87"/>
      <c r="RIV2" s="87"/>
      <c r="RIX2" s="87"/>
      <c r="RIZ2" s="87"/>
      <c r="RJB2" s="87"/>
      <c r="RJD2" s="87"/>
      <c r="RJF2" s="87"/>
      <c r="RJH2" s="87"/>
      <c r="RJJ2" s="87"/>
      <c r="RJL2" s="87"/>
      <c r="RJN2" s="87"/>
      <c r="RJP2" s="87"/>
      <c r="RJR2" s="87"/>
      <c r="RJT2" s="87"/>
      <c r="RJV2" s="87"/>
      <c r="RJX2" s="87"/>
      <c r="RJZ2" s="87"/>
      <c r="RKB2" s="87"/>
      <c r="RKD2" s="87"/>
      <c r="RKF2" s="87"/>
      <c r="RKH2" s="87"/>
      <c r="RKJ2" s="87"/>
      <c r="RKL2" s="87"/>
      <c r="RKN2" s="87"/>
      <c r="RKP2" s="87"/>
      <c r="RKR2" s="87"/>
      <c r="RKT2" s="87"/>
      <c r="RKV2" s="87"/>
      <c r="RKX2" s="87"/>
      <c r="RKZ2" s="87"/>
      <c r="RLB2" s="87"/>
      <c r="RLD2" s="87"/>
      <c r="RLF2" s="87"/>
      <c r="RLH2" s="87"/>
      <c r="RLJ2" s="87"/>
      <c r="RLL2" s="87"/>
      <c r="RLN2" s="87"/>
      <c r="RLP2" s="87"/>
      <c r="RLR2" s="87"/>
      <c r="RLT2" s="87"/>
      <c r="RLV2" s="87"/>
      <c r="RLX2" s="87"/>
      <c r="RLZ2" s="87"/>
      <c r="RMB2" s="87"/>
      <c r="RMD2" s="87"/>
      <c r="RMF2" s="87"/>
      <c r="RMH2" s="87"/>
      <c r="RMJ2" s="87"/>
      <c r="RML2" s="87"/>
      <c r="RMN2" s="87"/>
      <c r="RMP2" s="87"/>
      <c r="RMR2" s="87"/>
      <c r="RMT2" s="87"/>
      <c r="RMV2" s="87"/>
      <c r="RMX2" s="87"/>
      <c r="RMZ2" s="87"/>
      <c r="RNB2" s="87"/>
      <c r="RND2" s="87"/>
      <c r="RNF2" s="87"/>
      <c r="RNH2" s="87"/>
      <c r="RNJ2" s="87"/>
      <c r="RNL2" s="87"/>
      <c r="RNN2" s="87"/>
      <c r="RNP2" s="87"/>
      <c r="RNR2" s="87"/>
      <c r="RNT2" s="87"/>
      <c r="RNV2" s="87"/>
      <c r="RNX2" s="87"/>
      <c r="RNZ2" s="87"/>
      <c r="ROB2" s="87"/>
      <c r="ROD2" s="87"/>
      <c r="ROF2" s="87"/>
      <c r="ROH2" s="87"/>
      <c r="ROJ2" s="87"/>
      <c r="ROL2" s="87"/>
      <c r="RON2" s="87"/>
      <c r="ROP2" s="87"/>
      <c r="ROR2" s="87"/>
      <c r="ROT2" s="87"/>
      <c r="ROV2" s="87"/>
      <c r="ROX2" s="87"/>
      <c r="ROZ2" s="87"/>
      <c r="RPB2" s="87"/>
      <c r="RPD2" s="87"/>
      <c r="RPF2" s="87"/>
      <c r="RPH2" s="87"/>
      <c r="RPJ2" s="87"/>
      <c r="RPL2" s="87"/>
      <c r="RPN2" s="87"/>
      <c r="RPP2" s="87"/>
      <c r="RPR2" s="87"/>
      <c r="RPT2" s="87"/>
      <c r="RPV2" s="87"/>
      <c r="RPX2" s="87"/>
      <c r="RPZ2" s="87"/>
      <c r="RQB2" s="87"/>
      <c r="RQD2" s="87"/>
      <c r="RQF2" s="87"/>
      <c r="RQH2" s="87"/>
      <c r="RQJ2" s="87"/>
      <c r="RQL2" s="87"/>
      <c r="RQN2" s="87"/>
      <c r="RQP2" s="87"/>
      <c r="RQR2" s="87"/>
      <c r="RQT2" s="87"/>
      <c r="RQV2" s="87"/>
      <c r="RQX2" s="87"/>
      <c r="RQZ2" s="87"/>
      <c r="RRB2" s="87"/>
      <c r="RRD2" s="87"/>
      <c r="RRF2" s="87"/>
      <c r="RRH2" s="87"/>
      <c r="RRJ2" s="87"/>
      <c r="RRL2" s="87"/>
      <c r="RRN2" s="87"/>
      <c r="RRP2" s="87"/>
      <c r="RRR2" s="87"/>
      <c r="RRT2" s="87"/>
      <c r="RRV2" s="87"/>
      <c r="RRX2" s="87"/>
      <c r="RRZ2" s="87"/>
      <c r="RSB2" s="87"/>
      <c r="RSD2" s="87"/>
      <c r="RSF2" s="87"/>
      <c r="RSH2" s="87"/>
      <c r="RSJ2" s="87"/>
      <c r="RSL2" s="87"/>
      <c r="RSN2" s="87"/>
      <c r="RSP2" s="87"/>
      <c r="RSR2" s="87"/>
      <c r="RST2" s="87"/>
      <c r="RSV2" s="87"/>
      <c r="RSX2" s="87"/>
      <c r="RSZ2" s="87"/>
      <c r="RTB2" s="87"/>
      <c r="RTD2" s="87"/>
      <c r="RTF2" s="87"/>
      <c r="RTH2" s="87"/>
      <c r="RTJ2" s="87"/>
      <c r="RTL2" s="87"/>
      <c r="RTN2" s="87"/>
      <c r="RTP2" s="87"/>
      <c r="RTR2" s="87"/>
      <c r="RTT2" s="87"/>
      <c r="RTV2" s="87"/>
      <c r="RTX2" s="87"/>
      <c r="RTZ2" s="87"/>
      <c r="RUB2" s="87"/>
      <c r="RUD2" s="87"/>
      <c r="RUF2" s="87"/>
      <c r="RUH2" s="87"/>
      <c r="RUJ2" s="87"/>
      <c r="RUL2" s="87"/>
      <c r="RUN2" s="87"/>
      <c r="RUP2" s="87"/>
      <c r="RUR2" s="87"/>
      <c r="RUT2" s="87"/>
      <c r="RUV2" s="87"/>
      <c r="RUX2" s="87"/>
      <c r="RUZ2" s="87"/>
      <c r="RVB2" s="87"/>
      <c r="RVD2" s="87"/>
      <c r="RVF2" s="87"/>
      <c r="RVH2" s="87"/>
      <c r="RVJ2" s="87"/>
      <c r="RVL2" s="87"/>
      <c r="RVN2" s="87"/>
      <c r="RVP2" s="87"/>
      <c r="RVR2" s="87"/>
      <c r="RVT2" s="87"/>
      <c r="RVV2" s="87"/>
      <c r="RVX2" s="87"/>
      <c r="RVZ2" s="87"/>
      <c r="RWB2" s="87"/>
      <c r="RWD2" s="87"/>
      <c r="RWF2" s="87"/>
      <c r="RWH2" s="87"/>
      <c r="RWJ2" s="87"/>
      <c r="RWL2" s="87"/>
      <c r="RWN2" s="87"/>
      <c r="RWP2" s="87"/>
      <c r="RWR2" s="87"/>
      <c r="RWT2" s="87"/>
      <c r="RWV2" s="87"/>
      <c r="RWX2" s="87"/>
      <c r="RWZ2" s="87"/>
      <c r="RXB2" s="87"/>
      <c r="RXD2" s="87"/>
      <c r="RXF2" s="87"/>
      <c r="RXH2" s="87"/>
      <c r="RXJ2" s="87"/>
      <c r="RXL2" s="87"/>
      <c r="RXN2" s="87"/>
      <c r="RXP2" s="87"/>
      <c r="RXR2" s="87"/>
      <c r="RXT2" s="87"/>
      <c r="RXV2" s="87"/>
      <c r="RXX2" s="87"/>
      <c r="RXZ2" s="87"/>
      <c r="RYB2" s="87"/>
      <c r="RYD2" s="87"/>
      <c r="RYF2" s="87"/>
      <c r="RYH2" s="87"/>
      <c r="RYJ2" s="87"/>
      <c r="RYL2" s="87"/>
      <c r="RYN2" s="87"/>
      <c r="RYP2" s="87"/>
      <c r="RYR2" s="87"/>
      <c r="RYT2" s="87"/>
      <c r="RYV2" s="87"/>
      <c r="RYX2" s="87"/>
      <c r="RYZ2" s="87"/>
      <c r="RZB2" s="87"/>
      <c r="RZD2" s="87"/>
      <c r="RZF2" s="87"/>
      <c r="RZH2" s="87"/>
      <c r="RZJ2" s="87"/>
      <c r="RZL2" s="87"/>
      <c r="RZN2" s="87"/>
      <c r="RZP2" s="87"/>
      <c r="RZR2" s="87"/>
      <c r="RZT2" s="87"/>
      <c r="RZV2" s="87"/>
      <c r="RZX2" s="87"/>
      <c r="RZZ2" s="87"/>
      <c r="SAB2" s="87"/>
      <c r="SAD2" s="87"/>
      <c r="SAF2" s="87"/>
      <c r="SAH2" s="87"/>
      <c r="SAJ2" s="87"/>
      <c r="SAL2" s="87"/>
      <c r="SAN2" s="87"/>
      <c r="SAP2" s="87"/>
      <c r="SAR2" s="87"/>
      <c r="SAT2" s="87"/>
      <c r="SAV2" s="87"/>
      <c r="SAX2" s="87"/>
      <c r="SAZ2" s="87"/>
      <c r="SBB2" s="87"/>
      <c r="SBD2" s="87"/>
      <c r="SBF2" s="87"/>
      <c r="SBH2" s="87"/>
      <c r="SBJ2" s="87"/>
      <c r="SBL2" s="87"/>
      <c r="SBN2" s="87"/>
      <c r="SBP2" s="87"/>
      <c r="SBR2" s="87"/>
      <c r="SBT2" s="87"/>
      <c r="SBV2" s="87"/>
      <c r="SBX2" s="87"/>
      <c r="SBZ2" s="87"/>
      <c r="SCB2" s="87"/>
      <c r="SCD2" s="87"/>
      <c r="SCF2" s="87"/>
      <c r="SCH2" s="87"/>
      <c r="SCJ2" s="87"/>
      <c r="SCL2" s="87"/>
      <c r="SCN2" s="87"/>
      <c r="SCP2" s="87"/>
      <c r="SCR2" s="87"/>
      <c r="SCT2" s="87"/>
      <c r="SCV2" s="87"/>
      <c r="SCX2" s="87"/>
      <c r="SCZ2" s="87"/>
      <c r="SDB2" s="87"/>
      <c r="SDD2" s="87"/>
      <c r="SDF2" s="87"/>
      <c r="SDH2" s="87"/>
      <c r="SDJ2" s="87"/>
      <c r="SDL2" s="87"/>
      <c r="SDN2" s="87"/>
      <c r="SDP2" s="87"/>
      <c r="SDR2" s="87"/>
      <c r="SDT2" s="87"/>
      <c r="SDV2" s="87"/>
      <c r="SDX2" s="87"/>
      <c r="SDZ2" s="87"/>
      <c r="SEB2" s="87"/>
      <c r="SED2" s="87"/>
      <c r="SEF2" s="87"/>
      <c r="SEH2" s="87"/>
      <c r="SEJ2" s="87"/>
      <c r="SEL2" s="87"/>
      <c r="SEN2" s="87"/>
      <c r="SEP2" s="87"/>
      <c r="SER2" s="87"/>
      <c r="SET2" s="87"/>
      <c r="SEV2" s="87"/>
      <c r="SEX2" s="87"/>
      <c r="SEZ2" s="87"/>
      <c r="SFB2" s="87"/>
      <c r="SFD2" s="87"/>
      <c r="SFF2" s="87"/>
      <c r="SFH2" s="87"/>
      <c r="SFJ2" s="87"/>
      <c r="SFL2" s="87"/>
      <c r="SFN2" s="87"/>
      <c r="SFP2" s="87"/>
      <c r="SFR2" s="87"/>
      <c r="SFT2" s="87"/>
      <c r="SFV2" s="87"/>
      <c r="SFX2" s="87"/>
      <c r="SFZ2" s="87"/>
      <c r="SGB2" s="87"/>
      <c r="SGD2" s="87"/>
      <c r="SGF2" s="87"/>
      <c r="SGH2" s="87"/>
      <c r="SGJ2" s="87"/>
      <c r="SGL2" s="87"/>
      <c r="SGN2" s="87"/>
      <c r="SGP2" s="87"/>
      <c r="SGR2" s="87"/>
      <c r="SGT2" s="87"/>
      <c r="SGV2" s="87"/>
      <c r="SGX2" s="87"/>
      <c r="SGZ2" s="87"/>
      <c r="SHB2" s="87"/>
      <c r="SHD2" s="87"/>
      <c r="SHF2" s="87"/>
      <c r="SHH2" s="87"/>
      <c r="SHJ2" s="87"/>
      <c r="SHL2" s="87"/>
      <c r="SHN2" s="87"/>
      <c r="SHP2" s="87"/>
      <c r="SHR2" s="87"/>
      <c r="SHT2" s="87"/>
      <c r="SHV2" s="87"/>
      <c r="SHX2" s="87"/>
      <c r="SHZ2" s="87"/>
      <c r="SIB2" s="87"/>
      <c r="SID2" s="87"/>
      <c r="SIF2" s="87"/>
      <c r="SIH2" s="87"/>
      <c r="SIJ2" s="87"/>
      <c r="SIL2" s="87"/>
      <c r="SIN2" s="87"/>
      <c r="SIP2" s="87"/>
      <c r="SIR2" s="87"/>
      <c r="SIT2" s="87"/>
      <c r="SIV2" s="87"/>
      <c r="SIX2" s="87"/>
      <c r="SIZ2" s="87"/>
      <c r="SJB2" s="87"/>
      <c r="SJD2" s="87"/>
      <c r="SJF2" s="87"/>
      <c r="SJH2" s="87"/>
      <c r="SJJ2" s="87"/>
      <c r="SJL2" s="87"/>
      <c r="SJN2" s="87"/>
      <c r="SJP2" s="87"/>
      <c r="SJR2" s="87"/>
      <c r="SJT2" s="87"/>
      <c r="SJV2" s="87"/>
      <c r="SJX2" s="87"/>
      <c r="SJZ2" s="87"/>
      <c r="SKB2" s="87"/>
      <c r="SKD2" s="87"/>
      <c r="SKF2" s="87"/>
      <c r="SKH2" s="87"/>
      <c r="SKJ2" s="87"/>
      <c r="SKL2" s="87"/>
      <c r="SKN2" s="87"/>
      <c r="SKP2" s="87"/>
      <c r="SKR2" s="87"/>
      <c r="SKT2" s="87"/>
      <c r="SKV2" s="87"/>
      <c r="SKX2" s="87"/>
      <c r="SKZ2" s="87"/>
      <c r="SLB2" s="87"/>
      <c r="SLD2" s="87"/>
      <c r="SLF2" s="87"/>
      <c r="SLH2" s="87"/>
      <c r="SLJ2" s="87"/>
      <c r="SLL2" s="87"/>
      <c r="SLN2" s="87"/>
      <c r="SLP2" s="87"/>
      <c r="SLR2" s="87"/>
      <c r="SLT2" s="87"/>
      <c r="SLV2" s="87"/>
      <c r="SLX2" s="87"/>
      <c r="SLZ2" s="87"/>
      <c r="SMB2" s="87"/>
      <c r="SMD2" s="87"/>
      <c r="SMF2" s="87"/>
      <c r="SMH2" s="87"/>
      <c r="SMJ2" s="87"/>
      <c r="SML2" s="87"/>
      <c r="SMN2" s="87"/>
      <c r="SMP2" s="87"/>
      <c r="SMR2" s="87"/>
      <c r="SMT2" s="87"/>
      <c r="SMV2" s="87"/>
      <c r="SMX2" s="87"/>
      <c r="SMZ2" s="87"/>
      <c r="SNB2" s="87"/>
      <c r="SND2" s="87"/>
      <c r="SNF2" s="87"/>
      <c r="SNH2" s="87"/>
      <c r="SNJ2" s="87"/>
      <c r="SNL2" s="87"/>
      <c r="SNN2" s="87"/>
      <c r="SNP2" s="87"/>
      <c r="SNR2" s="87"/>
      <c r="SNT2" s="87"/>
      <c r="SNV2" s="87"/>
      <c r="SNX2" s="87"/>
      <c r="SNZ2" s="87"/>
      <c r="SOB2" s="87"/>
      <c r="SOD2" s="87"/>
      <c r="SOF2" s="87"/>
      <c r="SOH2" s="87"/>
      <c r="SOJ2" s="87"/>
      <c r="SOL2" s="87"/>
      <c r="SON2" s="87"/>
      <c r="SOP2" s="87"/>
      <c r="SOR2" s="87"/>
      <c r="SOT2" s="87"/>
      <c r="SOV2" s="87"/>
      <c r="SOX2" s="87"/>
      <c r="SOZ2" s="87"/>
      <c r="SPB2" s="87"/>
      <c r="SPD2" s="87"/>
      <c r="SPF2" s="87"/>
      <c r="SPH2" s="87"/>
      <c r="SPJ2" s="87"/>
      <c r="SPL2" s="87"/>
      <c r="SPN2" s="87"/>
      <c r="SPP2" s="87"/>
      <c r="SPR2" s="87"/>
      <c r="SPT2" s="87"/>
      <c r="SPV2" s="87"/>
      <c r="SPX2" s="87"/>
      <c r="SPZ2" s="87"/>
      <c r="SQB2" s="87"/>
      <c r="SQD2" s="87"/>
      <c r="SQF2" s="87"/>
      <c r="SQH2" s="87"/>
      <c r="SQJ2" s="87"/>
      <c r="SQL2" s="87"/>
      <c r="SQN2" s="87"/>
      <c r="SQP2" s="87"/>
      <c r="SQR2" s="87"/>
      <c r="SQT2" s="87"/>
      <c r="SQV2" s="87"/>
      <c r="SQX2" s="87"/>
      <c r="SQZ2" s="87"/>
      <c r="SRB2" s="87"/>
      <c r="SRD2" s="87"/>
      <c r="SRF2" s="87"/>
      <c r="SRH2" s="87"/>
      <c r="SRJ2" s="87"/>
      <c r="SRL2" s="87"/>
      <c r="SRN2" s="87"/>
      <c r="SRP2" s="87"/>
      <c r="SRR2" s="87"/>
      <c r="SRT2" s="87"/>
      <c r="SRV2" s="87"/>
      <c r="SRX2" s="87"/>
      <c r="SRZ2" s="87"/>
      <c r="SSB2" s="87"/>
      <c r="SSD2" s="87"/>
      <c r="SSF2" s="87"/>
      <c r="SSH2" s="87"/>
      <c r="SSJ2" s="87"/>
      <c r="SSL2" s="87"/>
      <c r="SSN2" s="87"/>
      <c r="SSP2" s="87"/>
      <c r="SSR2" s="87"/>
      <c r="SST2" s="87"/>
      <c r="SSV2" s="87"/>
      <c r="SSX2" s="87"/>
      <c r="SSZ2" s="87"/>
      <c r="STB2" s="87"/>
      <c r="STD2" s="87"/>
      <c r="STF2" s="87"/>
      <c r="STH2" s="87"/>
      <c r="STJ2" s="87"/>
      <c r="STL2" s="87"/>
      <c r="STN2" s="87"/>
      <c r="STP2" s="87"/>
      <c r="STR2" s="87"/>
      <c r="STT2" s="87"/>
      <c r="STV2" s="87"/>
      <c r="STX2" s="87"/>
      <c r="STZ2" s="87"/>
      <c r="SUB2" s="87"/>
      <c r="SUD2" s="87"/>
      <c r="SUF2" s="87"/>
      <c r="SUH2" s="87"/>
      <c r="SUJ2" s="87"/>
      <c r="SUL2" s="87"/>
      <c r="SUN2" s="87"/>
      <c r="SUP2" s="87"/>
      <c r="SUR2" s="87"/>
      <c r="SUT2" s="87"/>
      <c r="SUV2" s="87"/>
      <c r="SUX2" s="87"/>
      <c r="SUZ2" s="87"/>
      <c r="SVB2" s="87"/>
      <c r="SVD2" s="87"/>
      <c r="SVF2" s="87"/>
      <c r="SVH2" s="87"/>
      <c r="SVJ2" s="87"/>
      <c r="SVL2" s="87"/>
      <c r="SVN2" s="87"/>
      <c r="SVP2" s="87"/>
      <c r="SVR2" s="87"/>
      <c r="SVT2" s="87"/>
      <c r="SVV2" s="87"/>
      <c r="SVX2" s="87"/>
      <c r="SVZ2" s="87"/>
      <c r="SWB2" s="87"/>
      <c r="SWD2" s="87"/>
      <c r="SWF2" s="87"/>
      <c r="SWH2" s="87"/>
      <c r="SWJ2" s="87"/>
      <c r="SWL2" s="87"/>
      <c r="SWN2" s="87"/>
      <c r="SWP2" s="87"/>
      <c r="SWR2" s="87"/>
      <c r="SWT2" s="87"/>
      <c r="SWV2" s="87"/>
      <c r="SWX2" s="87"/>
      <c r="SWZ2" s="87"/>
      <c r="SXB2" s="87"/>
      <c r="SXD2" s="87"/>
      <c r="SXF2" s="87"/>
      <c r="SXH2" s="87"/>
      <c r="SXJ2" s="87"/>
      <c r="SXL2" s="87"/>
      <c r="SXN2" s="87"/>
      <c r="SXP2" s="87"/>
      <c r="SXR2" s="87"/>
      <c r="SXT2" s="87"/>
      <c r="SXV2" s="87"/>
      <c r="SXX2" s="87"/>
      <c r="SXZ2" s="87"/>
      <c r="SYB2" s="87"/>
      <c r="SYD2" s="87"/>
      <c r="SYF2" s="87"/>
      <c r="SYH2" s="87"/>
      <c r="SYJ2" s="87"/>
      <c r="SYL2" s="87"/>
      <c r="SYN2" s="87"/>
      <c r="SYP2" s="87"/>
      <c r="SYR2" s="87"/>
      <c r="SYT2" s="87"/>
      <c r="SYV2" s="87"/>
      <c r="SYX2" s="87"/>
      <c r="SYZ2" s="87"/>
      <c r="SZB2" s="87"/>
      <c r="SZD2" s="87"/>
      <c r="SZF2" s="87"/>
      <c r="SZH2" s="87"/>
      <c r="SZJ2" s="87"/>
      <c r="SZL2" s="87"/>
      <c r="SZN2" s="87"/>
      <c r="SZP2" s="87"/>
      <c r="SZR2" s="87"/>
      <c r="SZT2" s="87"/>
      <c r="SZV2" s="87"/>
      <c r="SZX2" s="87"/>
      <c r="SZZ2" s="87"/>
      <c r="TAB2" s="87"/>
      <c r="TAD2" s="87"/>
      <c r="TAF2" s="87"/>
      <c r="TAH2" s="87"/>
      <c r="TAJ2" s="87"/>
      <c r="TAL2" s="87"/>
      <c r="TAN2" s="87"/>
      <c r="TAP2" s="87"/>
      <c r="TAR2" s="87"/>
      <c r="TAT2" s="87"/>
      <c r="TAV2" s="87"/>
      <c r="TAX2" s="87"/>
      <c r="TAZ2" s="87"/>
      <c r="TBB2" s="87"/>
      <c r="TBD2" s="87"/>
      <c r="TBF2" s="87"/>
      <c r="TBH2" s="87"/>
      <c r="TBJ2" s="87"/>
      <c r="TBL2" s="87"/>
      <c r="TBN2" s="87"/>
      <c r="TBP2" s="87"/>
      <c r="TBR2" s="87"/>
      <c r="TBT2" s="87"/>
      <c r="TBV2" s="87"/>
      <c r="TBX2" s="87"/>
      <c r="TBZ2" s="87"/>
      <c r="TCB2" s="87"/>
      <c r="TCD2" s="87"/>
      <c r="TCF2" s="87"/>
      <c r="TCH2" s="87"/>
      <c r="TCJ2" s="87"/>
      <c r="TCL2" s="87"/>
      <c r="TCN2" s="87"/>
      <c r="TCP2" s="87"/>
      <c r="TCR2" s="87"/>
      <c r="TCT2" s="87"/>
      <c r="TCV2" s="87"/>
      <c r="TCX2" s="87"/>
      <c r="TCZ2" s="87"/>
      <c r="TDB2" s="87"/>
      <c r="TDD2" s="87"/>
      <c r="TDF2" s="87"/>
      <c r="TDH2" s="87"/>
      <c r="TDJ2" s="87"/>
      <c r="TDL2" s="87"/>
      <c r="TDN2" s="87"/>
      <c r="TDP2" s="87"/>
      <c r="TDR2" s="87"/>
      <c r="TDT2" s="87"/>
      <c r="TDV2" s="87"/>
      <c r="TDX2" s="87"/>
      <c r="TDZ2" s="87"/>
      <c r="TEB2" s="87"/>
      <c r="TED2" s="87"/>
      <c r="TEF2" s="87"/>
      <c r="TEH2" s="87"/>
      <c r="TEJ2" s="87"/>
      <c r="TEL2" s="87"/>
      <c r="TEN2" s="87"/>
      <c r="TEP2" s="87"/>
      <c r="TER2" s="87"/>
      <c r="TET2" s="87"/>
      <c r="TEV2" s="87"/>
      <c r="TEX2" s="87"/>
      <c r="TEZ2" s="87"/>
      <c r="TFB2" s="87"/>
      <c r="TFD2" s="87"/>
      <c r="TFF2" s="87"/>
      <c r="TFH2" s="87"/>
      <c r="TFJ2" s="87"/>
      <c r="TFL2" s="87"/>
      <c r="TFN2" s="87"/>
      <c r="TFP2" s="87"/>
      <c r="TFR2" s="87"/>
      <c r="TFT2" s="87"/>
      <c r="TFV2" s="87"/>
      <c r="TFX2" s="87"/>
      <c r="TFZ2" s="87"/>
      <c r="TGB2" s="87"/>
      <c r="TGD2" s="87"/>
      <c r="TGF2" s="87"/>
      <c r="TGH2" s="87"/>
      <c r="TGJ2" s="87"/>
      <c r="TGL2" s="87"/>
      <c r="TGN2" s="87"/>
      <c r="TGP2" s="87"/>
      <c r="TGR2" s="87"/>
      <c r="TGT2" s="87"/>
      <c r="TGV2" s="87"/>
      <c r="TGX2" s="87"/>
      <c r="TGZ2" s="87"/>
      <c r="THB2" s="87"/>
      <c r="THD2" s="87"/>
      <c r="THF2" s="87"/>
      <c r="THH2" s="87"/>
      <c r="THJ2" s="87"/>
      <c r="THL2" s="87"/>
      <c r="THN2" s="87"/>
      <c r="THP2" s="87"/>
      <c r="THR2" s="87"/>
      <c r="THT2" s="87"/>
      <c r="THV2" s="87"/>
      <c r="THX2" s="87"/>
      <c r="THZ2" s="87"/>
      <c r="TIB2" s="87"/>
      <c r="TID2" s="87"/>
      <c r="TIF2" s="87"/>
      <c r="TIH2" s="87"/>
      <c r="TIJ2" s="87"/>
      <c r="TIL2" s="87"/>
      <c r="TIN2" s="87"/>
      <c r="TIP2" s="87"/>
      <c r="TIR2" s="87"/>
      <c r="TIT2" s="87"/>
      <c r="TIV2" s="87"/>
      <c r="TIX2" s="87"/>
      <c r="TIZ2" s="87"/>
      <c r="TJB2" s="87"/>
      <c r="TJD2" s="87"/>
      <c r="TJF2" s="87"/>
      <c r="TJH2" s="87"/>
      <c r="TJJ2" s="87"/>
      <c r="TJL2" s="87"/>
      <c r="TJN2" s="87"/>
      <c r="TJP2" s="87"/>
      <c r="TJR2" s="87"/>
      <c r="TJT2" s="87"/>
      <c r="TJV2" s="87"/>
      <c r="TJX2" s="87"/>
      <c r="TJZ2" s="87"/>
      <c r="TKB2" s="87"/>
      <c r="TKD2" s="87"/>
      <c r="TKF2" s="87"/>
      <c r="TKH2" s="87"/>
      <c r="TKJ2" s="87"/>
      <c r="TKL2" s="87"/>
      <c r="TKN2" s="87"/>
      <c r="TKP2" s="87"/>
      <c r="TKR2" s="87"/>
      <c r="TKT2" s="87"/>
      <c r="TKV2" s="87"/>
      <c r="TKX2" s="87"/>
      <c r="TKZ2" s="87"/>
      <c r="TLB2" s="87"/>
      <c r="TLD2" s="87"/>
      <c r="TLF2" s="87"/>
      <c r="TLH2" s="87"/>
      <c r="TLJ2" s="87"/>
      <c r="TLL2" s="87"/>
      <c r="TLN2" s="87"/>
      <c r="TLP2" s="87"/>
      <c r="TLR2" s="87"/>
      <c r="TLT2" s="87"/>
      <c r="TLV2" s="87"/>
      <c r="TLX2" s="87"/>
      <c r="TLZ2" s="87"/>
      <c r="TMB2" s="87"/>
      <c r="TMD2" s="87"/>
      <c r="TMF2" s="87"/>
      <c r="TMH2" s="87"/>
      <c r="TMJ2" s="87"/>
      <c r="TML2" s="87"/>
      <c r="TMN2" s="87"/>
      <c r="TMP2" s="87"/>
      <c r="TMR2" s="87"/>
      <c r="TMT2" s="87"/>
      <c r="TMV2" s="87"/>
      <c r="TMX2" s="87"/>
      <c r="TMZ2" s="87"/>
      <c r="TNB2" s="87"/>
      <c r="TND2" s="87"/>
      <c r="TNF2" s="87"/>
      <c r="TNH2" s="87"/>
      <c r="TNJ2" s="87"/>
      <c r="TNL2" s="87"/>
      <c r="TNN2" s="87"/>
      <c r="TNP2" s="87"/>
      <c r="TNR2" s="87"/>
      <c r="TNT2" s="87"/>
      <c r="TNV2" s="87"/>
      <c r="TNX2" s="87"/>
      <c r="TNZ2" s="87"/>
      <c r="TOB2" s="87"/>
      <c r="TOD2" s="87"/>
      <c r="TOF2" s="87"/>
      <c r="TOH2" s="87"/>
      <c r="TOJ2" s="87"/>
      <c r="TOL2" s="87"/>
      <c r="TON2" s="87"/>
      <c r="TOP2" s="87"/>
      <c r="TOR2" s="87"/>
      <c r="TOT2" s="87"/>
      <c r="TOV2" s="87"/>
      <c r="TOX2" s="87"/>
      <c r="TOZ2" s="87"/>
      <c r="TPB2" s="87"/>
      <c r="TPD2" s="87"/>
      <c r="TPF2" s="87"/>
      <c r="TPH2" s="87"/>
      <c r="TPJ2" s="87"/>
      <c r="TPL2" s="87"/>
      <c r="TPN2" s="87"/>
      <c r="TPP2" s="87"/>
      <c r="TPR2" s="87"/>
      <c r="TPT2" s="87"/>
      <c r="TPV2" s="87"/>
      <c r="TPX2" s="87"/>
      <c r="TPZ2" s="87"/>
      <c r="TQB2" s="87"/>
      <c r="TQD2" s="87"/>
      <c r="TQF2" s="87"/>
      <c r="TQH2" s="87"/>
      <c r="TQJ2" s="87"/>
      <c r="TQL2" s="87"/>
      <c r="TQN2" s="87"/>
      <c r="TQP2" s="87"/>
      <c r="TQR2" s="87"/>
      <c r="TQT2" s="87"/>
      <c r="TQV2" s="87"/>
      <c r="TQX2" s="87"/>
      <c r="TQZ2" s="87"/>
      <c r="TRB2" s="87"/>
      <c r="TRD2" s="87"/>
      <c r="TRF2" s="87"/>
      <c r="TRH2" s="87"/>
      <c r="TRJ2" s="87"/>
      <c r="TRL2" s="87"/>
      <c r="TRN2" s="87"/>
      <c r="TRP2" s="87"/>
      <c r="TRR2" s="87"/>
      <c r="TRT2" s="87"/>
      <c r="TRV2" s="87"/>
      <c r="TRX2" s="87"/>
      <c r="TRZ2" s="87"/>
      <c r="TSB2" s="87"/>
      <c r="TSD2" s="87"/>
      <c r="TSF2" s="87"/>
      <c r="TSH2" s="87"/>
      <c r="TSJ2" s="87"/>
      <c r="TSL2" s="87"/>
      <c r="TSN2" s="87"/>
      <c r="TSP2" s="87"/>
      <c r="TSR2" s="87"/>
      <c r="TST2" s="87"/>
      <c r="TSV2" s="87"/>
      <c r="TSX2" s="87"/>
      <c r="TSZ2" s="87"/>
      <c r="TTB2" s="87"/>
      <c r="TTD2" s="87"/>
      <c r="TTF2" s="87"/>
      <c r="TTH2" s="87"/>
      <c r="TTJ2" s="87"/>
      <c r="TTL2" s="87"/>
      <c r="TTN2" s="87"/>
      <c r="TTP2" s="87"/>
      <c r="TTR2" s="87"/>
      <c r="TTT2" s="87"/>
      <c r="TTV2" s="87"/>
      <c r="TTX2" s="87"/>
      <c r="TTZ2" s="87"/>
      <c r="TUB2" s="87"/>
      <c r="TUD2" s="87"/>
      <c r="TUF2" s="87"/>
      <c r="TUH2" s="87"/>
      <c r="TUJ2" s="87"/>
      <c r="TUL2" s="87"/>
      <c r="TUN2" s="87"/>
      <c r="TUP2" s="87"/>
      <c r="TUR2" s="87"/>
      <c r="TUT2" s="87"/>
      <c r="TUV2" s="87"/>
      <c r="TUX2" s="87"/>
      <c r="TUZ2" s="87"/>
      <c r="TVB2" s="87"/>
      <c r="TVD2" s="87"/>
      <c r="TVF2" s="87"/>
      <c r="TVH2" s="87"/>
      <c r="TVJ2" s="87"/>
      <c r="TVL2" s="87"/>
      <c r="TVN2" s="87"/>
      <c r="TVP2" s="87"/>
      <c r="TVR2" s="87"/>
      <c r="TVT2" s="87"/>
      <c r="TVV2" s="87"/>
      <c r="TVX2" s="87"/>
      <c r="TVZ2" s="87"/>
      <c r="TWB2" s="87"/>
      <c r="TWD2" s="87"/>
      <c r="TWF2" s="87"/>
      <c r="TWH2" s="87"/>
      <c r="TWJ2" s="87"/>
      <c r="TWL2" s="87"/>
      <c r="TWN2" s="87"/>
      <c r="TWP2" s="87"/>
      <c r="TWR2" s="87"/>
      <c r="TWT2" s="87"/>
      <c r="TWV2" s="87"/>
      <c r="TWX2" s="87"/>
      <c r="TWZ2" s="87"/>
      <c r="TXB2" s="87"/>
      <c r="TXD2" s="87"/>
      <c r="TXF2" s="87"/>
      <c r="TXH2" s="87"/>
      <c r="TXJ2" s="87"/>
      <c r="TXL2" s="87"/>
      <c r="TXN2" s="87"/>
      <c r="TXP2" s="87"/>
      <c r="TXR2" s="87"/>
      <c r="TXT2" s="87"/>
      <c r="TXV2" s="87"/>
      <c r="TXX2" s="87"/>
      <c r="TXZ2" s="87"/>
      <c r="TYB2" s="87"/>
      <c r="TYD2" s="87"/>
      <c r="TYF2" s="87"/>
      <c r="TYH2" s="87"/>
      <c r="TYJ2" s="87"/>
      <c r="TYL2" s="87"/>
      <c r="TYN2" s="87"/>
      <c r="TYP2" s="87"/>
      <c r="TYR2" s="87"/>
      <c r="TYT2" s="87"/>
      <c r="TYV2" s="87"/>
      <c r="TYX2" s="87"/>
      <c r="TYZ2" s="87"/>
      <c r="TZB2" s="87"/>
      <c r="TZD2" s="87"/>
      <c r="TZF2" s="87"/>
      <c r="TZH2" s="87"/>
      <c r="TZJ2" s="87"/>
      <c r="TZL2" s="87"/>
      <c r="TZN2" s="87"/>
      <c r="TZP2" s="87"/>
      <c r="TZR2" s="87"/>
      <c r="TZT2" s="87"/>
      <c r="TZV2" s="87"/>
      <c r="TZX2" s="87"/>
      <c r="TZZ2" s="87"/>
      <c r="UAB2" s="87"/>
      <c r="UAD2" s="87"/>
      <c r="UAF2" s="87"/>
      <c r="UAH2" s="87"/>
      <c r="UAJ2" s="87"/>
      <c r="UAL2" s="87"/>
      <c r="UAN2" s="87"/>
      <c r="UAP2" s="87"/>
      <c r="UAR2" s="87"/>
      <c r="UAT2" s="87"/>
      <c r="UAV2" s="87"/>
      <c r="UAX2" s="87"/>
      <c r="UAZ2" s="87"/>
      <c r="UBB2" s="87"/>
      <c r="UBD2" s="87"/>
      <c r="UBF2" s="87"/>
      <c r="UBH2" s="87"/>
      <c r="UBJ2" s="87"/>
      <c r="UBL2" s="87"/>
      <c r="UBN2" s="87"/>
      <c r="UBP2" s="87"/>
      <c r="UBR2" s="87"/>
      <c r="UBT2" s="87"/>
      <c r="UBV2" s="87"/>
      <c r="UBX2" s="87"/>
      <c r="UBZ2" s="87"/>
      <c r="UCB2" s="87"/>
      <c r="UCD2" s="87"/>
      <c r="UCF2" s="87"/>
      <c r="UCH2" s="87"/>
      <c r="UCJ2" s="87"/>
      <c r="UCL2" s="87"/>
      <c r="UCN2" s="87"/>
      <c r="UCP2" s="87"/>
      <c r="UCR2" s="87"/>
      <c r="UCT2" s="87"/>
      <c r="UCV2" s="87"/>
      <c r="UCX2" s="87"/>
      <c r="UCZ2" s="87"/>
      <c r="UDB2" s="87"/>
      <c r="UDD2" s="87"/>
      <c r="UDF2" s="87"/>
      <c r="UDH2" s="87"/>
      <c r="UDJ2" s="87"/>
      <c r="UDL2" s="87"/>
      <c r="UDN2" s="87"/>
      <c r="UDP2" s="87"/>
      <c r="UDR2" s="87"/>
      <c r="UDT2" s="87"/>
      <c r="UDV2" s="87"/>
      <c r="UDX2" s="87"/>
      <c r="UDZ2" s="87"/>
      <c r="UEB2" s="87"/>
      <c r="UED2" s="87"/>
      <c r="UEF2" s="87"/>
      <c r="UEH2" s="87"/>
      <c r="UEJ2" s="87"/>
      <c r="UEL2" s="87"/>
      <c r="UEN2" s="87"/>
      <c r="UEP2" s="87"/>
      <c r="UER2" s="87"/>
      <c r="UET2" s="87"/>
      <c r="UEV2" s="87"/>
      <c r="UEX2" s="87"/>
      <c r="UEZ2" s="87"/>
      <c r="UFB2" s="87"/>
      <c r="UFD2" s="87"/>
      <c r="UFF2" s="87"/>
      <c r="UFH2" s="87"/>
      <c r="UFJ2" s="87"/>
      <c r="UFL2" s="87"/>
      <c r="UFN2" s="87"/>
      <c r="UFP2" s="87"/>
      <c r="UFR2" s="87"/>
      <c r="UFT2" s="87"/>
      <c r="UFV2" s="87"/>
      <c r="UFX2" s="87"/>
      <c r="UFZ2" s="87"/>
      <c r="UGB2" s="87"/>
      <c r="UGD2" s="87"/>
      <c r="UGF2" s="87"/>
      <c r="UGH2" s="87"/>
      <c r="UGJ2" s="87"/>
      <c r="UGL2" s="87"/>
      <c r="UGN2" s="87"/>
      <c r="UGP2" s="87"/>
      <c r="UGR2" s="87"/>
      <c r="UGT2" s="87"/>
      <c r="UGV2" s="87"/>
      <c r="UGX2" s="87"/>
      <c r="UGZ2" s="87"/>
      <c r="UHB2" s="87"/>
      <c r="UHD2" s="87"/>
      <c r="UHF2" s="87"/>
      <c r="UHH2" s="87"/>
      <c r="UHJ2" s="87"/>
      <c r="UHL2" s="87"/>
      <c r="UHN2" s="87"/>
      <c r="UHP2" s="87"/>
      <c r="UHR2" s="87"/>
      <c r="UHT2" s="87"/>
      <c r="UHV2" s="87"/>
      <c r="UHX2" s="87"/>
      <c r="UHZ2" s="87"/>
      <c r="UIB2" s="87"/>
      <c r="UID2" s="87"/>
      <c r="UIF2" s="87"/>
      <c r="UIH2" s="87"/>
      <c r="UIJ2" s="87"/>
      <c r="UIL2" s="87"/>
      <c r="UIN2" s="87"/>
      <c r="UIP2" s="87"/>
      <c r="UIR2" s="87"/>
      <c r="UIT2" s="87"/>
      <c r="UIV2" s="87"/>
      <c r="UIX2" s="87"/>
      <c r="UIZ2" s="87"/>
      <c r="UJB2" s="87"/>
      <c r="UJD2" s="87"/>
      <c r="UJF2" s="87"/>
      <c r="UJH2" s="87"/>
      <c r="UJJ2" s="87"/>
      <c r="UJL2" s="87"/>
      <c r="UJN2" s="87"/>
      <c r="UJP2" s="87"/>
      <c r="UJR2" s="87"/>
      <c r="UJT2" s="87"/>
      <c r="UJV2" s="87"/>
      <c r="UJX2" s="87"/>
      <c r="UJZ2" s="87"/>
      <c r="UKB2" s="87"/>
      <c r="UKD2" s="87"/>
      <c r="UKF2" s="87"/>
      <c r="UKH2" s="87"/>
      <c r="UKJ2" s="87"/>
      <c r="UKL2" s="87"/>
      <c r="UKN2" s="87"/>
      <c r="UKP2" s="87"/>
      <c r="UKR2" s="87"/>
      <c r="UKT2" s="87"/>
      <c r="UKV2" s="87"/>
      <c r="UKX2" s="87"/>
      <c r="UKZ2" s="87"/>
      <c r="ULB2" s="87"/>
      <c r="ULD2" s="87"/>
      <c r="ULF2" s="87"/>
      <c r="ULH2" s="87"/>
      <c r="ULJ2" s="87"/>
      <c r="ULL2" s="87"/>
      <c r="ULN2" s="87"/>
      <c r="ULP2" s="87"/>
      <c r="ULR2" s="87"/>
      <c r="ULT2" s="87"/>
      <c r="ULV2" s="87"/>
      <c r="ULX2" s="87"/>
      <c r="ULZ2" s="87"/>
      <c r="UMB2" s="87"/>
      <c r="UMD2" s="87"/>
      <c r="UMF2" s="87"/>
      <c r="UMH2" s="87"/>
      <c r="UMJ2" s="87"/>
      <c r="UML2" s="87"/>
      <c r="UMN2" s="87"/>
      <c r="UMP2" s="87"/>
      <c r="UMR2" s="87"/>
      <c r="UMT2" s="87"/>
      <c r="UMV2" s="87"/>
      <c r="UMX2" s="87"/>
      <c r="UMZ2" s="87"/>
      <c r="UNB2" s="87"/>
      <c r="UND2" s="87"/>
      <c r="UNF2" s="87"/>
      <c r="UNH2" s="87"/>
      <c r="UNJ2" s="87"/>
      <c r="UNL2" s="87"/>
      <c r="UNN2" s="87"/>
      <c r="UNP2" s="87"/>
      <c r="UNR2" s="87"/>
      <c r="UNT2" s="87"/>
      <c r="UNV2" s="87"/>
      <c r="UNX2" s="87"/>
      <c r="UNZ2" s="87"/>
      <c r="UOB2" s="87"/>
      <c r="UOD2" s="87"/>
      <c r="UOF2" s="87"/>
      <c r="UOH2" s="87"/>
      <c r="UOJ2" s="87"/>
      <c r="UOL2" s="87"/>
      <c r="UON2" s="87"/>
      <c r="UOP2" s="87"/>
      <c r="UOR2" s="87"/>
      <c r="UOT2" s="87"/>
      <c r="UOV2" s="87"/>
      <c r="UOX2" s="87"/>
      <c r="UOZ2" s="87"/>
      <c r="UPB2" s="87"/>
      <c r="UPD2" s="87"/>
      <c r="UPF2" s="87"/>
      <c r="UPH2" s="87"/>
      <c r="UPJ2" s="87"/>
      <c r="UPL2" s="87"/>
      <c r="UPN2" s="87"/>
      <c r="UPP2" s="87"/>
      <c r="UPR2" s="87"/>
      <c r="UPT2" s="87"/>
      <c r="UPV2" s="87"/>
      <c r="UPX2" s="87"/>
      <c r="UPZ2" s="87"/>
      <c r="UQB2" s="87"/>
      <c r="UQD2" s="87"/>
      <c r="UQF2" s="87"/>
      <c r="UQH2" s="87"/>
      <c r="UQJ2" s="87"/>
      <c r="UQL2" s="87"/>
      <c r="UQN2" s="87"/>
      <c r="UQP2" s="87"/>
      <c r="UQR2" s="87"/>
      <c r="UQT2" s="87"/>
      <c r="UQV2" s="87"/>
      <c r="UQX2" s="87"/>
      <c r="UQZ2" s="87"/>
      <c r="URB2" s="87"/>
      <c r="URD2" s="87"/>
      <c r="URF2" s="87"/>
      <c r="URH2" s="87"/>
      <c r="URJ2" s="87"/>
      <c r="URL2" s="87"/>
      <c r="URN2" s="87"/>
      <c r="URP2" s="87"/>
      <c r="URR2" s="87"/>
      <c r="URT2" s="87"/>
      <c r="URV2" s="87"/>
      <c r="URX2" s="87"/>
      <c r="URZ2" s="87"/>
      <c r="USB2" s="87"/>
      <c r="USD2" s="87"/>
      <c r="USF2" s="87"/>
      <c r="USH2" s="87"/>
      <c r="USJ2" s="87"/>
      <c r="USL2" s="87"/>
      <c r="USN2" s="87"/>
      <c r="USP2" s="87"/>
      <c r="USR2" s="87"/>
      <c r="UST2" s="87"/>
      <c r="USV2" s="87"/>
      <c r="USX2" s="87"/>
      <c r="USZ2" s="87"/>
      <c r="UTB2" s="87"/>
      <c r="UTD2" s="87"/>
      <c r="UTF2" s="87"/>
      <c r="UTH2" s="87"/>
      <c r="UTJ2" s="87"/>
      <c r="UTL2" s="87"/>
      <c r="UTN2" s="87"/>
      <c r="UTP2" s="87"/>
      <c r="UTR2" s="87"/>
      <c r="UTT2" s="87"/>
      <c r="UTV2" s="87"/>
      <c r="UTX2" s="87"/>
      <c r="UTZ2" s="87"/>
      <c r="UUB2" s="87"/>
      <c r="UUD2" s="87"/>
      <c r="UUF2" s="87"/>
      <c r="UUH2" s="87"/>
      <c r="UUJ2" s="87"/>
      <c r="UUL2" s="87"/>
      <c r="UUN2" s="87"/>
      <c r="UUP2" s="87"/>
      <c r="UUR2" s="87"/>
      <c r="UUT2" s="87"/>
      <c r="UUV2" s="87"/>
      <c r="UUX2" s="87"/>
      <c r="UUZ2" s="87"/>
      <c r="UVB2" s="87"/>
      <c r="UVD2" s="87"/>
      <c r="UVF2" s="87"/>
      <c r="UVH2" s="87"/>
      <c r="UVJ2" s="87"/>
      <c r="UVL2" s="87"/>
      <c r="UVN2" s="87"/>
      <c r="UVP2" s="87"/>
      <c r="UVR2" s="87"/>
      <c r="UVT2" s="87"/>
      <c r="UVV2" s="87"/>
      <c r="UVX2" s="87"/>
      <c r="UVZ2" s="87"/>
      <c r="UWB2" s="87"/>
      <c r="UWD2" s="87"/>
      <c r="UWF2" s="87"/>
      <c r="UWH2" s="87"/>
      <c r="UWJ2" s="87"/>
      <c r="UWL2" s="87"/>
      <c r="UWN2" s="87"/>
      <c r="UWP2" s="87"/>
      <c r="UWR2" s="87"/>
      <c r="UWT2" s="87"/>
      <c r="UWV2" s="87"/>
      <c r="UWX2" s="87"/>
      <c r="UWZ2" s="87"/>
      <c r="UXB2" s="87"/>
      <c r="UXD2" s="87"/>
      <c r="UXF2" s="87"/>
      <c r="UXH2" s="87"/>
      <c r="UXJ2" s="87"/>
      <c r="UXL2" s="87"/>
      <c r="UXN2" s="87"/>
      <c r="UXP2" s="87"/>
      <c r="UXR2" s="87"/>
      <c r="UXT2" s="87"/>
      <c r="UXV2" s="87"/>
      <c r="UXX2" s="87"/>
      <c r="UXZ2" s="87"/>
      <c r="UYB2" s="87"/>
      <c r="UYD2" s="87"/>
      <c r="UYF2" s="87"/>
      <c r="UYH2" s="87"/>
      <c r="UYJ2" s="87"/>
      <c r="UYL2" s="87"/>
      <c r="UYN2" s="87"/>
      <c r="UYP2" s="87"/>
      <c r="UYR2" s="87"/>
      <c r="UYT2" s="87"/>
      <c r="UYV2" s="87"/>
      <c r="UYX2" s="87"/>
      <c r="UYZ2" s="87"/>
      <c r="UZB2" s="87"/>
      <c r="UZD2" s="87"/>
      <c r="UZF2" s="87"/>
      <c r="UZH2" s="87"/>
      <c r="UZJ2" s="87"/>
      <c r="UZL2" s="87"/>
      <c r="UZN2" s="87"/>
      <c r="UZP2" s="87"/>
      <c r="UZR2" s="87"/>
      <c r="UZT2" s="87"/>
      <c r="UZV2" s="87"/>
      <c r="UZX2" s="87"/>
      <c r="UZZ2" s="87"/>
      <c r="VAB2" s="87"/>
      <c r="VAD2" s="87"/>
      <c r="VAF2" s="87"/>
      <c r="VAH2" s="87"/>
      <c r="VAJ2" s="87"/>
      <c r="VAL2" s="87"/>
      <c r="VAN2" s="87"/>
      <c r="VAP2" s="87"/>
      <c r="VAR2" s="87"/>
      <c r="VAT2" s="87"/>
      <c r="VAV2" s="87"/>
      <c r="VAX2" s="87"/>
      <c r="VAZ2" s="87"/>
      <c r="VBB2" s="87"/>
      <c r="VBD2" s="87"/>
      <c r="VBF2" s="87"/>
      <c r="VBH2" s="87"/>
      <c r="VBJ2" s="87"/>
      <c r="VBL2" s="87"/>
      <c r="VBN2" s="87"/>
      <c r="VBP2" s="87"/>
      <c r="VBR2" s="87"/>
      <c r="VBT2" s="87"/>
      <c r="VBV2" s="87"/>
      <c r="VBX2" s="87"/>
      <c r="VBZ2" s="87"/>
      <c r="VCB2" s="87"/>
      <c r="VCD2" s="87"/>
      <c r="VCF2" s="87"/>
      <c r="VCH2" s="87"/>
      <c r="VCJ2" s="87"/>
      <c r="VCL2" s="87"/>
      <c r="VCN2" s="87"/>
      <c r="VCP2" s="87"/>
      <c r="VCR2" s="87"/>
      <c r="VCT2" s="87"/>
      <c r="VCV2" s="87"/>
      <c r="VCX2" s="87"/>
      <c r="VCZ2" s="87"/>
      <c r="VDB2" s="87"/>
      <c r="VDD2" s="87"/>
      <c r="VDF2" s="87"/>
      <c r="VDH2" s="87"/>
      <c r="VDJ2" s="87"/>
      <c r="VDL2" s="87"/>
      <c r="VDN2" s="87"/>
      <c r="VDP2" s="87"/>
      <c r="VDR2" s="87"/>
      <c r="VDT2" s="87"/>
      <c r="VDV2" s="87"/>
      <c r="VDX2" s="87"/>
      <c r="VDZ2" s="87"/>
      <c r="VEB2" s="87"/>
      <c r="VED2" s="87"/>
      <c r="VEF2" s="87"/>
      <c r="VEH2" s="87"/>
      <c r="VEJ2" s="87"/>
      <c r="VEL2" s="87"/>
      <c r="VEN2" s="87"/>
      <c r="VEP2" s="87"/>
      <c r="VER2" s="87"/>
      <c r="VET2" s="87"/>
      <c r="VEV2" s="87"/>
      <c r="VEX2" s="87"/>
      <c r="VEZ2" s="87"/>
      <c r="VFB2" s="87"/>
      <c r="VFD2" s="87"/>
      <c r="VFF2" s="87"/>
      <c r="VFH2" s="87"/>
      <c r="VFJ2" s="87"/>
      <c r="VFL2" s="87"/>
      <c r="VFN2" s="87"/>
      <c r="VFP2" s="87"/>
      <c r="VFR2" s="87"/>
      <c r="VFT2" s="87"/>
      <c r="VFV2" s="87"/>
      <c r="VFX2" s="87"/>
      <c r="VFZ2" s="87"/>
      <c r="VGB2" s="87"/>
      <c r="VGD2" s="87"/>
      <c r="VGF2" s="87"/>
      <c r="VGH2" s="87"/>
      <c r="VGJ2" s="87"/>
      <c r="VGL2" s="87"/>
      <c r="VGN2" s="87"/>
      <c r="VGP2" s="87"/>
      <c r="VGR2" s="87"/>
      <c r="VGT2" s="87"/>
      <c r="VGV2" s="87"/>
      <c r="VGX2" s="87"/>
      <c r="VGZ2" s="87"/>
      <c r="VHB2" s="87"/>
      <c r="VHD2" s="87"/>
      <c r="VHF2" s="87"/>
      <c r="VHH2" s="87"/>
      <c r="VHJ2" s="87"/>
      <c r="VHL2" s="87"/>
      <c r="VHN2" s="87"/>
      <c r="VHP2" s="87"/>
      <c r="VHR2" s="87"/>
      <c r="VHT2" s="87"/>
      <c r="VHV2" s="87"/>
      <c r="VHX2" s="87"/>
      <c r="VHZ2" s="87"/>
      <c r="VIB2" s="87"/>
      <c r="VID2" s="87"/>
      <c r="VIF2" s="87"/>
      <c r="VIH2" s="87"/>
      <c r="VIJ2" s="87"/>
      <c r="VIL2" s="87"/>
      <c r="VIN2" s="87"/>
      <c r="VIP2" s="87"/>
      <c r="VIR2" s="87"/>
      <c r="VIT2" s="87"/>
      <c r="VIV2" s="87"/>
      <c r="VIX2" s="87"/>
      <c r="VIZ2" s="87"/>
      <c r="VJB2" s="87"/>
      <c r="VJD2" s="87"/>
      <c r="VJF2" s="87"/>
      <c r="VJH2" s="87"/>
      <c r="VJJ2" s="87"/>
      <c r="VJL2" s="87"/>
      <c r="VJN2" s="87"/>
      <c r="VJP2" s="87"/>
      <c r="VJR2" s="87"/>
      <c r="VJT2" s="87"/>
      <c r="VJV2" s="87"/>
      <c r="VJX2" s="87"/>
      <c r="VJZ2" s="87"/>
      <c r="VKB2" s="87"/>
      <c r="VKD2" s="87"/>
      <c r="VKF2" s="87"/>
      <c r="VKH2" s="87"/>
      <c r="VKJ2" s="87"/>
      <c r="VKL2" s="87"/>
      <c r="VKN2" s="87"/>
      <c r="VKP2" s="87"/>
      <c r="VKR2" s="87"/>
      <c r="VKT2" s="87"/>
      <c r="VKV2" s="87"/>
      <c r="VKX2" s="87"/>
      <c r="VKZ2" s="87"/>
      <c r="VLB2" s="87"/>
      <c r="VLD2" s="87"/>
      <c r="VLF2" s="87"/>
      <c r="VLH2" s="87"/>
      <c r="VLJ2" s="87"/>
      <c r="VLL2" s="87"/>
      <c r="VLN2" s="87"/>
      <c r="VLP2" s="87"/>
      <c r="VLR2" s="87"/>
      <c r="VLT2" s="87"/>
      <c r="VLV2" s="87"/>
      <c r="VLX2" s="87"/>
      <c r="VLZ2" s="87"/>
      <c r="VMB2" s="87"/>
      <c r="VMD2" s="87"/>
      <c r="VMF2" s="87"/>
      <c r="VMH2" s="87"/>
      <c r="VMJ2" s="87"/>
      <c r="VML2" s="87"/>
      <c r="VMN2" s="87"/>
      <c r="VMP2" s="87"/>
      <c r="VMR2" s="87"/>
      <c r="VMT2" s="87"/>
      <c r="VMV2" s="87"/>
      <c r="VMX2" s="87"/>
      <c r="VMZ2" s="87"/>
      <c r="VNB2" s="87"/>
      <c r="VND2" s="87"/>
      <c r="VNF2" s="87"/>
      <c r="VNH2" s="87"/>
      <c r="VNJ2" s="87"/>
      <c r="VNL2" s="87"/>
      <c r="VNN2" s="87"/>
      <c r="VNP2" s="87"/>
      <c r="VNR2" s="87"/>
      <c r="VNT2" s="87"/>
      <c r="VNV2" s="87"/>
      <c r="VNX2" s="87"/>
      <c r="VNZ2" s="87"/>
      <c r="VOB2" s="87"/>
      <c r="VOD2" s="87"/>
      <c r="VOF2" s="87"/>
      <c r="VOH2" s="87"/>
      <c r="VOJ2" s="87"/>
      <c r="VOL2" s="87"/>
      <c r="VON2" s="87"/>
      <c r="VOP2" s="87"/>
      <c r="VOR2" s="87"/>
      <c r="VOT2" s="87"/>
      <c r="VOV2" s="87"/>
      <c r="VOX2" s="87"/>
      <c r="VOZ2" s="87"/>
      <c r="VPB2" s="87"/>
      <c r="VPD2" s="87"/>
      <c r="VPF2" s="87"/>
      <c r="VPH2" s="87"/>
      <c r="VPJ2" s="87"/>
      <c r="VPL2" s="87"/>
      <c r="VPN2" s="87"/>
      <c r="VPP2" s="87"/>
      <c r="VPR2" s="87"/>
      <c r="VPT2" s="87"/>
      <c r="VPV2" s="87"/>
      <c r="VPX2" s="87"/>
      <c r="VPZ2" s="87"/>
      <c r="VQB2" s="87"/>
      <c r="VQD2" s="87"/>
      <c r="VQF2" s="87"/>
      <c r="VQH2" s="87"/>
      <c r="VQJ2" s="87"/>
      <c r="VQL2" s="87"/>
      <c r="VQN2" s="87"/>
      <c r="VQP2" s="87"/>
      <c r="VQR2" s="87"/>
      <c r="VQT2" s="87"/>
      <c r="VQV2" s="87"/>
      <c r="VQX2" s="87"/>
      <c r="VQZ2" s="87"/>
      <c r="VRB2" s="87"/>
      <c r="VRD2" s="87"/>
      <c r="VRF2" s="87"/>
      <c r="VRH2" s="87"/>
      <c r="VRJ2" s="87"/>
      <c r="VRL2" s="87"/>
      <c r="VRN2" s="87"/>
      <c r="VRP2" s="87"/>
      <c r="VRR2" s="87"/>
      <c r="VRT2" s="87"/>
      <c r="VRV2" s="87"/>
      <c r="VRX2" s="87"/>
      <c r="VRZ2" s="87"/>
      <c r="VSB2" s="87"/>
      <c r="VSD2" s="87"/>
      <c r="VSF2" s="87"/>
      <c r="VSH2" s="87"/>
      <c r="VSJ2" s="87"/>
      <c r="VSL2" s="87"/>
      <c r="VSN2" s="87"/>
      <c r="VSP2" s="87"/>
      <c r="VSR2" s="87"/>
      <c r="VST2" s="87"/>
      <c r="VSV2" s="87"/>
      <c r="VSX2" s="87"/>
      <c r="VSZ2" s="87"/>
      <c r="VTB2" s="87"/>
      <c r="VTD2" s="87"/>
      <c r="VTF2" s="87"/>
      <c r="VTH2" s="87"/>
      <c r="VTJ2" s="87"/>
      <c r="VTL2" s="87"/>
      <c r="VTN2" s="87"/>
      <c r="VTP2" s="87"/>
      <c r="VTR2" s="87"/>
      <c r="VTT2" s="87"/>
      <c r="VTV2" s="87"/>
      <c r="VTX2" s="87"/>
      <c r="VTZ2" s="87"/>
      <c r="VUB2" s="87"/>
      <c r="VUD2" s="87"/>
      <c r="VUF2" s="87"/>
      <c r="VUH2" s="87"/>
      <c r="VUJ2" s="87"/>
      <c r="VUL2" s="87"/>
      <c r="VUN2" s="87"/>
      <c r="VUP2" s="87"/>
      <c r="VUR2" s="87"/>
      <c r="VUT2" s="87"/>
      <c r="VUV2" s="87"/>
      <c r="VUX2" s="87"/>
      <c r="VUZ2" s="87"/>
      <c r="VVB2" s="87"/>
      <c r="VVD2" s="87"/>
      <c r="VVF2" s="87"/>
      <c r="VVH2" s="87"/>
      <c r="VVJ2" s="87"/>
      <c r="VVL2" s="87"/>
      <c r="VVN2" s="87"/>
      <c r="VVP2" s="87"/>
      <c r="VVR2" s="87"/>
      <c r="VVT2" s="87"/>
      <c r="VVV2" s="87"/>
      <c r="VVX2" s="87"/>
      <c r="VVZ2" s="87"/>
      <c r="VWB2" s="87"/>
      <c r="VWD2" s="87"/>
      <c r="VWF2" s="87"/>
      <c r="VWH2" s="87"/>
      <c r="VWJ2" s="87"/>
      <c r="VWL2" s="87"/>
      <c r="VWN2" s="87"/>
      <c r="VWP2" s="87"/>
      <c r="VWR2" s="87"/>
      <c r="VWT2" s="87"/>
      <c r="VWV2" s="87"/>
      <c r="VWX2" s="87"/>
      <c r="VWZ2" s="87"/>
      <c r="VXB2" s="87"/>
      <c r="VXD2" s="87"/>
      <c r="VXF2" s="87"/>
      <c r="VXH2" s="87"/>
      <c r="VXJ2" s="87"/>
      <c r="VXL2" s="87"/>
      <c r="VXN2" s="87"/>
      <c r="VXP2" s="87"/>
      <c r="VXR2" s="87"/>
      <c r="VXT2" s="87"/>
      <c r="VXV2" s="87"/>
      <c r="VXX2" s="87"/>
      <c r="VXZ2" s="87"/>
      <c r="VYB2" s="87"/>
      <c r="VYD2" s="87"/>
      <c r="VYF2" s="87"/>
      <c r="VYH2" s="87"/>
      <c r="VYJ2" s="87"/>
      <c r="VYL2" s="87"/>
      <c r="VYN2" s="87"/>
      <c r="VYP2" s="87"/>
      <c r="VYR2" s="87"/>
      <c r="VYT2" s="87"/>
      <c r="VYV2" s="87"/>
      <c r="VYX2" s="87"/>
      <c r="VYZ2" s="87"/>
      <c r="VZB2" s="87"/>
      <c r="VZD2" s="87"/>
      <c r="VZF2" s="87"/>
      <c r="VZH2" s="87"/>
      <c r="VZJ2" s="87"/>
      <c r="VZL2" s="87"/>
      <c r="VZN2" s="87"/>
      <c r="VZP2" s="87"/>
      <c r="VZR2" s="87"/>
      <c r="VZT2" s="87"/>
      <c r="VZV2" s="87"/>
      <c r="VZX2" s="87"/>
      <c r="VZZ2" s="87"/>
      <c r="WAB2" s="87"/>
      <c r="WAD2" s="87"/>
      <c r="WAF2" s="87"/>
      <c r="WAH2" s="87"/>
      <c r="WAJ2" s="87"/>
      <c r="WAL2" s="87"/>
      <c r="WAN2" s="87"/>
      <c r="WAP2" s="87"/>
      <c r="WAR2" s="87"/>
      <c r="WAT2" s="87"/>
      <c r="WAV2" s="87"/>
      <c r="WAX2" s="87"/>
      <c r="WAZ2" s="87"/>
      <c r="WBB2" s="87"/>
      <c r="WBD2" s="87"/>
      <c r="WBF2" s="87"/>
      <c r="WBH2" s="87"/>
      <c r="WBJ2" s="87"/>
      <c r="WBL2" s="87"/>
      <c r="WBN2" s="87"/>
      <c r="WBP2" s="87"/>
      <c r="WBR2" s="87"/>
      <c r="WBT2" s="87"/>
      <c r="WBV2" s="87"/>
      <c r="WBX2" s="87"/>
      <c r="WBZ2" s="87"/>
      <c r="WCB2" s="87"/>
      <c r="WCD2" s="87"/>
      <c r="WCF2" s="87"/>
      <c r="WCH2" s="87"/>
      <c r="WCJ2" s="87"/>
      <c r="WCL2" s="87"/>
      <c r="WCN2" s="87"/>
      <c r="WCP2" s="87"/>
      <c r="WCR2" s="87"/>
      <c r="WCT2" s="87"/>
      <c r="WCV2" s="87"/>
      <c r="WCX2" s="87"/>
      <c r="WCZ2" s="87"/>
      <c r="WDB2" s="87"/>
      <c r="WDD2" s="87"/>
      <c r="WDF2" s="87"/>
      <c r="WDH2" s="87"/>
      <c r="WDJ2" s="87"/>
      <c r="WDL2" s="87"/>
      <c r="WDN2" s="87"/>
      <c r="WDP2" s="87"/>
      <c r="WDR2" s="87"/>
      <c r="WDT2" s="87"/>
      <c r="WDV2" s="87"/>
      <c r="WDX2" s="87"/>
      <c r="WDZ2" s="87"/>
      <c r="WEB2" s="87"/>
      <c r="WED2" s="87"/>
      <c r="WEF2" s="87"/>
      <c r="WEH2" s="87"/>
      <c r="WEJ2" s="87"/>
      <c r="WEL2" s="87"/>
      <c r="WEN2" s="87"/>
      <c r="WEP2" s="87"/>
      <c r="WER2" s="87"/>
      <c r="WET2" s="87"/>
      <c r="WEV2" s="87"/>
      <c r="WEX2" s="87"/>
      <c r="WEZ2" s="87"/>
      <c r="WFB2" s="87"/>
      <c r="WFD2" s="87"/>
      <c r="WFF2" s="87"/>
      <c r="WFH2" s="87"/>
      <c r="WFJ2" s="87"/>
      <c r="WFL2" s="87"/>
      <c r="WFN2" s="87"/>
      <c r="WFP2" s="87"/>
      <c r="WFR2" s="87"/>
      <c r="WFT2" s="87"/>
      <c r="WFV2" s="87"/>
      <c r="WFX2" s="87"/>
      <c r="WFZ2" s="87"/>
      <c r="WGB2" s="87"/>
      <c r="WGD2" s="87"/>
      <c r="WGF2" s="87"/>
      <c r="WGH2" s="87"/>
      <c r="WGJ2" s="87"/>
      <c r="WGL2" s="87"/>
      <c r="WGN2" s="87"/>
      <c r="WGP2" s="87"/>
      <c r="WGR2" s="87"/>
      <c r="WGT2" s="87"/>
      <c r="WGV2" s="87"/>
      <c r="WGX2" s="87"/>
      <c r="WGZ2" s="87"/>
      <c r="WHB2" s="87"/>
      <c r="WHD2" s="87"/>
      <c r="WHF2" s="87"/>
      <c r="WHH2" s="87"/>
      <c r="WHJ2" s="87"/>
      <c r="WHL2" s="87"/>
      <c r="WHN2" s="87"/>
      <c r="WHP2" s="87"/>
      <c r="WHR2" s="87"/>
      <c r="WHT2" s="87"/>
      <c r="WHV2" s="87"/>
      <c r="WHX2" s="87"/>
      <c r="WHZ2" s="87"/>
      <c r="WIB2" s="87"/>
      <c r="WID2" s="87"/>
      <c r="WIF2" s="87"/>
      <c r="WIH2" s="87"/>
      <c r="WIJ2" s="87"/>
      <c r="WIL2" s="87"/>
      <c r="WIN2" s="87"/>
      <c r="WIP2" s="87"/>
      <c r="WIR2" s="87"/>
      <c r="WIT2" s="87"/>
      <c r="WIV2" s="87"/>
      <c r="WIX2" s="87"/>
      <c r="WIZ2" s="87"/>
      <c r="WJB2" s="87"/>
      <c r="WJD2" s="87"/>
      <c r="WJF2" s="87"/>
      <c r="WJH2" s="87"/>
      <c r="WJJ2" s="87"/>
      <c r="WJL2" s="87"/>
      <c r="WJN2" s="87"/>
      <c r="WJP2" s="87"/>
      <c r="WJR2" s="87"/>
      <c r="WJT2" s="87"/>
      <c r="WJV2" s="87"/>
      <c r="WJX2" s="87"/>
      <c r="WJZ2" s="87"/>
      <c r="WKB2" s="87"/>
      <c r="WKD2" s="87"/>
      <c r="WKF2" s="87"/>
      <c r="WKH2" s="87"/>
      <c r="WKJ2" s="87"/>
      <c r="WKL2" s="87"/>
      <c r="WKN2" s="87"/>
      <c r="WKP2" s="87"/>
      <c r="WKR2" s="87"/>
      <c r="WKT2" s="87"/>
      <c r="WKV2" s="87"/>
      <c r="WKX2" s="87"/>
      <c r="WKZ2" s="87"/>
      <c r="WLB2" s="87"/>
      <c r="WLD2" s="87"/>
      <c r="WLF2" s="87"/>
      <c r="WLH2" s="87"/>
      <c r="WLJ2" s="87"/>
      <c r="WLL2" s="87"/>
      <c r="WLN2" s="87"/>
      <c r="WLP2" s="87"/>
      <c r="WLR2" s="87"/>
      <c r="WLT2" s="87"/>
      <c r="WLV2" s="87"/>
      <c r="WLX2" s="87"/>
      <c r="WLZ2" s="87"/>
      <c r="WMB2" s="87"/>
      <c r="WMD2" s="87"/>
      <c r="WMF2" s="87"/>
      <c r="WMH2" s="87"/>
      <c r="WMJ2" s="87"/>
      <c r="WML2" s="87"/>
      <c r="WMN2" s="87"/>
      <c r="WMP2" s="87"/>
      <c r="WMR2" s="87"/>
      <c r="WMT2" s="87"/>
      <c r="WMV2" s="87"/>
      <c r="WMX2" s="87"/>
      <c r="WMZ2" s="87"/>
      <c r="WNB2" s="87"/>
      <c r="WND2" s="87"/>
      <c r="WNF2" s="87"/>
      <c r="WNH2" s="87"/>
      <c r="WNJ2" s="87"/>
      <c r="WNL2" s="87"/>
      <c r="WNN2" s="87"/>
      <c r="WNP2" s="87"/>
      <c r="WNR2" s="87"/>
      <c r="WNT2" s="87"/>
      <c r="WNV2" s="87"/>
      <c r="WNX2" s="87"/>
      <c r="WNZ2" s="87"/>
      <c r="WOB2" s="87"/>
      <c r="WOD2" s="87"/>
      <c r="WOF2" s="87"/>
      <c r="WOH2" s="87"/>
      <c r="WOJ2" s="87"/>
      <c r="WOL2" s="87"/>
      <c r="WON2" s="87"/>
      <c r="WOP2" s="87"/>
      <c r="WOR2" s="87"/>
      <c r="WOT2" s="87"/>
      <c r="WOV2" s="87"/>
      <c r="WOX2" s="87"/>
      <c r="WOZ2" s="87"/>
      <c r="WPB2" s="87"/>
      <c r="WPD2" s="87"/>
      <c r="WPF2" s="87"/>
      <c r="WPH2" s="87"/>
      <c r="WPJ2" s="87"/>
      <c r="WPL2" s="87"/>
      <c r="WPN2" s="87"/>
      <c r="WPP2" s="87"/>
      <c r="WPR2" s="87"/>
      <c r="WPT2" s="87"/>
      <c r="WPV2" s="87"/>
      <c r="WPX2" s="87"/>
      <c r="WPZ2" s="87"/>
      <c r="WQB2" s="87"/>
      <c r="WQD2" s="87"/>
      <c r="WQF2" s="87"/>
      <c r="WQH2" s="87"/>
      <c r="WQJ2" s="87"/>
      <c r="WQL2" s="87"/>
      <c r="WQN2" s="87"/>
      <c r="WQP2" s="87"/>
      <c r="WQR2" s="87"/>
      <c r="WQT2" s="87"/>
      <c r="WQV2" s="87"/>
      <c r="WQX2" s="87"/>
      <c r="WQZ2" s="87"/>
      <c r="WRB2" s="87"/>
      <c r="WRD2" s="87"/>
      <c r="WRF2" s="87"/>
      <c r="WRH2" s="87"/>
      <c r="WRJ2" s="87"/>
      <c r="WRL2" s="87"/>
      <c r="WRN2" s="87"/>
      <c r="WRP2" s="87"/>
      <c r="WRR2" s="87"/>
      <c r="WRT2" s="87"/>
      <c r="WRV2" s="87"/>
      <c r="WRX2" s="87"/>
      <c r="WRZ2" s="87"/>
      <c r="WSB2" s="87"/>
      <c r="WSD2" s="87"/>
      <c r="WSF2" s="87"/>
      <c r="WSH2" s="87"/>
      <c r="WSJ2" s="87"/>
      <c r="WSL2" s="87"/>
      <c r="WSN2" s="87"/>
      <c r="WSP2" s="87"/>
      <c r="WSR2" s="87"/>
      <c r="WST2" s="87"/>
      <c r="WSV2" s="87"/>
      <c r="WSX2" s="87"/>
      <c r="WSZ2" s="87"/>
      <c r="WTB2" s="87"/>
      <c r="WTD2" s="87"/>
      <c r="WTF2" s="87"/>
      <c r="WTH2" s="87"/>
      <c r="WTJ2" s="87"/>
      <c r="WTL2" s="87"/>
      <c r="WTN2" s="87"/>
      <c r="WTP2" s="87"/>
      <c r="WTR2" s="87"/>
      <c r="WTT2" s="87"/>
      <c r="WTV2" s="87"/>
      <c r="WTX2" s="87"/>
      <c r="WTZ2" s="87"/>
      <c r="WUB2" s="87"/>
      <c r="WUD2" s="87"/>
      <c r="WUF2" s="87"/>
      <c r="WUH2" s="87"/>
      <c r="WUJ2" s="87"/>
      <c r="WUL2" s="87"/>
      <c r="WUN2" s="87"/>
      <c r="WUP2" s="87"/>
      <c r="WUR2" s="87"/>
      <c r="WUT2" s="87"/>
      <c r="WUV2" s="87"/>
      <c r="WUX2" s="87"/>
      <c r="WUZ2" s="87"/>
      <c r="WVB2" s="87"/>
      <c r="WVD2" s="87"/>
      <c r="WVF2" s="87"/>
      <c r="WVH2" s="87"/>
      <c r="WVJ2" s="87"/>
      <c r="WVL2" s="87"/>
      <c r="WVN2" s="87"/>
      <c r="WVP2" s="87"/>
      <c r="WVR2" s="87"/>
      <c r="WVT2" s="87"/>
      <c r="WVV2" s="87"/>
      <c r="WVX2" s="87"/>
      <c r="WVZ2" s="87"/>
      <c r="WWB2" s="87"/>
      <c r="WWD2" s="87"/>
      <c r="WWF2" s="87"/>
      <c r="WWH2" s="87"/>
      <c r="WWJ2" s="87"/>
      <c r="WWL2" s="87"/>
      <c r="WWN2" s="87"/>
      <c r="WWP2" s="87"/>
      <c r="WWR2" s="87"/>
      <c r="WWT2" s="87"/>
      <c r="WWV2" s="87"/>
      <c r="WWX2" s="87"/>
      <c r="WWZ2" s="87"/>
      <c r="WXB2" s="87"/>
      <c r="WXD2" s="87"/>
      <c r="WXF2" s="87"/>
      <c r="WXH2" s="87"/>
      <c r="WXJ2" s="87"/>
      <c r="WXL2" s="87"/>
      <c r="WXN2" s="87"/>
      <c r="WXP2" s="87"/>
      <c r="WXR2" s="87"/>
      <c r="WXT2" s="87"/>
      <c r="WXV2" s="87"/>
      <c r="WXX2" s="87"/>
      <c r="WXZ2" s="87"/>
      <c r="WYB2" s="87"/>
      <c r="WYD2" s="87"/>
      <c r="WYF2" s="87"/>
      <c r="WYH2" s="87"/>
      <c r="WYJ2" s="87"/>
      <c r="WYL2" s="87"/>
      <c r="WYN2" s="87"/>
      <c r="WYP2" s="87"/>
      <c r="WYR2" s="87"/>
      <c r="WYT2" s="87"/>
      <c r="WYV2" s="87"/>
      <c r="WYX2" s="87"/>
      <c r="WYZ2" s="87"/>
      <c r="WZB2" s="87"/>
      <c r="WZD2" s="87"/>
      <c r="WZF2" s="87"/>
      <c r="WZH2" s="87"/>
      <c r="WZJ2" s="87"/>
      <c r="WZL2" s="87"/>
      <c r="WZN2" s="87"/>
      <c r="WZP2" s="87"/>
      <c r="WZR2" s="87"/>
      <c r="WZT2" s="87"/>
      <c r="WZV2" s="87"/>
      <c r="WZX2" s="87"/>
      <c r="WZZ2" s="87"/>
      <c r="XAB2" s="87"/>
      <c r="XAD2" s="87"/>
      <c r="XAF2" s="87"/>
      <c r="XAH2" s="87"/>
      <c r="XAJ2" s="87"/>
      <c r="XAL2" s="87"/>
      <c r="XAN2" s="87"/>
      <c r="XAP2" s="87"/>
      <c r="XAR2" s="87"/>
      <c r="XAT2" s="87"/>
      <c r="XAV2" s="87"/>
      <c r="XAX2" s="87"/>
      <c r="XAZ2" s="87"/>
      <c r="XBB2" s="87"/>
      <c r="XBD2" s="87"/>
      <c r="XBF2" s="87"/>
      <c r="XBH2" s="87"/>
      <c r="XBJ2" s="87"/>
      <c r="XBL2" s="87"/>
      <c r="XBN2" s="87"/>
      <c r="XBP2" s="87"/>
      <c r="XBR2" s="87"/>
      <c r="XBT2" s="87"/>
      <c r="XBV2" s="87"/>
      <c r="XBX2" s="87"/>
      <c r="XBZ2" s="87"/>
      <c r="XCB2" s="87"/>
      <c r="XCD2" s="87"/>
      <c r="XCF2" s="87"/>
      <c r="XCH2" s="87"/>
      <c r="XCJ2" s="87"/>
      <c r="XCL2" s="87"/>
      <c r="XCN2" s="87"/>
      <c r="XCP2" s="87"/>
      <c r="XCR2" s="87"/>
      <c r="XCT2" s="87"/>
      <c r="XCV2" s="87"/>
      <c r="XCX2" s="87"/>
      <c r="XCZ2" s="87"/>
      <c r="XDB2" s="87"/>
      <c r="XDD2" s="87"/>
      <c r="XDF2" s="87"/>
      <c r="XDH2" s="87"/>
      <c r="XDJ2" s="87"/>
      <c r="XDL2" s="87"/>
      <c r="XDN2" s="87"/>
      <c r="XDP2" s="87"/>
      <c r="XDR2" s="87"/>
      <c r="XDT2" s="87"/>
      <c r="XDV2" s="87"/>
      <c r="XDX2" s="87"/>
      <c r="XDZ2" s="87"/>
      <c r="XEB2" s="87"/>
      <c r="XED2" s="87"/>
      <c r="XEF2" s="87"/>
      <c r="XEH2" s="87"/>
      <c r="XEJ2" s="87"/>
      <c r="XEL2" s="87"/>
      <c r="XEN2" s="87"/>
      <c r="XEP2" s="87"/>
      <c r="XER2" s="87"/>
      <c r="XET2" s="87"/>
      <c r="XEV2" s="87"/>
      <c r="XEX2" s="87"/>
      <c r="XEZ2" s="87"/>
      <c r="XFB2" s="87"/>
      <c r="XFD2" s="87"/>
    </row>
    <row r="3" spans="1:16384" x14ac:dyDescent="0.25">
      <c r="A3" s="95" t="s">
        <v>514</v>
      </c>
      <c r="B3" s="95"/>
      <c r="C3" s="95"/>
      <c r="D3" s="95"/>
      <c r="E3" s="95"/>
      <c r="F3" s="95"/>
      <c r="G3" s="95"/>
      <c r="H3" s="95"/>
    </row>
    <row r="4" spans="1:16384" x14ac:dyDescent="0.25">
      <c r="A4" s="95" t="s">
        <v>515</v>
      </c>
      <c r="B4" s="95"/>
      <c r="C4" s="95"/>
      <c r="D4" s="95"/>
      <c r="E4" s="95"/>
      <c r="F4" s="95"/>
      <c r="G4" s="95"/>
      <c r="H4" s="95"/>
    </row>
    <row r="5" spans="1:16384" x14ac:dyDescent="0.25">
      <c r="A5" s="95" t="s">
        <v>649</v>
      </c>
      <c r="B5" s="95">
        <v>16</v>
      </c>
      <c r="C5" s="95" t="s">
        <v>460</v>
      </c>
      <c r="D5" s="95"/>
      <c r="E5" s="95"/>
      <c r="F5" s="95"/>
      <c r="G5" s="95"/>
      <c r="H5" s="95"/>
    </row>
    <row r="6" spans="1:16384" x14ac:dyDescent="0.25">
      <c r="A6" s="95" t="s">
        <v>650</v>
      </c>
      <c r="B6" s="95">
        <v>10</v>
      </c>
      <c r="C6" s="95" t="s">
        <v>651</v>
      </c>
      <c r="D6" s="95"/>
      <c r="E6" s="95"/>
      <c r="F6" s="95"/>
      <c r="G6" s="95"/>
      <c r="H6" s="95"/>
    </row>
    <row r="7" spans="1:16384" x14ac:dyDescent="0.25">
      <c r="A7" s="95" t="s">
        <v>713</v>
      </c>
      <c r="B7" s="95">
        <f>2*B6</f>
        <v>20</v>
      </c>
      <c r="C7" s="95" t="s">
        <v>714</v>
      </c>
      <c r="D7" s="95"/>
      <c r="E7" s="95"/>
      <c r="F7" s="95"/>
      <c r="G7" s="95"/>
      <c r="H7" s="95"/>
    </row>
    <row r="8" spans="1:16384" x14ac:dyDescent="0.25">
      <c r="A8" s="95" t="s">
        <v>516</v>
      </c>
      <c r="B8" s="113">
        <f>B5*B6</f>
        <v>160</v>
      </c>
      <c r="C8" s="95" t="s">
        <v>460</v>
      </c>
      <c r="D8" s="103"/>
      <c r="E8" s="95"/>
      <c r="F8" s="95"/>
      <c r="G8" s="95"/>
      <c r="H8" s="95"/>
    </row>
    <row r="9" spans="1:16384" x14ac:dyDescent="0.25">
      <c r="A9" s="97" t="s">
        <v>517</v>
      </c>
      <c r="B9" s="97">
        <f>SUM(B10:B13)</f>
        <v>47</v>
      </c>
      <c r="C9" s="97" t="s">
        <v>462</v>
      </c>
      <c r="D9" s="97"/>
      <c r="E9" s="95"/>
      <c r="F9" s="95"/>
      <c r="G9" s="95"/>
      <c r="H9" s="95"/>
    </row>
    <row r="10" spans="1:16384" x14ac:dyDescent="0.25">
      <c r="A10" s="109" t="s">
        <v>518</v>
      </c>
      <c r="B10" s="114">
        <v>27</v>
      </c>
      <c r="C10" s="114" t="s">
        <v>462</v>
      </c>
      <c r="D10" s="97"/>
      <c r="E10" s="95"/>
      <c r="F10" s="95"/>
      <c r="G10" s="95"/>
      <c r="H10" s="95"/>
    </row>
    <row r="11" spans="1:16384" x14ac:dyDescent="0.25">
      <c r="A11" s="109" t="s">
        <v>481</v>
      </c>
      <c r="B11" s="114">
        <v>2</v>
      </c>
      <c r="C11" s="114" t="s">
        <v>462</v>
      </c>
      <c r="D11" s="97"/>
      <c r="E11" s="95"/>
      <c r="F11" s="95"/>
      <c r="G11" s="95"/>
      <c r="H11" s="95"/>
    </row>
    <row r="12" spans="1:16384" x14ac:dyDescent="0.25">
      <c r="A12" s="109" t="s">
        <v>482</v>
      </c>
      <c r="B12" s="114">
        <v>15</v>
      </c>
      <c r="C12" s="114" t="s">
        <v>462</v>
      </c>
      <c r="D12" s="114"/>
      <c r="E12" s="114"/>
      <c r="F12" s="114"/>
      <c r="G12" s="114"/>
      <c r="H12" s="114"/>
    </row>
    <row r="13" spans="1:16384" x14ac:dyDescent="0.25">
      <c r="A13" s="109" t="s">
        <v>519</v>
      </c>
      <c r="B13" s="114">
        <v>3</v>
      </c>
      <c r="C13" s="114" t="s">
        <v>462</v>
      </c>
      <c r="D13" s="114"/>
      <c r="E13" s="114"/>
      <c r="F13" s="114"/>
      <c r="G13" s="114"/>
      <c r="H13" s="114"/>
    </row>
    <row r="14" spans="1:16384" x14ac:dyDescent="0.25">
      <c r="A14" s="108" t="s">
        <v>520</v>
      </c>
      <c r="B14" s="97">
        <f>B9*B8</f>
        <v>7520</v>
      </c>
      <c r="C14" s="97" t="s">
        <v>207</v>
      </c>
      <c r="D14" s="114"/>
      <c r="E14" s="114"/>
      <c r="F14" s="114"/>
      <c r="G14" s="114"/>
      <c r="H14" s="114"/>
    </row>
    <row r="15" spans="1:16384" x14ac:dyDescent="0.25">
      <c r="A15" s="108"/>
      <c r="B15" s="97"/>
      <c r="C15" s="97"/>
      <c r="D15" s="114"/>
      <c r="E15" s="114"/>
      <c r="F15" s="114"/>
      <c r="G15" s="114"/>
      <c r="H15" s="114"/>
    </row>
    <row r="16" spans="1:16384" x14ac:dyDescent="0.25">
      <c r="A16" s="108" t="s">
        <v>521</v>
      </c>
      <c r="B16" s="97"/>
      <c r="C16" s="97"/>
      <c r="D16" s="114"/>
      <c r="E16" s="114"/>
      <c r="F16" s="114"/>
      <c r="G16" s="114"/>
      <c r="H16" s="114"/>
    </row>
    <row r="17" spans="1:8" x14ac:dyDescent="0.25">
      <c r="A17" s="97" t="s">
        <v>524</v>
      </c>
      <c r="B17" s="97">
        <f>ROUND(B8/2,0)</f>
        <v>80</v>
      </c>
      <c r="C17" s="97"/>
      <c r="D17" s="114"/>
      <c r="E17" s="114"/>
      <c r="F17" s="114"/>
      <c r="G17" s="114"/>
      <c r="H17" s="114"/>
    </row>
    <row r="18" spans="1:8" x14ac:dyDescent="0.25">
      <c r="A18" s="97" t="s">
        <v>525</v>
      </c>
      <c r="B18" s="97">
        <f>PV!B51</f>
        <v>415</v>
      </c>
      <c r="C18" s="97" t="s">
        <v>526</v>
      </c>
      <c r="D18" s="114"/>
      <c r="E18" s="114"/>
      <c r="F18" s="114"/>
      <c r="G18" s="114"/>
      <c r="H18" s="114"/>
    </row>
    <row r="19" spans="1:8" x14ac:dyDescent="0.25">
      <c r="A19" s="97" t="s">
        <v>522</v>
      </c>
      <c r="B19" s="97">
        <f>B18*B17</f>
        <v>33200</v>
      </c>
      <c r="C19" s="97" t="s">
        <v>526</v>
      </c>
      <c r="D19" s="114"/>
      <c r="E19" s="114"/>
      <c r="F19" s="114"/>
      <c r="G19" s="114"/>
      <c r="H19" s="114"/>
    </row>
    <row r="20" spans="1:8" x14ac:dyDescent="0.25">
      <c r="A20" s="97" t="s">
        <v>531</v>
      </c>
      <c r="B20" s="97">
        <f>PV!B74</f>
        <v>2.0599999999999996</v>
      </c>
      <c r="C20" s="97" t="s">
        <v>296</v>
      </c>
      <c r="D20" s="114"/>
      <c r="E20" s="114"/>
      <c r="F20" s="114"/>
      <c r="G20" s="114"/>
      <c r="H20" s="114"/>
    </row>
    <row r="21" spans="1:8" x14ac:dyDescent="0.25">
      <c r="A21" s="108" t="s">
        <v>521</v>
      </c>
      <c r="B21" s="97">
        <f>B20*B19</f>
        <v>68391.999999999985</v>
      </c>
      <c r="C21" s="97" t="s">
        <v>207</v>
      </c>
      <c r="D21" s="114"/>
      <c r="E21" s="114"/>
      <c r="F21" s="114"/>
      <c r="G21" s="114"/>
      <c r="H21" s="114"/>
    </row>
    <row r="22" spans="1:8" x14ac:dyDescent="0.25">
      <c r="A22" s="108"/>
      <c r="B22" s="97"/>
      <c r="C22" s="97"/>
      <c r="D22" s="114"/>
      <c r="E22" s="114"/>
      <c r="F22" s="114"/>
      <c r="G22" s="114"/>
      <c r="H22" s="114"/>
    </row>
    <row r="23" spans="1:8" x14ac:dyDescent="0.25">
      <c r="A23" s="105" t="s">
        <v>532</v>
      </c>
      <c r="B23" s="118">
        <f>B21-B14</f>
        <v>60871.999999999985</v>
      </c>
      <c r="C23" s="97" t="s">
        <v>207</v>
      </c>
      <c r="D23" s="114"/>
      <c r="E23" s="114"/>
      <c r="F23" s="114"/>
      <c r="G23" s="114"/>
      <c r="H23" s="114"/>
    </row>
    <row r="24" spans="1:8" ht="15.75" x14ac:dyDescent="0.25">
      <c r="A24" s="115"/>
      <c r="B24" s="117"/>
      <c r="C24" s="116"/>
      <c r="D24" s="114"/>
      <c r="E24" s="114"/>
      <c r="F24" s="114"/>
      <c r="G24" s="114"/>
      <c r="H24" s="114"/>
    </row>
    <row r="25" spans="1:8" ht="15.75" x14ac:dyDescent="0.25">
      <c r="A25" s="120" t="s">
        <v>510</v>
      </c>
      <c r="B25" s="117"/>
      <c r="C25" s="116"/>
      <c r="D25" s="114"/>
      <c r="E25" s="114"/>
      <c r="F25" s="114"/>
      <c r="G25" s="114"/>
      <c r="H25" s="114"/>
    </row>
    <row r="26" spans="1:8" x14ac:dyDescent="0.25">
      <c r="A26" s="114" t="s">
        <v>533</v>
      </c>
      <c r="B26" s="114"/>
      <c r="C26" s="114"/>
      <c r="D26" s="114"/>
      <c r="E26" s="114"/>
      <c r="F26" s="114"/>
      <c r="G26" s="114"/>
      <c r="H26" s="114"/>
    </row>
    <row r="27" spans="1:8" x14ac:dyDescent="0.25">
      <c r="A27" s="109" t="s">
        <v>706</v>
      </c>
      <c r="B27" s="114">
        <f>ROUND(B19/5000,0)*24</f>
        <v>168</v>
      </c>
      <c r="C27" s="114"/>
      <c r="D27" s="114"/>
      <c r="E27" s="114"/>
      <c r="F27" s="114"/>
      <c r="G27" s="114"/>
      <c r="H27" s="114"/>
    </row>
    <row r="28" spans="1:8" x14ac:dyDescent="0.25">
      <c r="A28" s="109" t="s">
        <v>534</v>
      </c>
      <c r="B28" s="121">
        <f>PV!B37+(PV!B38+PV!B39)/2+((B27/24)*PV!B23*(1+PV!B27)*(1+PV!B28))/South_Facade_PV_10S!B19</f>
        <v>1.6904506024096388</v>
      </c>
      <c r="C28" s="97" t="s">
        <v>296</v>
      </c>
      <c r="D28" s="114" t="s">
        <v>707</v>
      </c>
      <c r="E28" s="114"/>
      <c r="F28" s="114" t="s">
        <v>536</v>
      </c>
      <c r="G28" s="114"/>
      <c r="H28" s="114"/>
    </row>
    <row r="29" spans="1:8" x14ac:dyDescent="0.25">
      <c r="A29" s="109" t="s">
        <v>535</v>
      </c>
      <c r="B29" s="112">
        <f>PV!B20*(1+PV!B27)*(1+PV!B28)+(PV!B38+PV!B39)/2</f>
        <v>0.40472000000000002</v>
      </c>
      <c r="C29" s="97" t="s">
        <v>296</v>
      </c>
      <c r="D29" s="114"/>
      <c r="E29" s="114"/>
      <c r="F29" s="114" t="s">
        <v>536</v>
      </c>
      <c r="G29" s="114"/>
      <c r="H29" s="114"/>
    </row>
    <row r="32" spans="1:8" x14ac:dyDescent="0.25">
      <c r="B32" s="7"/>
    </row>
    <row r="33" spans="1:2" x14ac:dyDescent="0.25">
      <c r="B33" s="7"/>
    </row>
    <row r="34" spans="1:2" x14ac:dyDescent="0.25">
      <c r="B34" s="7"/>
    </row>
    <row r="35" spans="1:2" x14ac:dyDescent="0.25">
      <c r="B35" s="7"/>
    </row>
    <row r="36" spans="1:2" x14ac:dyDescent="0.25">
      <c r="B36" s="7"/>
    </row>
    <row r="41" spans="1:2" x14ac:dyDescent="0.25">
      <c r="A41" s="35"/>
    </row>
    <row r="55" spans="2:4" x14ac:dyDescent="0.25">
      <c r="B55" s="36"/>
      <c r="D55" s="36"/>
    </row>
    <row r="56" spans="2:4" x14ac:dyDescent="0.25">
      <c r="B56" s="36"/>
      <c r="D56" s="36"/>
    </row>
    <row r="57" spans="2:4" x14ac:dyDescent="0.25">
      <c r="B57" s="36"/>
      <c r="D57" s="36"/>
    </row>
    <row r="58" spans="2:4" x14ac:dyDescent="0.25">
      <c r="B58" s="36"/>
      <c r="D58" s="36"/>
    </row>
    <row r="59" spans="2:4" x14ac:dyDescent="0.25">
      <c r="B59" s="36"/>
      <c r="D59" s="36"/>
    </row>
    <row r="66" spans="1:2" x14ac:dyDescent="0.25">
      <c r="A66" s="39"/>
    </row>
    <row r="67" spans="1:2" x14ac:dyDescent="0.25">
      <c r="A67" s="39"/>
    </row>
    <row r="68" spans="1:2" x14ac:dyDescent="0.25">
      <c r="A68" s="39"/>
    </row>
    <row r="69" spans="1:2" x14ac:dyDescent="0.25">
      <c r="A69" s="39"/>
    </row>
    <row r="70" spans="1:2" x14ac:dyDescent="0.25">
      <c r="A70" s="39"/>
    </row>
    <row r="71" spans="1:2" x14ac:dyDescent="0.25">
      <c r="A71" s="39"/>
    </row>
    <row r="72" spans="1:2" x14ac:dyDescent="0.25">
      <c r="A72" s="39"/>
    </row>
    <row r="73" spans="1:2" x14ac:dyDescent="0.25">
      <c r="A73" s="39"/>
    </row>
    <row r="74" spans="1:2" x14ac:dyDescent="0.25">
      <c r="A74" s="39"/>
    </row>
    <row r="75" spans="1:2" x14ac:dyDescent="0.25">
      <c r="A75" s="39"/>
    </row>
    <row r="76" spans="1:2" x14ac:dyDescent="0.25">
      <c r="A76" s="39"/>
    </row>
    <row r="77" spans="1:2" x14ac:dyDescent="0.25">
      <c r="A77" s="39"/>
    </row>
    <row r="79" spans="1:2" x14ac:dyDescent="0.25">
      <c r="A79" s="35"/>
      <c r="B79" s="41"/>
    </row>
    <row r="80" spans="1:2" x14ac:dyDescent="0.25">
      <c r="A80" s="35"/>
      <c r="B80" s="36"/>
    </row>
    <row r="87" spans="1:5" x14ac:dyDescent="0.25">
      <c r="A87" s="48"/>
      <c r="B87" s="48"/>
      <c r="C87" s="48"/>
      <c r="D87" s="48"/>
      <c r="E87" s="48"/>
    </row>
    <row r="88" spans="1:5" x14ac:dyDescent="0.25">
      <c r="A88" s="48"/>
      <c r="B88" s="49"/>
      <c r="C88" s="49"/>
      <c r="D88" s="49"/>
      <c r="E88" s="49"/>
    </row>
    <row r="89" spans="1:5" x14ac:dyDescent="0.25">
      <c r="A89" s="48"/>
      <c r="B89" s="50"/>
      <c r="C89" s="50"/>
      <c r="D89" s="50"/>
      <c r="E89" s="50"/>
    </row>
    <row r="90" spans="1:5" x14ac:dyDescent="0.25">
      <c r="A90" s="48"/>
      <c r="B90" s="50"/>
      <c r="C90" s="50"/>
      <c r="D90" s="50"/>
      <c r="E90" s="50"/>
    </row>
    <row r="91" spans="1:5" x14ac:dyDescent="0.25">
      <c r="A91" s="48"/>
      <c r="B91" s="50"/>
      <c r="C91" s="50"/>
      <c r="D91" s="50"/>
      <c r="E91" s="50"/>
    </row>
    <row r="92" spans="1:5" x14ac:dyDescent="0.25">
      <c r="A92" s="48"/>
      <c r="B92" s="50"/>
      <c r="C92" s="50"/>
      <c r="D92" s="50"/>
      <c r="E92" s="50"/>
    </row>
    <row r="93" spans="1:5" x14ac:dyDescent="0.25">
      <c r="A93" s="48"/>
      <c r="B93" s="50"/>
      <c r="C93" s="50"/>
      <c r="D93" s="50"/>
      <c r="E93" s="50"/>
    </row>
    <row r="94" spans="1:5" x14ac:dyDescent="0.25">
      <c r="A94" s="48"/>
      <c r="B94" s="50"/>
      <c r="C94" s="50"/>
      <c r="D94" s="50"/>
      <c r="E94" s="50"/>
    </row>
    <row r="95" spans="1:5" x14ac:dyDescent="0.25">
      <c r="A95" s="51"/>
      <c r="B95" s="52"/>
      <c r="C95" s="52"/>
      <c r="D95" s="52"/>
      <c r="E95" s="52"/>
    </row>
    <row r="96" spans="1:5" x14ac:dyDescent="0.25">
      <c r="B96" s="40"/>
      <c r="C96" s="40"/>
      <c r="D96" s="40"/>
      <c r="E96" s="40"/>
    </row>
    <row r="97" spans="1:5" x14ac:dyDescent="0.25">
      <c r="B97" s="36"/>
      <c r="C97" s="36"/>
      <c r="D97" s="36"/>
      <c r="E97" s="36"/>
    </row>
    <row r="98" spans="1:5" x14ac:dyDescent="0.25">
      <c r="B98" s="40"/>
      <c r="C98" s="40"/>
      <c r="D98" s="40"/>
      <c r="E98" s="40"/>
    </row>
    <row r="99" spans="1:5" x14ac:dyDescent="0.25">
      <c r="B99" s="40"/>
      <c r="C99" s="40"/>
      <c r="D99" s="40"/>
      <c r="E99" s="40"/>
    </row>
    <row r="100" spans="1:5" x14ac:dyDescent="0.25">
      <c r="B100" s="40"/>
      <c r="C100" s="40"/>
      <c r="D100" s="40"/>
      <c r="E100" s="40"/>
    </row>
    <row r="101" spans="1:5" x14ac:dyDescent="0.25">
      <c r="A101" s="22"/>
      <c r="B101" s="53"/>
      <c r="C101" s="53"/>
      <c r="D101" s="53"/>
      <c r="E101" s="53"/>
    </row>
    <row r="102" spans="1:5" x14ac:dyDescent="0.25">
      <c r="B102" s="40"/>
      <c r="C102" s="40"/>
    </row>
    <row r="104" spans="1:5" x14ac:dyDescent="0.25">
      <c r="A104" s="7"/>
    </row>
    <row r="105" spans="1:5" x14ac:dyDescent="0.25">
      <c r="A105" s="32"/>
    </row>
    <row r="106" spans="1:5" x14ac:dyDescent="0.25">
      <c r="A106"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06"/>
  <sheetViews>
    <sheetView zoomScale="80" zoomScaleNormal="80" workbookViewId="0"/>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3" width="26.140625" customWidth="1"/>
    <col min="14" max="14" width="11.5703125" customWidth="1"/>
  </cols>
  <sheetData>
    <row r="1" spans="1:13" s="8" customFormat="1" x14ac:dyDescent="0.25">
      <c r="A1" s="8" t="s">
        <v>83</v>
      </c>
      <c r="B1" s="9" t="s">
        <v>544</v>
      </c>
    </row>
    <row r="2" spans="1:13" s="10" customFormat="1" x14ac:dyDescent="0.25">
      <c r="B2" s="11"/>
    </row>
    <row r="3" spans="1:13" ht="18" x14ac:dyDescent="0.35">
      <c r="A3" t="s">
        <v>85</v>
      </c>
      <c r="B3" t="s">
        <v>86</v>
      </c>
      <c r="C3" t="s">
        <v>87</v>
      </c>
      <c r="D3" t="s">
        <v>8</v>
      </c>
      <c r="E3" t="s">
        <v>10</v>
      </c>
      <c r="F3" t="s">
        <v>11</v>
      </c>
      <c r="G3" t="s">
        <v>27</v>
      </c>
      <c r="H3" t="s">
        <v>580</v>
      </c>
      <c r="I3" t="s">
        <v>581</v>
      </c>
      <c r="J3" t="s">
        <v>582</v>
      </c>
      <c r="K3" t="s">
        <v>141</v>
      </c>
      <c r="L3" t="s">
        <v>26</v>
      </c>
      <c r="M3" t="s">
        <v>585</v>
      </c>
    </row>
    <row r="4" spans="1:13" x14ac:dyDescent="0.25">
      <c r="A4" t="s">
        <v>545</v>
      </c>
      <c r="B4" s="2">
        <v>114.5</v>
      </c>
      <c r="C4">
        <f>Table4691113151733[[#This Row],[Specified qtty]]</f>
        <v>114.5</v>
      </c>
      <c r="D4" t="s">
        <v>20</v>
      </c>
      <c r="E4" s="2">
        <f>-0.459785*Table4691113151733[[#This Row],[Specified qtty]]</f>
        <v>-52.645382499999997</v>
      </c>
      <c r="F4" s="2"/>
      <c r="G4" s="2">
        <f>Table4691113151733[[#This Row],[REE (GJ/50 years)]]+Table4691113151733[[#This Row],[IEE (GJ)]]</f>
        <v>-52.645382499999997</v>
      </c>
      <c r="H4" s="2">
        <f>-31.926*Table4691113151733[[#This Row],[Delivered qtty]]</f>
        <v>-3655.5269999999996</v>
      </c>
      <c r="I4" s="2"/>
      <c r="J4" s="2">
        <f>Table4691113151733[[#This Row],[REGHG (kgCO2e)]]+Table4691113151733[[#This Row],[IEGHG (kgCO2e)]]</f>
        <v>-3655.5269999999996</v>
      </c>
      <c r="K4">
        <f>-31.926*Table4691113151733[[#This Row],[Specified qtty]]</f>
        <v>-3655.5269999999996</v>
      </c>
      <c r="L4" s="2"/>
      <c r="M4" s="2"/>
    </row>
    <row r="5" spans="1:13" x14ac:dyDescent="0.25">
      <c r="A5" t="s">
        <v>546</v>
      </c>
      <c r="B5" s="2">
        <f>114.5*0.0254</f>
        <v>2.9082999999999997</v>
      </c>
      <c r="C5">
        <f>Table4691113151733[[#This Row],[Specified qtty]]</f>
        <v>2.9082999999999997</v>
      </c>
      <c r="D5" t="s">
        <v>18</v>
      </c>
      <c r="E5" s="2">
        <f>2.581*Table4691113151733[[#This Row],[Specified qtty]]</f>
        <v>7.506322299999999</v>
      </c>
      <c r="F5" s="2">
        <f>Table4691113151733[[#This Row],[IEE (GJ)]]</f>
        <v>7.506322299999999</v>
      </c>
      <c r="G5" s="2">
        <f>Table4691113151733[[#This Row],[REE (GJ/50 years)]]+Table4691113151733[[#This Row],[IEE (GJ)]]</f>
        <v>15.012644599999998</v>
      </c>
      <c r="H5" s="2">
        <f>361.203*Table4691113151733[[#This Row],[Delivered qtty]]</f>
        <v>1050.4866848999998</v>
      </c>
      <c r="I5" s="2"/>
      <c r="J5" s="2">
        <f>Table4691113151733[[#This Row],[REGHG (kgCO2e)]]+Table4691113151733[[#This Row],[IEGHG (kgCO2e)]]</f>
        <v>1050.4866848999998</v>
      </c>
      <c r="K5" s="12"/>
      <c r="L5" s="2"/>
      <c r="M5" s="2"/>
    </row>
    <row r="6" spans="1:13" x14ac:dyDescent="0.25">
      <c r="B6" s="2"/>
      <c r="E6" s="2"/>
      <c r="F6" s="2"/>
      <c r="G6" s="2"/>
      <c r="H6" s="2"/>
      <c r="I6" s="2"/>
      <c r="J6" s="2">
        <f>Table4691113151733[[#This Row],[REGHG (kgCO2e)]]+Table4691113151733[[#This Row],[IEGHG (kgCO2e)]]</f>
        <v>0</v>
      </c>
      <c r="K6" s="13"/>
      <c r="L6" s="2"/>
      <c r="M6" s="2"/>
    </row>
    <row r="7" spans="1:13" x14ac:dyDescent="0.25">
      <c r="B7" s="2"/>
      <c r="E7" s="2"/>
      <c r="F7" s="2"/>
      <c r="G7" s="2"/>
      <c r="H7" s="2"/>
      <c r="I7" s="2"/>
      <c r="J7" s="2">
        <f>Table4691113151733[[#This Row],[REGHG (kgCO2e)]]+Table4691113151733[[#This Row],[IEGHG (kgCO2e)]]</f>
        <v>0</v>
      </c>
      <c r="K7" s="12"/>
      <c r="L7" s="2"/>
      <c r="M7" s="2"/>
    </row>
    <row r="8" spans="1:13" x14ac:dyDescent="0.25">
      <c r="B8" s="2"/>
      <c r="E8" s="2"/>
      <c r="F8" s="2"/>
      <c r="G8" s="2"/>
      <c r="H8" s="2"/>
      <c r="I8" s="2"/>
      <c r="J8" s="2">
        <f>Table4691113151733[[#This Row],[REGHG (kgCO2e)]]+Table4691113151733[[#This Row],[IEGHG (kgCO2e)]]</f>
        <v>0</v>
      </c>
      <c r="K8" s="12"/>
      <c r="L8" s="2"/>
      <c r="M8" s="2"/>
    </row>
    <row r="9" spans="1:13" x14ac:dyDescent="0.25">
      <c r="A9" s="7"/>
      <c r="B9" s="2"/>
      <c r="E9" s="45"/>
      <c r="F9" s="45"/>
      <c r="G9" s="45"/>
      <c r="H9" s="45"/>
      <c r="I9" s="45"/>
      <c r="J9" s="45">
        <f>Table4691113151733[[#This Row],[REGHG (kgCO2e)]]+Table4691113151733[[#This Row],[IEGHG (kgCO2e)]]</f>
        <v>0</v>
      </c>
      <c r="K9" s="13"/>
      <c r="L9" s="2"/>
      <c r="M9" s="2"/>
    </row>
    <row r="10" spans="1:13" x14ac:dyDescent="0.25">
      <c r="B10" s="2"/>
      <c r="E10" s="2"/>
      <c r="F10" s="2"/>
      <c r="G10" s="2"/>
      <c r="H10" s="2"/>
      <c r="I10" s="2"/>
      <c r="J10" s="2">
        <f>Table4691113151733[[#This Row],[REGHG (kgCO2e)]]+Table4691113151733[[#This Row],[IEGHG (kgCO2e)]]</f>
        <v>0</v>
      </c>
      <c r="K10" s="12"/>
      <c r="L10" s="2"/>
      <c r="M10" s="2"/>
    </row>
    <row r="11" spans="1:13" x14ac:dyDescent="0.25">
      <c r="F11" t="s">
        <v>94</v>
      </c>
      <c r="G11" s="6">
        <f>G4+G5</f>
        <v>-37.632737899999995</v>
      </c>
      <c r="H11" s="6"/>
      <c r="I11" s="6"/>
      <c r="J11" s="6">
        <f>J4+J5</f>
        <v>-2605.0403151</v>
      </c>
      <c r="L11" s="6">
        <f>SUM(L6:L10)</f>
        <v>0</v>
      </c>
      <c r="M11" s="6">
        <f>SUM(Table4691113151733[LCOPGHG (kgCO2e/50 years)])</f>
        <v>0</v>
      </c>
    </row>
    <row r="12" spans="1:13" x14ac:dyDescent="0.25">
      <c r="F12" t="s">
        <v>100</v>
      </c>
      <c r="G12" s="6">
        <f>G11+L11</f>
        <v>-37.632737899999995</v>
      </c>
      <c r="H12" s="6"/>
      <c r="I12" s="6"/>
      <c r="J12" s="6">
        <f>J11+M11</f>
        <v>-2605.0403151</v>
      </c>
    </row>
    <row r="14" spans="1:13" x14ac:dyDescent="0.25">
      <c r="A14" s="95" t="s">
        <v>458</v>
      </c>
      <c r="B14" s="95"/>
      <c r="C14" s="95"/>
      <c r="D14" s="95"/>
      <c r="E14" s="95"/>
      <c r="F14" s="95"/>
      <c r="G14" s="95"/>
      <c r="H14" s="95"/>
      <c r="I14" s="95"/>
      <c r="J14" s="95"/>
      <c r="K14" s="95"/>
    </row>
    <row r="15" spans="1:13" x14ac:dyDescent="0.25">
      <c r="A15" s="95" t="s">
        <v>459</v>
      </c>
      <c r="B15" s="103"/>
      <c r="C15" s="95">
        <v>114.5</v>
      </c>
      <c r="D15" s="95" t="s">
        <v>460</v>
      </c>
      <c r="E15" s="95"/>
      <c r="F15" s="95"/>
      <c r="G15" s="95"/>
      <c r="H15" s="95"/>
      <c r="I15" s="95"/>
      <c r="J15" s="95"/>
      <c r="K15" s="95"/>
    </row>
    <row r="16" spans="1:13" x14ac:dyDescent="0.25">
      <c r="A16" s="97" t="s">
        <v>461</v>
      </c>
      <c r="B16" s="97"/>
      <c r="C16" s="97">
        <v>25</v>
      </c>
      <c r="D16" s="97" t="s">
        <v>462</v>
      </c>
      <c r="E16" s="95" t="s">
        <v>463</v>
      </c>
      <c r="F16" s="95"/>
      <c r="G16" s="95"/>
      <c r="H16" s="95"/>
      <c r="I16" s="95"/>
      <c r="J16" s="95"/>
      <c r="K16" s="95"/>
    </row>
    <row r="17" spans="1:11" x14ac:dyDescent="0.25">
      <c r="A17" s="97"/>
      <c r="B17" s="97"/>
      <c r="C17" s="97"/>
      <c r="D17" s="97"/>
      <c r="E17" s="95" t="s">
        <v>469</v>
      </c>
      <c r="F17" s="95"/>
      <c r="G17" s="95"/>
      <c r="H17" s="95"/>
      <c r="I17" s="95"/>
      <c r="J17" s="95"/>
      <c r="K17" s="95"/>
    </row>
    <row r="18" spans="1:11" x14ac:dyDescent="0.25">
      <c r="A18" s="97"/>
      <c r="B18" s="97"/>
      <c r="C18" s="97"/>
      <c r="D18" s="97"/>
      <c r="E18" s="95" t="s">
        <v>470</v>
      </c>
      <c r="F18" s="95"/>
      <c r="G18" s="95"/>
      <c r="H18" s="95"/>
      <c r="I18" s="95"/>
      <c r="J18" s="95"/>
      <c r="K18" s="95"/>
    </row>
    <row r="19" spans="1:11" x14ac:dyDescent="0.25">
      <c r="A19" s="97"/>
      <c r="B19" s="97"/>
      <c r="C19" s="97"/>
      <c r="D19" s="97"/>
      <c r="E19" s="95"/>
      <c r="F19" s="95"/>
      <c r="G19" s="95"/>
      <c r="H19" s="95"/>
      <c r="I19" s="95"/>
      <c r="J19" s="95"/>
      <c r="K19" s="95"/>
    </row>
    <row r="20" spans="1:11" x14ac:dyDescent="0.25">
      <c r="A20" s="97" t="s">
        <v>464</v>
      </c>
      <c r="B20" s="97"/>
      <c r="C20" s="97">
        <f>SUM(C21:C23)</f>
        <v>23.5</v>
      </c>
      <c r="D20" s="97" t="s">
        <v>462</v>
      </c>
      <c r="E20" s="95" t="s">
        <v>468</v>
      </c>
      <c r="F20" s="95"/>
      <c r="G20" s="95"/>
      <c r="H20" s="95"/>
      <c r="I20" s="95"/>
      <c r="J20" s="95"/>
      <c r="K20" s="95"/>
    </row>
    <row r="21" spans="1:11" x14ac:dyDescent="0.25">
      <c r="A21" s="107" t="s">
        <v>465</v>
      </c>
      <c r="B21" s="95"/>
      <c r="C21" s="95">
        <v>15</v>
      </c>
      <c r="D21" s="95" t="s">
        <v>462</v>
      </c>
      <c r="E21" s="95" t="s">
        <v>473</v>
      </c>
      <c r="F21" s="95"/>
      <c r="G21" s="95"/>
      <c r="H21" s="95"/>
      <c r="I21" s="95"/>
      <c r="J21" s="95"/>
      <c r="K21" s="95"/>
    </row>
    <row r="22" spans="1:11" x14ac:dyDescent="0.25">
      <c r="A22" s="107" t="s">
        <v>466</v>
      </c>
      <c r="B22" s="95"/>
      <c r="C22" s="95">
        <v>5</v>
      </c>
      <c r="D22" s="95" t="s">
        <v>462</v>
      </c>
      <c r="E22" s="95"/>
      <c r="F22" s="95"/>
      <c r="G22" s="95"/>
      <c r="H22" s="95"/>
      <c r="I22" s="95"/>
      <c r="J22" s="95"/>
      <c r="K22" s="95"/>
    </row>
    <row r="23" spans="1:11" x14ac:dyDescent="0.25">
      <c r="A23" s="107" t="s">
        <v>467</v>
      </c>
      <c r="B23" s="95"/>
      <c r="C23" s="95">
        <v>3.5</v>
      </c>
      <c r="D23" s="95" t="s">
        <v>462</v>
      </c>
      <c r="E23" s="95"/>
      <c r="F23" s="95"/>
      <c r="G23" s="95"/>
      <c r="H23" s="95"/>
      <c r="I23" s="95"/>
      <c r="J23" s="95"/>
      <c r="K23" s="95"/>
    </row>
    <row r="24" spans="1:11" x14ac:dyDescent="0.25">
      <c r="A24" s="95"/>
      <c r="B24" s="95"/>
      <c r="C24" s="95"/>
      <c r="D24" s="95"/>
      <c r="E24" s="95"/>
      <c r="F24" s="95"/>
      <c r="G24" s="95"/>
      <c r="H24" s="95"/>
      <c r="I24" s="95"/>
      <c r="J24" s="95"/>
      <c r="K24" s="95"/>
    </row>
    <row r="25" spans="1:11" x14ac:dyDescent="0.25">
      <c r="A25" s="95" t="s">
        <v>471</v>
      </c>
      <c r="B25" s="95"/>
      <c r="C25" s="95"/>
      <c r="D25" s="95"/>
      <c r="E25" s="95"/>
      <c r="F25" s="95"/>
      <c r="G25" s="95"/>
      <c r="H25" s="95"/>
      <c r="I25" s="95"/>
      <c r="J25" s="95"/>
      <c r="K25" s="95"/>
    </row>
    <row r="26" spans="1:11" x14ac:dyDescent="0.25">
      <c r="A26" s="95" t="s">
        <v>472</v>
      </c>
      <c r="B26" s="95"/>
      <c r="C26" s="95"/>
      <c r="D26" s="95"/>
      <c r="E26" s="95"/>
      <c r="F26" s="95"/>
      <c r="G26" s="95"/>
      <c r="H26" s="95"/>
      <c r="I26" s="95"/>
      <c r="J26" s="95"/>
      <c r="K26" s="95"/>
    </row>
    <row r="27" spans="1:11" x14ac:dyDescent="0.25">
      <c r="A27" s="105"/>
      <c r="B27" s="97"/>
      <c r="C27" s="97"/>
      <c r="D27" s="95"/>
      <c r="E27" s="95"/>
      <c r="F27" s="95"/>
      <c r="G27" s="95"/>
      <c r="H27" s="95"/>
      <c r="I27" s="95"/>
      <c r="J27" s="95"/>
      <c r="K27" s="95"/>
    </row>
    <row r="28" spans="1:11" x14ac:dyDescent="0.25">
      <c r="A28" s="95" t="s">
        <v>474</v>
      </c>
      <c r="B28" s="95"/>
      <c r="C28" s="95"/>
      <c r="D28" s="95"/>
      <c r="E28" s="95"/>
      <c r="F28" s="95"/>
      <c r="G28" s="95"/>
      <c r="H28" s="95"/>
      <c r="I28" s="95"/>
      <c r="J28" s="95"/>
      <c r="K28" s="95"/>
    </row>
    <row r="29" spans="1:11" x14ac:dyDescent="0.25">
      <c r="A29" s="95" t="s">
        <v>475</v>
      </c>
      <c r="B29" s="95"/>
      <c r="C29" s="95"/>
      <c r="D29" s="95"/>
      <c r="E29" s="95"/>
      <c r="F29" s="95"/>
      <c r="G29" s="95"/>
      <c r="H29" s="95"/>
      <c r="I29" s="95"/>
      <c r="J29" s="95"/>
      <c r="K29" s="95"/>
    </row>
    <row r="32" spans="1:11" x14ac:dyDescent="0.25">
      <c r="B32" s="7"/>
    </row>
    <row r="33" spans="1:2" x14ac:dyDescent="0.25">
      <c r="B33" s="7"/>
    </row>
    <row r="34" spans="1:2" x14ac:dyDescent="0.25">
      <c r="B34" s="7"/>
    </row>
    <row r="35" spans="1:2" x14ac:dyDescent="0.25">
      <c r="B35" s="7"/>
    </row>
    <row r="36" spans="1:2" x14ac:dyDescent="0.25">
      <c r="B36" s="7"/>
    </row>
    <row r="41" spans="1:2" x14ac:dyDescent="0.25">
      <c r="A41" s="35"/>
    </row>
    <row r="55" spans="2:4" x14ac:dyDescent="0.25">
      <c r="B55" s="36"/>
      <c r="D55" s="36"/>
    </row>
    <row r="56" spans="2:4" x14ac:dyDescent="0.25">
      <c r="B56" s="36"/>
      <c r="D56" s="36"/>
    </row>
    <row r="57" spans="2:4" x14ac:dyDescent="0.25">
      <c r="B57" s="36"/>
      <c r="D57" s="36"/>
    </row>
    <row r="58" spans="2:4" x14ac:dyDescent="0.25">
      <c r="B58" s="36"/>
      <c r="D58" s="36"/>
    </row>
    <row r="59" spans="2:4" x14ac:dyDescent="0.25">
      <c r="B59" s="36"/>
      <c r="D59" s="36"/>
    </row>
    <row r="66" spans="1:2" x14ac:dyDescent="0.25">
      <c r="A66" s="39"/>
    </row>
    <row r="67" spans="1:2" x14ac:dyDescent="0.25">
      <c r="A67" s="39"/>
    </row>
    <row r="68" spans="1:2" x14ac:dyDescent="0.25">
      <c r="A68" s="39"/>
    </row>
    <row r="69" spans="1:2" x14ac:dyDescent="0.25">
      <c r="A69" s="39"/>
    </row>
    <row r="70" spans="1:2" x14ac:dyDescent="0.25">
      <c r="A70" s="39"/>
    </row>
    <row r="71" spans="1:2" x14ac:dyDescent="0.25">
      <c r="A71" s="39"/>
    </row>
    <row r="72" spans="1:2" x14ac:dyDescent="0.25">
      <c r="A72" s="39"/>
    </row>
    <row r="73" spans="1:2" x14ac:dyDescent="0.25">
      <c r="A73" s="39"/>
    </row>
    <row r="74" spans="1:2" x14ac:dyDescent="0.25">
      <c r="A74" s="39"/>
    </row>
    <row r="75" spans="1:2" x14ac:dyDescent="0.25">
      <c r="A75" s="39"/>
    </row>
    <row r="76" spans="1:2" x14ac:dyDescent="0.25">
      <c r="A76" s="39"/>
    </row>
    <row r="77" spans="1:2" x14ac:dyDescent="0.25">
      <c r="A77" s="39"/>
    </row>
    <row r="79" spans="1:2" x14ac:dyDescent="0.25">
      <c r="A79" s="35"/>
      <c r="B79" s="41"/>
    </row>
    <row r="80" spans="1:2" x14ac:dyDescent="0.25">
      <c r="A80" s="35"/>
      <c r="B80" s="36"/>
    </row>
    <row r="87" spans="1:5" x14ac:dyDescent="0.25">
      <c r="A87" s="48"/>
      <c r="B87" s="48"/>
      <c r="C87" s="48"/>
      <c r="D87" s="48"/>
      <c r="E87" s="48"/>
    </row>
    <row r="88" spans="1:5" x14ac:dyDescent="0.25">
      <c r="A88" s="48"/>
      <c r="B88" s="49"/>
      <c r="C88" s="49"/>
      <c r="D88" s="49"/>
      <c r="E88" s="49"/>
    </row>
    <row r="89" spans="1:5" x14ac:dyDescent="0.25">
      <c r="A89" s="48"/>
      <c r="B89" s="50"/>
      <c r="C89" s="50"/>
      <c r="D89" s="50"/>
      <c r="E89" s="50"/>
    </row>
    <row r="90" spans="1:5" x14ac:dyDescent="0.25">
      <c r="A90" s="48"/>
      <c r="B90" s="50"/>
      <c r="C90" s="50"/>
      <c r="D90" s="50"/>
      <c r="E90" s="50"/>
    </row>
    <row r="91" spans="1:5" x14ac:dyDescent="0.25">
      <c r="A91" s="48"/>
      <c r="B91" s="50"/>
      <c r="C91" s="50"/>
      <c r="D91" s="50"/>
      <c r="E91" s="50"/>
    </row>
    <row r="92" spans="1:5" x14ac:dyDescent="0.25">
      <c r="A92" s="48"/>
      <c r="B92" s="50"/>
      <c r="C92" s="50"/>
      <c r="D92" s="50"/>
      <c r="E92" s="50"/>
    </row>
    <row r="93" spans="1:5" x14ac:dyDescent="0.25">
      <c r="A93" s="48"/>
      <c r="B93" s="50"/>
      <c r="C93" s="50"/>
      <c r="D93" s="50"/>
      <c r="E93" s="50"/>
    </row>
    <row r="94" spans="1:5" x14ac:dyDescent="0.25">
      <c r="A94" s="48"/>
      <c r="B94" s="50"/>
      <c r="C94" s="50"/>
      <c r="D94" s="50"/>
      <c r="E94" s="50"/>
    </row>
    <row r="95" spans="1:5" x14ac:dyDescent="0.25">
      <c r="A95" s="51"/>
      <c r="B95" s="52"/>
      <c r="C95" s="52"/>
      <c r="D95" s="52"/>
      <c r="E95" s="52"/>
    </row>
    <row r="96" spans="1:5" x14ac:dyDescent="0.25">
      <c r="B96" s="40"/>
      <c r="C96" s="40"/>
      <c r="D96" s="40"/>
      <c r="E96" s="40"/>
    </row>
    <row r="97" spans="1:5" x14ac:dyDescent="0.25">
      <c r="B97" s="36"/>
      <c r="C97" s="36"/>
      <c r="D97" s="36"/>
      <c r="E97" s="36"/>
    </row>
    <row r="98" spans="1:5" x14ac:dyDescent="0.25">
      <c r="B98" s="40"/>
      <c r="C98" s="40"/>
      <c r="D98" s="40"/>
      <c r="E98" s="40"/>
    </row>
    <row r="99" spans="1:5" x14ac:dyDescent="0.25">
      <c r="B99" s="40"/>
      <c r="C99" s="40"/>
      <c r="D99" s="40"/>
      <c r="E99" s="40"/>
    </row>
    <row r="100" spans="1:5" x14ac:dyDescent="0.25">
      <c r="B100" s="40"/>
      <c r="C100" s="40"/>
      <c r="D100" s="40"/>
      <c r="E100" s="40"/>
    </row>
    <row r="101" spans="1:5" x14ac:dyDescent="0.25">
      <c r="A101" s="22"/>
      <c r="B101" s="53"/>
      <c r="C101" s="53"/>
      <c r="D101" s="53"/>
      <c r="E101" s="53"/>
    </row>
    <row r="102" spans="1:5" x14ac:dyDescent="0.25">
      <c r="B102" s="40"/>
      <c r="C102" s="40"/>
    </row>
    <row r="104" spans="1:5" x14ac:dyDescent="0.25">
      <c r="A104" s="7"/>
    </row>
    <row r="105" spans="1:5" x14ac:dyDescent="0.25">
      <c r="A105" s="32"/>
    </row>
    <row r="106" spans="1:5" x14ac:dyDescent="0.25">
      <c r="A106" s="32"/>
    </row>
  </sheetData>
  <conditionalFormatting sqref="L11:M11 G11:J12">
    <cfRule type="cellIs" dxfId="82" priority="1" operator="lessThan">
      <formula>0</formula>
    </cfRule>
    <cfRule type="cellIs" dxfId="81" priority="2"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36"/>
  <sheetViews>
    <sheetView zoomScale="80" zoomScaleNormal="80" workbookViewId="0"/>
  </sheetViews>
  <sheetFormatPr defaultRowHeight="15" x14ac:dyDescent="0.25"/>
  <cols>
    <col min="1" max="1" width="60.14062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3" width="26.140625" customWidth="1"/>
    <col min="14" max="14" width="11.5703125" customWidth="1"/>
  </cols>
  <sheetData>
    <row r="1" spans="1:13" s="8" customFormat="1" x14ac:dyDescent="0.25">
      <c r="A1" s="8" t="s">
        <v>83</v>
      </c>
      <c r="B1" s="9" t="s">
        <v>548</v>
      </c>
    </row>
    <row r="2" spans="1:13" s="10" customFormat="1" x14ac:dyDescent="0.25">
      <c r="B2" s="11"/>
    </row>
    <row r="3" spans="1:13" ht="18" x14ac:dyDescent="0.35">
      <c r="A3" t="s">
        <v>85</v>
      </c>
      <c r="B3" t="s">
        <v>86</v>
      </c>
      <c r="C3" t="s">
        <v>87</v>
      </c>
      <c r="D3" t="s">
        <v>8</v>
      </c>
      <c r="E3" t="s">
        <v>10</v>
      </c>
      <c r="F3" t="s">
        <v>11</v>
      </c>
      <c r="G3" t="s">
        <v>27</v>
      </c>
      <c r="H3" t="s">
        <v>580</v>
      </c>
      <c r="I3" t="s">
        <v>581</v>
      </c>
      <c r="J3" t="s">
        <v>582</v>
      </c>
      <c r="K3" t="s">
        <v>141</v>
      </c>
      <c r="L3" t="s">
        <v>26</v>
      </c>
      <c r="M3" t="s">
        <v>586</v>
      </c>
    </row>
    <row r="4" spans="1:13" x14ac:dyDescent="0.25">
      <c r="A4" t="s">
        <v>598</v>
      </c>
      <c r="B4" s="2">
        <v>19.43</v>
      </c>
      <c r="C4">
        <v>19.43</v>
      </c>
      <c r="D4" t="s">
        <v>20</v>
      </c>
      <c r="E4" s="2">
        <f>-0.31369*Table469111315173334[[#This Row],[Delivered qtty]]</f>
        <v>-6.0949967000000003</v>
      </c>
      <c r="F4" s="2">
        <f>-0.0782918149466192*Table469111315173334[[#This Row],[Delivered qtty]]</f>
        <v>-1.521209964412811</v>
      </c>
      <c r="G4" s="2">
        <f>Table469111315173334[[#This Row],[REE (GJ/50 years)]]+Table469111315173334[[#This Row],[IEE (GJ)]]</f>
        <v>-7.616206664412811</v>
      </c>
      <c r="H4" s="2">
        <f>-33.56883*Table469111315173334[[#This Row],[Delivered qtty]]</f>
        <v>-652.24236689999998</v>
      </c>
      <c r="I4" s="2">
        <f>-3.93831553973902*Table469111315173334[[#This Row],[Delivered qtty]]</f>
        <v>-76.521470937129152</v>
      </c>
      <c r="J4" s="2">
        <f>SUM(Table469111315173334[[#This Row],[IEGHG (kgCO2e)]:[REGHG (kgCO2e)]])</f>
        <v>-728.76383783712913</v>
      </c>
      <c r="L4" s="2"/>
      <c r="M4" s="2"/>
    </row>
    <row r="5" spans="1:13" x14ac:dyDescent="0.25">
      <c r="B5" s="2"/>
      <c r="E5" s="2"/>
      <c r="F5" s="2"/>
      <c r="G5" s="2">
        <f>Table469111315173334[[#This Row],[REE (GJ/50 years)]]+Table469111315173334[[#This Row],[IEE (GJ)]]</f>
        <v>0</v>
      </c>
      <c r="H5" s="2">
        <f>-33.56883*Table469111315173334[[#This Row],[Delivered qtty]]</f>
        <v>0</v>
      </c>
      <c r="I5" s="2">
        <f>-3.93831553973902*Table469111315173334[[#This Row],[Delivered qtty]]</f>
        <v>0</v>
      </c>
      <c r="J5" s="2">
        <f>SUM(Table469111315173334[[#This Row],[IEGHG (kgCO2e)]:[REGHG (kgCO2e)]])</f>
        <v>0</v>
      </c>
      <c r="K5" s="12"/>
      <c r="L5" s="2"/>
      <c r="M5" s="2"/>
    </row>
    <row r="6" spans="1:13" x14ac:dyDescent="0.25">
      <c r="B6" s="2"/>
      <c r="E6" s="2"/>
      <c r="F6" s="2"/>
      <c r="G6" s="2"/>
      <c r="H6" s="2">
        <f>-33.56883*Table469111315173334[[#This Row],[Delivered qtty]]</f>
        <v>0</v>
      </c>
      <c r="I6" s="2">
        <f>-3.93831553973902*Table469111315173334[[#This Row],[Delivered qtty]]</f>
        <v>0</v>
      </c>
      <c r="J6" s="2">
        <f>SUM(Table469111315173334[[#This Row],[IEGHG (kgCO2e)]:[REGHG (kgCO2e)]])</f>
        <v>0</v>
      </c>
      <c r="K6" s="13"/>
      <c r="L6" s="2"/>
      <c r="M6" s="2"/>
    </row>
    <row r="7" spans="1:13" x14ac:dyDescent="0.25">
      <c r="B7" s="2"/>
      <c r="E7" s="2"/>
      <c r="F7" s="2"/>
      <c r="G7" s="2"/>
      <c r="H7" s="2">
        <f>-33.56883*Table469111315173334[[#This Row],[Delivered qtty]]</f>
        <v>0</v>
      </c>
      <c r="I7" s="2">
        <f>-3.93831553973902*Table469111315173334[[#This Row],[Delivered qtty]]</f>
        <v>0</v>
      </c>
      <c r="J7" s="2">
        <f>SUM(Table469111315173334[[#This Row],[IEGHG (kgCO2e)]:[REGHG (kgCO2e)]])</f>
        <v>0</v>
      </c>
      <c r="K7" s="12"/>
      <c r="L7" s="2"/>
      <c r="M7" s="2"/>
    </row>
    <row r="8" spans="1:13" x14ac:dyDescent="0.25">
      <c r="B8" s="2"/>
      <c r="E8" s="2"/>
      <c r="F8" s="2"/>
      <c r="G8" s="2"/>
      <c r="H8" s="2">
        <f>-33.56883*Table469111315173334[[#This Row],[Delivered qtty]]</f>
        <v>0</v>
      </c>
      <c r="I8" s="2">
        <f>-3.93831553973902*Table469111315173334[[#This Row],[Delivered qtty]]</f>
        <v>0</v>
      </c>
      <c r="J8" s="2">
        <f>SUM(Table469111315173334[[#This Row],[IEGHG (kgCO2e)]:[REGHG (kgCO2e)]])</f>
        <v>0</v>
      </c>
      <c r="K8" s="12"/>
      <c r="L8" s="2"/>
      <c r="M8" s="2"/>
    </row>
    <row r="9" spans="1:13" x14ac:dyDescent="0.25">
      <c r="A9" s="7"/>
      <c r="B9" s="2"/>
      <c r="E9" s="45"/>
      <c r="F9" s="45"/>
      <c r="G9" s="45"/>
      <c r="H9" s="45">
        <f>-33.56883*Table469111315173334[[#This Row],[Delivered qtty]]</f>
        <v>0</v>
      </c>
      <c r="I9" s="45">
        <f>-3.93831553973902*Table469111315173334[[#This Row],[Delivered qtty]]</f>
        <v>0</v>
      </c>
      <c r="J9" s="45">
        <f>SUM(Table469111315173334[[#This Row],[IEGHG (kgCO2e)]:[REGHG (kgCO2e)]])</f>
        <v>0</v>
      </c>
      <c r="K9" s="13"/>
      <c r="L9" s="2"/>
      <c r="M9" s="2"/>
    </row>
    <row r="10" spans="1:13" x14ac:dyDescent="0.25">
      <c r="B10" s="2"/>
      <c r="E10" s="2"/>
      <c r="F10" s="2"/>
      <c r="G10" s="2"/>
      <c r="H10" s="2">
        <f>-33.56883*Table469111315173334[[#This Row],[Delivered qtty]]</f>
        <v>0</v>
      </c>
      <c r="I10" s="2">
        <f>-3.93831553973902*Table469111315173334[[#This Row],[Delivered qtty]]</f>
        <v>0</v>
      </c>
      <c r="J10" s="2">
        <f>SUM(Table469111315173334[[#This Row],[IEGHG (kgCO2e)]:[REGHG (kgCO2e)]])</f>
        <v>0</v>
      </c>
      <c r="K10" s="12"/>
      <c r="L10" s="2"/>
      <c r="M10" s="2"/>
    </row>
    <row r="11" spans="1:13" x14ac:dyDescent="0.25">
      <c r="F11" t="s">
        <v>94</v>
      </c>
      <c r="G11" s="6">
        <f>G4+G5</f>
        <v>-7.616206664412811</v>
      </c>
      <c r="H11" s="6"/>
      <c r="I11" s="6"/>
      <c r="J11" s="6">
        <f>SUM(Table469111315173334[LCEGHG (kgCO2e)])</f>
        <v>-728.76383783712913</v>
      </c>
      <c r="L11" s="6">
        <f>SUM(L6:L10)</f>
        <v>0</v>
      </c>
      <c r="M11" s="6">
        <f>SUM(Table469111315173334[LCOGHG (kgCO2e/50 years)])</f>
        <v>0</v>
      </c>
    </row>
    <row r="12" spans="1:13" x14ac:dyDescent="0.25">
      <c r="F12" t="s">
        <v>100</v>
      </c>
      <c r="G12" s="6">
        <f>G11+L11</f>
        <v>-7.616206664412811</v>
      </c>
      <c r="H12" s="6"/>
      <c r="I12" s="6"/>
      <c r="J12" s="6">
        <f>J11+M11</f>
        <v>-728.76383783712913</v>
      </c>
    </row>
    <row r="14" spans="1:13" x14ac:dyDescent="0.25">
      <c r="A14" s="95" t="s">
        <v>476</v>
      </c>
      <c r="B14" s="95"/>
      <c r="C14" s="95"/>
      <c r="D14" s="95"/>
      <c r="E14" s="95"/>
      <c r="F14" s="95"/>
      <c r="G14" s="95"/>
      <c r="H14" s="95"/>
      <c r="I14" s="95"/>
      <c r="J14" s="95"/>
      <c r="K14" s="95"/>
    </row>
    <row r="15" spans="1:13" x14ac:dyDescent="0.25">
      <c r="A15" s="95" t="s">
        <v>477</v>
      </c>
      <c r="B15" s="113">
        <f>6.7*2.9</f>
        <v>19.43</v>
      </c>
      <c r="C15" s="95" t="s">
        <v>460</v>
      </c>
      <c r="D15" s="95"/>
      <c r="E15" s="95"/>
      <c r="F15" s="95"/>
      <c r="G15" s="95"/>
      <c r="H15" s="95"/>
      <c r="I15" s="95"/>
      <c r="J15" s="95"/>
      <c r="K15" s="95"/>
    </row>
    <row r="16" spans="1:13" x14ac:dyDescent="0.25">
      <c r="A16" s="97" t="s">
        <v>479</v>
      </c>
      <c r="B16" s="97">
        <f>SUM(B17:B19)</f>
        <v>9.6999999999999993</v>
      </c>
      <c r="C16" s="97" t="s">
        <v>462</v>
      </c>
      <c r="D16" s="97"/>
      <c r="E16" s="95"/>
      <c r="F16" s="95"/>
      <c r="G16" s="95"/>
      <c r="H16" s="95"/>
      <c r="I16" s="95"/>
      <c r="J16" s="95"/>
      <c r="K16" s="95"/>
    </row>
    <row r="17" spans="1:11" x14ac:dyDescent="0.25">
      <c r="A17" s="109" t="s">
        <v>480</v>
      </c>
      <c r="B17" s="114">
        <f>13*10*0.04</f>
        <v>5.2</v>
      </c>
      <c r="C17" s="114" t="s">
        <v>462</v>
      </c>
      <c r="D17" s="97"/>
      <c r="E17" s="95"/>
      <c r="F17" s="95"/>
      <c r="G17" s="95"/>
      <c r="H17" s="95"/>
      <c r="I17" s="95"/>
      <c r="J17" s="95"/>
      <c r="K17" s="95"/>
    </row>
    <row r="18" spans="1:11" x14ac:dyDescent="0.25">
      <c r="A18" s="109" t="s">
        <v>481</v>
      </c>
      <c r="B18" s="114">
        <v>1</v>
      </c>
      <c r="C18" s="114" t="s">
        <v>462</v>
      </c>
      <c r="D18" s="97"/>
      <c r="E18" s="95"/>
      <c r="F18" s="95"/>
      <c r="G18" s="95"/>
      <c r="H18" s="95"/>
      <c r="I18" s="95"/>
      <c r="J18" s="95"/>
      <c r="K18" s="95"/>
    </row>
    <row r="19" spans="1:11" x14ac:dyDescent="0.25">
      <c r="A19" s="109" t="s">
        <v>482</v>
      </c>
      <c r="B19" s="114">
        <v>3.5</v>
      </c>
      <c r="C19" s="114" t="s">
        <v>462</v>
      </c>
      <c r="D19" s="114"/>
      <c r="E19" s="114"/>
      <c r="F19" s="114"/>
      <c r="G19" s="114"/>
      <c r="H19" s="114"/>
      <c r="I19" s="114"/>
      <c r="J19" s="114"/>
      <c r="K19" s="114"/>
    </row>
    <row r="20" spans="1:11" x14ac:dyDescent="0.25">
      <c r="A20" s="108" t="s">
        <v>478</v>
      </c>
      <c r="B20" s="97">
        <f>B16*B15</f>
        <v>188.47099999999998</v>
      </c>
      <c r="C20" s="97" t="s">
        <v>207</v>
      </c>
      <c r="D20" s="114"/>
      <c r="E20" s="114"/>
      <c r="F20" s="114"/>
      <c r="G20" s="114"/>
      <c r="H20" s="114"/>
      <c r="I20" s="114"/>
      <c r="J20" s="114"/>
      <c r="K20" s="114"/>
    </row>
    <row r="21" spans="1:11" x14ac:dyDescent="0.25">
      <c r="A21" s="97" t="s">
        <v>483</v>
      </c>
      <c r="B21" s="97">
        <f>SUM(B22:B23)</f>
        <v>4.5</v>
      </c>
      <c r="C21" s="97" t="s">
        <v>462</v>
      </c>
      <c r="D21" s="114"/>
      <c r="E21" s="114"/>
      <c r="F21" s="114"/>
      <c r="G21" s="114"/>
      <c r="H21" s="114"/>
      <c r="I21" s="114"/>
      <c r="J21" s="114"/>
      <c r="K21" s="114"/>
    </row>
    <row r="22" spans="1:11" x14ac:dyDescent="0.25">
      <c r="A22" s="109" t="s">
        <v>481</v>
      </c>
      <c r="B22" s="114">
        <v>1.5</v>
      </c>
      <c r="C22" s="114" t="s">
        <v>462</v>
      </c>
      <c r="D22" s="114"/>
      <c r="E22" s="114"/>
      <c r="F22" s="114"/>
      <c r="G22" s="114"/>
      <c r="H22" s="114"/>
      <c r="I22" s="114"/>
      <c r="J22" s="114"/>
      <c r="K22" s="114"/>
    </row>
    <row r="23" spans="1:11" x14ac:dyDescent="0.25">
      <c r="A23" s="109" t="s">
        <v>482</v>
      </c>
      <c r="B23" s="114">
        <v>3</v>
      </c>
      <c r="C23" s="114" t="s">
        <v>462</v>
      </c>
      <c r="D23" s="114"/>
      <c r="E23" s="114"/>
      <c r="F23" s="114"/>
      <c r="G23" s="114"/>
      <c r="H23" s="114"/>
      <c r="I23" s="114"/>
      <c r="J23" s="114"/>
      <c r="K23" s="114"/>
    </row>
    <row r="24" spans="1:11" x14ac:dyDescent="0.25">
      <c r="A24" s="108" t="s">
        <v>484</v>
      </c>
      <c r="B24" s="97">
        <f>B21*B15*2</f>
        <v>174.87</v>
      </c>
      <c r="C24" s="97" t="s">
        <v>207</v>
      </c>
      <c r="D24" s="114"/>
      <c r="E24" s="114"/>
      <c r="F24" s="114"/>
      <c r="G24" s="114"/>
      <c r="H24" s="114"/>
      <c r="I24" s="114"/>
      <c r="J24" s="114"/>
      <c r="K24" s="114"/>
    </row>
    <row r="25" spans="1:11" x14ac:dyDescent="0.25">
      <c r="A25" s="108" t="s">
        <v>486</v>
      </c>
      <c r="B25" s="97">
        <v>5.5</v>
      </c>
      <c r="C25" s="114" t="s">
        <v>462</v>
      </c>
      <c r="D25" s="114"/>
      <c r="E25" s="114"/>
      <c r="F25" s="114"/>
      <c r="G25" s="114"/>
      <c r="H25" s="114"/>
      <c r="I25" s="114"/>
      <c r="J25" s="114"/>
      <c r="K25" s="114"/>
    </row>
    <row r="26" spans="1:11" x14ac:dyDescent="0.25">
      <c r="A26" s="108" t="s">
        <v>499</v>
      </c>
      <c r="B26" s="97">
        <f>B25*B15</f>
        <v>106.86499999999999</v>
      </c>
      <c r="C26" s="97" t="s">
        <v>207</v>
      </c>
      <c r="D26" s="114"/>
      <c r="E26" s="114"/>
      <c r="F26" s="114"/>
      <c r="G26" s="114"/>
      <c r="H26" s="114"/>
      <c r="I26" s="114"/>
      <c r="J26" s="114"/>
      <c r="K26" s="114"/>
    </row>
    <row r="27" spans="1:11" x14ac:dyDescent="0.25">
      <c r="A27" s="108" t="s">
        <v>500</v>
      </c>
      <c r="B27" s="97">
        <f>STAMPED_CONC!$C$20*B15</f>
        <v>456.60500000000002</v>
      </c>
      <c r="C27" s="97" t="s">
        <v>207</v>
      </c>
      <c r="D27" s="114" t="s">
        <v>501</v>
      </c>
      <c r="E27" s="114"/>
      <c r="F27" s="114"/>
      <c r="G27" s="114"/>
      <c r="H27" s="114"/>
      <c r="I27" s="114"/>
      <c r="J27" s="114"/>
      <c r="K27" s="114"/>
    </row>
    <row r="28" spans="1:11" x14ac:dyDescent="0.25">
      <c r="A28" s="108" t="s">
        <v>488</v>
      </c>
      <c r="B28" s="97">
        <f>11*5</f>
        <v>55</v>
      </c>
      <c r="C28" s="97" t="s">
        <v>207</v>
      </c>
      <c r="D28" s="114" t="s">
        <v>489</v>
      </c>
      <c r="E28" s="114"/>
      <c r="F28" s="114"/>
      <c r="G28" s="114"/>
      <c r="H28" s="114"/>
      <c r="I28" s="114"/>
      <c r="J28" s="114"/>
      <c r="K28" s="114"/>
    </row>
    <row r="29" spans="1:11" x14ac:dyDescent="0.25">
      <c r="A29" s="97" t="s">
        <v>485</v>
      </c>
      <c r="B29" s="97">
        <v>250</v>
      </c>
      <c r="C29" s="97" t="s">
        <v>207</v>
      </c>
      <c r="D29" s="114" t="s">
        <v>487</v>
      </c>
      <c r="E29" s="114"/>
      <c r="F29" s="114"/>
      <c r="G29" s="114"/>
      <c r="H29" s="114"/>
      <c r="I29" s="114"/>
      <c r="J29" s="114"/>
      <c r="K29" s="114"/>
    </row>
    <row r="30" spans="1:11" x14ac:dyDescent="0.25">
      <c r="A30" s="105" t="s">
        <v>497</v>
      </c>
      <c r="B30" s="118">
        <f>B20+B24+B29+B26+B28+B27</f>
        <v>1231.8110000000001</v>
      </c>
      <c r="C30" s="97" t="s">
        <v>207</v>
      </c>
      <c r="D30" s="114"/>
      <c r="E30" s="114"/>
      <c r="F30" s="114"/>
      <c r="G30" s="114"/>
      <c r="H30" s="114"/>
      <c r="I30" s="114"/>
      <c r="J30" s="114"/>
      <c r="K30" s="114"/>
    </row>
    <row r="31" spans="1:11" ht="15.75" x14ac:dyDescent="0.25">
      <c r="A31" s="115"/>
      <c r="B31" s="117"/>
      <c r="C31" s="116"/>
      <c r="D31" s="114"/>
      <c r="E31" s="114"/>
      <c r="F31" s="114"/>
      <c r="G31" s="114"/>
      <c r="H31" s="114"/>
      <c r="I31" s="114"/>
      <c r="J31" s="114"/>
      <c r="K31" s="114"/>
    </row>
    <row r="32" spans="1:11" x14ac:dyDescent="0.25">
      <c r="A32" s="114" t="s">
        <v>498</v>
      </c>
      <c r="B32" s="114"/>
      <c r="C32" s="114"/>
      <c r="D32" s="114"/>
      <c r="E32" s="114"/>
      <c r="F32" s="114"/>
      <c r="G32" s="114"/>
      <c r="H32" s="114"/>
      <c r="I32" s="114"/>
      <c r="J32" s="114"/>
      <c r="K32" s="114"/>
    </row>
    <row r="33" spans="1:11" x14ac:dyDescent="0.25">
      <c r="A33" s="114" t="s">
        <v>490</v>
      </c>
      <c r="B33" s="114"/>
      <c r="C33" s="114"/>
      <c r="D33" s="114"/>
      <c r="E33" s="114"/>
      <c r="F33" s="114"/>
      <c r="G33" s="114"/>
      <c r="H33" s="114"/>
      <c r="I33" s="114"/>
      <c r="J33" s="114"/>
      <c r="K33" s="114"/>
    </row>
    <row r="34" spans="1:11" x14ac:dyDescent="0.25">
      <c r="A34" s="97" t="s">
        <v>656</v>
      </c>
      <c r="B34" s="114"/>
      <c r="C34" s="114"/>
      <c r="D34" s="114"/>
      <c r="E34" s="114"/>
      <c r="F34" s="114"/>
      <c r="G34" s="114"/>
      <c r="H34" s="114"/>
      <c r="I34" s="114"/>
      <c r="J34" s="114"/>
      <c r="K34" s="114"/>
    </row>
    <row r="35" spans="1:11" x14ac:dyDescent="0.25">
      <c r="A35" s="105" t="s">
        <v>491</v>
      </c>
      <c r="B35" s="118">
        <f>($B$26*(1+'NPV Calculation'!$C$1)^10)/(1+'NPV Calculation'!$C$2)^10</f>
        <v>49.552137881742922</v>
      </c>
      <c r="C35" s="97" t="s">
        <v>207</v>
      </c>
      <c r="D35" s="114"/>
      <c r="E35" s="114"/>
      <c r="F35" s="114"/>
      <c r="G35" s="114"/>
      <c r="H35" s="114"/>
      <c r="I35" s="114"/>
      <c r="J35" s="114"/>
      <c r="K35" s="114"/>
    </row>
    <row r="36" spans="1:11" x14ac:dyDescent="0.25">
      <c r="A36" s="105" t="s">
        <v>492</v>
      </c>
      <c r="B36" s="118">
        <f>($B$26*(1+'NPV Calculation'!$C$1)^20)/(1+'NPV Calculation'!$C$2)^20</f>
        <v>22.976787242326886</v>
      </c>
      <c r="C36" s="97" t="s">
        <v>207</v>
      </c>
      <c r="D36" s="114"/>
      <c r="E36" s="114"/>
      <c r="F36" s="114"/>
      <c r="G36" s="114"/>
      <c r="H36" s="114"/>
      <c r="I36" s="114"/>
      <c r="J36" s="114"/>
      <c r="K36" s="114"/>
    </row>
    <row r="37" spans="1:11" x14ac:dyDescent="0.25">
      <c r="A37" s="105" t="s">
        <v>493</v>
      </c>
      <c r="B37" s="118">
        <f>($B$26*(1+'NPV Calculation'!$C$1)^30)/(1+'NPV Calculation'!$C$2)^30</f>
        <v>10.654086272505065</v>
      </c>
      <c r="C37" s="97" t="s">
        <v>207</v>
      </c>
      <c r="D37" s="114"/>
      <c r="E37" s="114"/>
      <c r="F37" s="114"/>
      <c r="G37" s="114"/>
      <c r="H37" s="114"/>
      <c r="I37" s="114"/>
      <c r="J37" s="114"/>
      <c r="K37" s="114"/>
    </row>
    <row r="38" spans="1:11" x14ac:dyDescent="0.25">
      <c r="A38" s="105" t="s">
        <v>494</v>
      </c>
      <c r="B38" s="118">
        <f>($B$26*(1+'NPV Calculation'!$C$1)^40)/(1+'NPV Calculation'!$C$2)^40</f>
        <v>4.9401838953741235</v>
      </c>
      <c r="C38" s="97" t="s">
        <v>207</v>
      </c>
      <c r="D38" s="114"/>
      <c r="E38" s="114"/>
      <c r="F38" s="114"/>
      <c r="G38" s="114"/>
      <c r="H38" s="114"/>
      <c r="I38" s="114"/>
      <c r="J38" s="114"/>
      <c r="K38" s="114"/>
    </row>
    <row r="39" spans="1:11" x14ac:dyDescent="0.25">
      <c r="A39" s="105" t="s">
        <v>495</v>
      </c>
      <c r="B39" s="118">
        <f>SUM(B35:B38)</f>
        <v>88.123195291949003</v>
      </c>
      <c r="C39" s="97" t="s">
        <v>207</v>
      </c>
      <c r="D39" s="114"/>
      <c r="E39" s="114"/>
      <c r="F39" s="114"/>
      <c r="G39" s="114"/>
      <c r="H39" s="114"/>
      <c r="I39" s="114"/>
      <c r="J39" s="114"/>
      <c r="K39" s="114"/>
    </row>
    <row r="40" spans="1:11" x14ac:dyDescent="0.25">
      <c r="A40" s="105"/>
      <c r="B40" s="118"/>
      <c r="C40" s="97"/>
      <c r="D40" s="114"/>
      <c r="E40" s="114"/>
      <c r="F40" s="114"/>
      <c r="G40" s="114"/>
      <c r="H40" s="114"/>
      <c r="I40" s="114"/>
      <c r="J40" s="114"/>
      <c r="K40" s="114"/>
    </row>
    <row r="41" spans="1:11" ht="15.75" x14ac:dyDescent="0.25">
      <c r="A41" s="115" t="s">
        <v>496</v>
      </c>
      <c r="B41" s="117">
        <f>B30+B39</f>
        <v>1319.9341952919492</v>
      </c>
      <c r="C41" s="116" t="s">
        <v>207</v>
      </c>
      <c r="D41" s="114"/>
      <c r="E41" s="114"/>
      <c r="F41" s="114"/>
      <c r="G41" s="114"/>
      <c r="H41" s="114"/>
      <c r="I41" s="114"/>
      <c r="J41" s="114"/>
      <c r="K41" s="114"/>
    </row>
    <row r="42" spans="1:11" ht="15.75" x14ac:dyDescent="0.25">
      <c r="A42" s="115"/>
      <c r="B42" s="117"/>
      <c r="C42" s="116"/>
      <c r="D42" s="114"/>
      <c r="E42" s="114"/>
      <c r="F42" s="114"/>
      <c r="G42" s="114"/>
      <c r="H42" s="114"/>
      <c r="I42" s="114"/>
      <c r="J42" s="114"/>
      <c r="K42" s="114"/>
    </row>
    <row r="43" spans="1:11" x14ac:dyDescent="0.25">
      <c r="A43" s="97" t="s">
        <v>657</v>
      </c>
      <c r="B43" s="114"/>
      <c r="C43" s="114"/>
      <c r="D43" s="114"/>
      <c r="E43" s="114"/>
      <c r="F43" s="114"/>
      <c r="G43" s="114"/>
      <c r="H43" s="114"/>
      <c r="I43" s="114"/>
      <c r="J43" s="114"/>
      <c r="K43" s="114"/>
    </row>
    <row r="44" spans="1:11" x14ac:dyDescent="0.25">
      <c r="A44" s="105" t="s">
        <v>658</v>
      </c>
      <c r="B44" s="118">
        <f>($B$26*(1+'NPV Calculation low'!$C$1)^10)/(1+'NPV Calculation low'!$C$2)^10</f>
        <v>96.931506078015786</v>
      </c>
      <c r="C44" s="97" t="s">
        <v>207</v>
      </c>
      <c r="D44" s="114"/>
      <c r="E44" s="114"/>
      <c r="F44" s="114"/>
      <c r="G44" s="114"/>
      <c r="H44" s="114"/>
      <c r="I44" s="114"/>
      <c r="J44" s="114"/>
      <c r="K44" s="114"/>
    </row>
    <row r="45" spans="1:11" x14ac:dyDescent="0.25">
      <c r="A45" s="105" t="s">
        <v>659</v>
      </c>
      <c r="B45" s="118">
        <f>($B$26*(1+'NPV Calculation low'!$C$1)^20)/(1+'NPV Calculation low'!$C$2)^20</f>
        <v>87.921366869905128</v>
      </c>
      <c r="C45" s="97" t="s">
        <v>207</v>
      </c>
      <c r="D45" s="114"/>
      <c r="E45" s="114"/>
      <c r="F45" s="114"/>
      <c r="G45" s="114"/>
      <c r="H45" s="114"/>
      <c r="I45" s="114"/>
      <c r="J45" s="114"/>
      <c r="K45" s="114"/>
    </row>
    <row r="46" spans="1:11" x14ac:dyDescent="0.25">
      <c r="A46" s="105" t="s">
        <v>660</v>
      </c>
      <c r="B46" s="118">
        <f>($B$26*(1+'NPV Calculation low'!$C$1)^30)/(1+'NPV Calculation low'!$C$2)^30</f>
        <v>79.74875316649667</v>
      </c>
      <c r="C46" s="97" t="s">
        <v>207</v>
      </c>
      <c r="D46" s="114"/>
      <c r="E46" s="114"/>
      <c r="F46" s="114"/>
      <c r="G46" s="114"/>
      <c r="H46" s="114"/>
      <c r="I46" s="114"/>
      <c r="J46" s="114"/>
      <c r="K46" s="114"/>
    </row>
    <row r="47" spans="1:11" x14ac:dyDescent="0.25">
      <c r="A47" s="105" t="s">
        <v>661</v>
      </c>
      <c r="B47" s="118">
        <f>($B$26*(1+'NPV Calculation low'!$C$1)^40)/(1+'NPV Calculation low'!$C$2)^40</f>
        <v>72.335813898586579</v>
      </c>
      <c r="C47" s="97" t="s">
        <v>207</v>
      </c>
      <c r="D47" s="114"/>
      <c r="E47" s="114"/>
      <c r="F47" s="114"/>
      <c r="G47" s="114"/>
      <c r="H47" s="114"/>
      <c r="I47" s="114"/>
      <c r="J47" s="114"/>
      <c r="K47" s="114"/>
    </row>
    <row r="48" spans="1:11" x14ac:dyDescent="0.25">
      <c r="A48" s="105" t="s">
        <v>662</v>
      </c>
      <c r="B48" s="118">
        <f>SUM(B44:B47)</f>
        <v>336.93744001300416</v>
      </c>
      <c r="C48" s="97" t="s">
        <v>207</v>
      </c>
      <c r="D48" s="114"/>
      <c r="E48" s="114"/>
      <c r="F48" s="114"/>
      <c r="G48" s="114"/>
      <c r="H48" s="114"/>
      <c r="I48" s="114"/>
      <c r="J48" s="114"/>
      <c r="K48" s="114"/>
    </row>
    <row r="49" spans="1:11" x14ac:dyDescent="0.25">
      <c r="A49" s="105"/>
      <c r="B49" s="118"/>
      <c r="C49" s="97"/>
      <c r="D49" s="114"/>
      <c r="E49" s="114"/>
      <c r="F49" s="114"/>
      <c r="G49" s="114"/>
      <c r="H49" s="114"/>
      <c r="I49" s="114"/>
      <c r="J49" s="114"/>
      <c r="K49" s="114"/>
    </row>
    <row r="50" spans="1:11" ht="15.75" x14ac:dyDescent="0.25">
      <c r="A50" s="115" t="s">
        <v>671</v>
      </c>
      <c r="B50" s="117">
        <f>B30+B48</f>
        <v>1568.7484400130043</v>
      </c>
      <c r="C50" s="116" t="s">
        <v>207</v>
      </c>
      <c r="D50" s="114"/>
      <c r="E50" s="114"/>
      <c r="F50" s="114"/>
      <c r="G50" s="114"/>
      <c r="H50" s="114"/>
      <c r="I50" s="114"/>
      <c r="J50" s="114"/>
      <c r="K50" s="114"/>
    </row>
    <row r="51" spans="1:11" ht="15.75" x14ac:dyDescent="0.25">
      <c r="A51" s="115"/>
      <c r="B51" s="117"/>
      <c r="C51" s="116"/>
      <c r="D51" s="114"/>
      <c r="E51" s="114"/>
      <c r="F51" s="114"/>
      <c r="G51" s="114"/>
      <c r="H51" s="114"/>
      <c r="I51" s="114"/>
      <c r="J51" s="114"/>
      <c r="K51" s="114"/>
    </row>
    <row r="52" spans="1:11" x14ac:dyDescent="0.25">
      <c r="A52" s="97" t="s">
        <v>664</v>
      </c>
      <c r="B52" s="114"/>
      <c r="C52" s="114"/>
      <c r="D52" s="114"/>
      <c r="E52" s="114"/>
      <c r="F52" s="114"/>
      <c r="G52" s="114"/>
      <c r="H52" s="114"/>
      <c r="I52" s="114"/>
      <c r="J52" s="114"/>
      <c r="K52" s="114"/>
    </row>
    <row r="53" spans="1:11" x14ac:dyDescent="0.25">
      <c r="A53" s="105" t="s">
        <v>665</v>
      </c>
      <c r="B53" s="118">
        <f>($B$26*(1+'NPV Calculation high'!$C$1)^10)/(1+'NPV Calculation high'!$C$2)^10</f>
        <v>40.631426807676029</v>
      </c>
      <c r="C53" s="97" t="s">
        <v>207</v>
      </c>
      <c r="D53" s="114"/>
      <c r="E53" s="114"/>
      <c r="F53" s="114"/>
      <c r="G53" s="114"/>
      <c r="H53" s="114"/>
      <c r="I53" s="114"/>
      <c r="J53" s="114"/>
      <c r="K53" s="114"/>
    </row>
    <row r="54" spans="1:11" x14ac:dyDescent="0.25">
      <c r="A54" s="105" t="s">
        <v>666</v>
      </c>
      <c r="B54" s="118">
        <f>($B$26*(1+'NPV Calculation high'!$C$1)^20)/(1+'NPV Calculation high'!$C$2)^20</f>
        <v>15.44858320710742</v>
      </c>
      <c r="C54" s="97" t="s">
        <v>207</v>
      </c>
      <c r="D54" s="114"/>
      <c r="E54" s="114"/>
      <c r="F54" s="114"/>
      <c r="G54" s="114"/>
      <c r="H54" s="114"/>
      <c r="I54" s="114"/>
      <c r="J54" s="114"/>
      <c r="K54" s="114"/>
    </row>
    <row r="55" spans="1:11" x14ac:dyDescent="0.25">
      <c r="A55" s="105" t="s">
        <v>667</v>
      </c>
      <c r="B55" s="118">
        <f>($B$26*(1+'NPV Calculation high'!$C$1)^30)/(1+'NPV Calculation high'!$C$2)^30</f>
        <v>5.8737470440450839</v>
      </c>
      <c r="C55" s="97" t="s">
        <v>207</v>
      </c>
      <c r="D55" s="114"/>
      <c r="E55" s="114"/>
      <c r="F55" s="114"/>
      <c r="G55" s="114"/>
      <c r="H55" s="114"/>
      <c r="I55" s="114"/>
      <c r="J55" s="114"/>
      <c r="K55" s="114"/>
    </row>
    <row r="56" spans="1:11" x14ac:dyDescent="0.25">
      <c r="A56" s="105" t="s">
        <v>668</v>
      </c>
      <c r="B56" s="118">
        <f>($B$26*(1+'NPV Calculation high'!$C$1)^40)/(1+'NPV Calculation high'!$C$2)^40</f>
        <v>2.2332730370740776</v>
      </c>
      <c r="C56" s="97" t="s">
        <v>207</v>
      </c>
      <c r="D56" s="114"/>
      <c r="E56" s="114"/>
      <c r="F56" s="114"/>
      <c r="G56" s="114"/>
      <c r="H56" s="114"/>
      <c r="I56" s="114"/>
      <c r="J56" s="114"/>
      <c r="K56" s="114"/>
    </row>
    <row r="57" spans="1:11" x14ac:dyDescent="0.25">
      <c r="A57" s="105" t="s">
        <v>669</v>
      </c>
      <c r="B57" s="118">
        <f>SUM(B53:B56)</f>
        <v>64.1870300959026</v>
      </c>
      <c r="C57" s="97" t="s">
        <v>207</v>
      </c>
      <c r="D57" s="114"/>
      <c r="E57" s="114"/>
      <c r="F57" s="114"/>
      <c r="G57" s="114"/>
      <c r="H57" s="114"/>
      <c r="I57" s="114"/>
      <c r="J57" s="114"/>
      <c r="K57" s="114"/>
    </row>
    <row r="58" spans="1:11" x14ac:dyDescent="0.25">
      <c r="A58" s="105"/>
      <c r="B58" s="118"/>
      <c r="C58" s="97"/>
      <c r="D58" s="114"/>
      <c r="E58" s="114"/>
      <c r="F58" s="114"/>
      <c r="G58" s="114"/>
      <c r="H58" s="114"/>
      <c r="I58" s="114"/>
      <c r="J58" s="114"/>
      <c r="K58" s="114"/>
    </row>
    <row r="59" spans="1:11" ht="15.75" x14ac:dyDescent="0.25">
      <c r="A59" s="115" t="s">
        <v>672</v>
      </c>
      <c r="B59" s="117">
        <f>B30+B57</f>
        <v>1295.9980300959028</v>
      </c>
      <c r="C59" s="116" t="s">
        <v>207</v>
      </c>
      <c r="D59" s="114"/>
      <c r="E59" s="114"/>
      <c r="F59" s="114"/>
      <c r="G59" s="114"/>
      <c r="H59" s="114"/>
      <c r="I59" s="114"/>
      <c r="J59" s="114"/>
      <c r="K59" s="114"/>
    </row>
    <row r="62" spans="1:11" x14ac:dyDescent="0.25">
      <c r="B62" s="7"/>
    </row>
    <row r="63" spans="1:11" x14ac:dyDescent="0.25">
      <c r="B63" s="7"/>
    </row>
    <row r="64" spans="1:11" x14ac:dyDescent="0.25">
      <c r="B64" s="7"/>
    </row>
    <row r="65" spans="1:2" x14ac:dyDescent="0.25">
      <c r="B65" s="7"/>
    </row>
    <row r="66" spans="1:2" x14ac:dyDescent="0.25">
      <c r="B66" s="7"/>
    </row>
    <row r="71" spans="1:2" x14ac:dyDescent="0.25">
      <c r="A71" s="35"/>
    </row>
    <row r="85" spans="1:4" x14ac:dyDescent="0.25">
      <c r="B85" s="36"/>
      <c r="D85" s="36"/>
    </row>
    <row r="86" spans="1:4" x14ac:dyDescent="0.25">
      <c r="B86" s="36"/>
      <c r="D86" s="36"/>
    </row>
    <row r="87" spans="1:4" x14ac:dyDescent="0.25">
      <c r="B87" s="36"/>
      <c r="D87" s="36"/>
    </row>
    <row r="88" spans="1:4" x14ac:dyDescent="0.25">
      <c r="B88" s="36"/>
      <c r="D88" s="36"/>
    </row>
    <row r="89" spans="1:4" x14ac:dyDescent="0.25">
      <c r="B89" s="36"/>
      <c r="D89" s="36"/>
    </row>
    <row r="96" spans="1:4" x14ac:dyDescent="0.25">
      <c r="A96" s="39"/>
    </row>
    <row r="97" spans="1:2" x14ac:dyDescent="0.25">
      <c r="A97" s="39"/>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row r="104" spans="1:2" x14ac:dyDescent="0.25">
      <c r="A104" s="39"/>
    </row>
    <row r="105" spans="1:2" x14ac:dyDescent="0.25">
      <c r="A105" s="39"/>
    </row>
    <row r="106" spans="1:2" x14ac:dyDescent="0.25">
      <c r="A106" s="39"/>
    </row>
    <row r="107" spans="1:2" x14ac:dyDescent="0.25">
      <c r="A107" s="39"/>
    </row>
    <row r="109" spans="1:2" x14ac:dyDescent="0.25">
      <c r="A109" s="35"/>
      <c r="B109" s="41"/>
    </row>
    <row r="110" spans="1:2" x14ac:dyDescent="0.25">
      <c r="A110" s="35"/>
      <c r="B110" s="36"/>
    </row>
    <row r="117" spans="1:5" x14ac:dyDescent="0.25">
      <c r="A117" s="48"/>
      <c r="B117" s="48"/>
      <c r="C117" s="48"/>
      <c r="D117" s="48"/>
      <c r="E117" s="48"/>
    </row>
    <row r="118" spans="1:5" x14ac:dyDescent="0.25">
      <c r="A118" s="48"/>
      <c r="B118" s="49"/>
      <c r="C118" s="49"/>
      <c r="D118" s="49"/>
      <c r="E118" s="49"/>
    </row>
    <row r="119" spans="1:5" x14ac:dyDescent="0.25">
      <c r="A119" s="48"/>
      <c r="B119" s="50"/>
      <c r="C119" s="50"/>
      <c r="D119" s="50"/>
      <c r="E119" s="50"/>
    </row>
    <row r="120" spans="1:5" x14ac:dyDescent="0.25">
      <c r="A120" s="48"/>
      <c r="B120" s="50"/>
      <c r="C120" s="50"/>
      <c r="D120" s="50"/>
      <c r="E120" s="50"/>
    </row>
    <row r="121" spans="1:5" x14ac:dyDescent="0.25">
      <c r="A121" s="48"/>
      <c r="B121" s="50"/>
      <c r="C121" s="50"/>
      <c r="D121" s="50"/>
      <c r="E121" s="50"/>
    </row>
    <row r="122" spans="1:5" x14ac:dyDescent="0.25">
      <c r="A122" s="48"/>
      <c r="B122" s="50"/>
      <c r="C122" s="50"/>
      <c r="D122" s="50"/>
      <c r="E122" s="50"/>
    </row>
    <row r="123" spans="1:5" x14ac:dyDescent="0.25">
      <c r="A123" s="48"/>
      <c r="B123" s="50"/>
      <c r="C123" s="50"/>
      <c r="D123" s="50"/>
      <c r="E123" s="50"/>
    </row>
    <row r="124" spans="1:5" x14ac:dyDescent="0.25">
      <c r="A124" s="48"/>
      <c r="B124" s="50"/>
      <c r="C124" s="50"/>
      <c r="D124" s="50"/>
      <c r="E124" s="50"/>
    </row>
    <row r="125" spans="1:5" x14ac:dyDescent="0.25">
      <c r="A125" s="51"/>
      <c r="B125" s="52"/>
      <c r="C125" s="52"/>
      <c r="D125" s="52"/>
      <c r="E125" s="52"/>
    </row>
    <row r="126" spans="1:5" x14ac:dyDescent="0.25">
      <c r="B126" s="40"/>
      <c r="C126" s="40"/>
      <c r="D126" s="40"/>
      <c r="E126" s="40"/>
    </row>
    <row r="127" spans="1:5" x14ac:dyDescent="0.25">
      <c r="B127" s="36"/>
      <c r="C127" s="36"/>
      <c r="D127" s="36"/>
      <c r="E127" s="36"/>
    </row>
    <row r="128" spans="1:5" x14ac:dyDescent="0.25">
      <c r="B128" s="40"/>
      <c r="C128" s="40"/>
      <c r="D128" s="40"/>
      <c r="E128" s="40"/>
    </row>
    <row r="129" spans="1:5" x14ac:dyDescent="0.25">
      <c r="B129" s="40"/>
      <c r="C129" s="40"/>
      <c r="D129" s="40"/>
      <c r="E129" s="40"/>
    </row>
    <row r="130" spans="1:5" x14ac:dyDescent="0.25">
      <c r="B130" s="40"/>
      <c r="C130" s="40"/>
      <c r="D130" s="40"/>
      <c r="E130" s="40"/>
    </row>
    <row r="131" spans="1:5" x14ac:dyDescent="0.25">
      <c r="A131" s="22"/>
      <c r="B131" s="53"/>
      <c r="C131" s="53"/>
      <c r="D131" s="53"/>
      <c r="E131" s="53"/>
    </row>
    <row r="132" spans="1:5" x14ac:dyDescent="0.25">
      <c r="B132" s="40"/>
      <c r="C132" s="40"/>
    </row>
    <row r="134" spans="1:5" x14ac:dyDescent="0.25">
      <c r="A134" s="7"/>
    </row>
    <row r="135" spans="1:5" x14ac:dyDescent="0.25">
      <c r="A135" s="32"/>
    </row>
    <row r="136" spans="1:5" x14ac:dyDescent="0.25">
      <c r="A136" s="32"/>
    </row>
  </sheetData>
  <conditionalFormatting sqref="L11:M11 G11:J12">
    <cfRule type="cellIs" dxfId="70" priority="1" operator="lessThan">
      <formula>0</formula>
    </cfRule>
    <cfRule type="cellIs" dxfId="69" priority="2"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36"/>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2" width="26.140625" customWidth="1"/>
    <col min="13" max="13" width="11.5703125" customWidth="1"/>
  </cols>
  <sheetData>
    <row r="1" spans="1:12" s="8" customFormat="1" x14ac:dyDescent="0.25">
      <c r="A1" s="8" t="s">
        <v>83</v>
      </c>
      <c r="B1" s="9" t="s">
        <v>862</v>
      </c>
    </row>
    <row r="2" spans="1:12" s="10" customFormat="1" x14ac:dyDescent="0.25">
      <c r="B2" s="11"/>
    </row>
    <row r="3" spans="1:12" ht="18" x14ac:dyDescent="0.35">
      <c r="A3" t="s">
        <v>85</v>
      </c>
      <c r="B3" t="s">
        <v>86</v>
      </c>
      <c r="C3" t="s">
        <v>87</v>
      </c>
      <c r="D3" t="s">
        <v>8</v>
      </c>
      <c r="E3" t="s">
        <v>10</v>
      </c>
      <c r="F3" t="s">
        <v>11</v>
      </c>
      <c r="G3" t="s">
        <v>27</v>
      </c>
      <c r="H3" t="s">
        <v>580</v>
      </c>
      <c r="I3" t="s">
        <v>581</v>
      </c>
      <c r="J3" t="s">
        <v>582</v>
      </c>
      <c r="K3" t="s">
        <v>141</v>
      </c>
      <c r="L3" t="s">
        <v>26</v>
      </c>
    </row>
    <row r="4" spans="1:12" x14ac:dyDescent="0.25">
      <c r="A4" t="s">
        <v>587</v>
      </c>
      <c r="B4" s="2">
        <v>22.388000000000002</v>
      </c>
      <c r="C4">
        <f>Table46911131517333435[[#This Row],[Specified qtty]]</f>
        <v>22.388000000000002</v>
      </c>
      <c r="D4" t="s">
        <v>20</v>
      </c>
      <c r="E4" s="2">
        <f>0.196262453*Table46911131517333435[[#This Row],[Delivered qtty]]</f>
        <v>4.3939237977640007</v>
      </c>
      <c r="F4" s="2"/>
      <c r="G4" s="2">
        <f>Table46911131517333435[[#This Row],[REE (GJ/50 years)]]+Table46911131517333435[[#This Row],[IEE (GJ)]]</f>
        <v>4.3939237977640007</v>
      </c>
      <c r="H4" s="2">
        <f>18.0237325*Table46911131517333435[[#This Row],[Delivered qtty]]</f>
        <v>403.51532321000008</v>
      </c>
      <c r="I4" s="2"/>
      <c r="J4" s="2">
        <f>Table46911131517333435[[#This Row],[REGHG (kgCO2e)]]+Table46911131517333435[[#This Row],[IEGHG (kgCO2e)]]</f>
        <v>403.51532321000008</v>
      </c>
      <c r="L4" s="2"/>
    </row>
    <row r="5" spans="1:12" x14ac:dyDescent="0.25">
      <c r="A5" t="s">
        <v>588</v>
      </c>
      <c r="B5" s="2">
        <v>1.5</v>
      </c>
      <c r="C5">
        <v>1.5</v>
      </c>
      <c r="D5" t="s">
        <v>20</v>
      </c>
      <c r="E5" s="2">
        <f>2.8*Table46911131517333435[[#This Row],[Delivered qtty]]</f>
        <v>4.1999999999999993</v>
      </c>
      <c r="F5" s="2">
        <f>Table46911131517333435[[#This Row],[IEE (GJ)]]</f>
        <v>4.1999999999999993</v>
      </c>
      <c r="G5" s="2">
        <f>Table46911131517333435[[#This Row],[REE (GJ/50 years)]]+Table46911131517333435[[#This Row],[IEE (GJ)]]</f>
        <v>8.3999999999999986</v>
      </c>
      <c r="H5" s="2">
        <f>225.9*Table46911131517333435[[#This Row],[Delivered qtty]]</f>
        <v>338.85</v>
      </c>
      <c r="I5" s="2">
        <f>Table46911131517333435[[#This Row],[IEGHG (kgCO2e)]]</f>
        <v>338.85</v>
      </c>
      <c r="J5" s="2">
        <f>Table46911131517333435[[#This Row],[REGHG (kgCO2e)]]+Table46911131517333435[[#This Row],[IEGHG (kgCO2e)]]</f>
        <v>677.7</v>
      </c>
      <c r="K5" s="12"/>
      <c r="L5" s="2"/>
    </row>
    <row r="6" spans="1:12" x14ac:dyDescent="0.25">
      <c r="A6" t="s">
        <v>589</v>
      </c>
      <c r="B6" s="2">
        <f>B4</f>
        <v>22.388000000000002</v>
      </c>
      <c r="C6">
        <f>Table46911131517333435[[#This Row],[Specified qtty]]</f>
        <v>22.388000000000002</v>
      </c>
      <c r="D6" t="s">
        <v>20</v>
      </c>
      <c r="E6" s="2">
        <f>0.111430586*Table46911131517333435[[#This Row],[Specified qtty]]</f>
        <v>2.4947079593680002</v>
      </c>
      <c r="F6" s="2">
        <f>Table46911131517333435[[#This Row],[IEE (GJ)]]*4</f>
        <v>9.9788318374720006</v>
      </c>
      <c r="G6" s="2">
        <f>Table46911131517333435[[#This Row],[REE (GJ/50 years)]]+Table46911131517333435[[#This Row],[IEE (GJ)]]</f>
        <v>12.473539796840001</v>
      </c>
      <c r="H6" s="2">
        <f>6.767992486*Table46911131517333435[[#This Row],[Delivered qtty]]</f>
        <v>151.52181577656802</v>
      </c>
      <c r="I6" s="2">
        <f>Table46911131517333435[[#This Row],[IEGHG (kgCO2e)]]*4</f>
        <v>606.08726310627208</v>
      </c>
      <c r="J6" s="2">
        <f>Table46911131517333435[[#This Row],[REGHG (kgCO2e)]]+Table46911131517333435[[#This Row],[IEGHG (kgCO2e)]]</f>
        <v>757.60907888284009</v>
      </c>
      <c r="K6" s="13"/>
      <c r="L6" s="2"/>
    </row>
    <row r="7" spans="1:12" x14ac:dyDescent="0.25">
      <c r="A7" t="s">
        <v>590</v>
      </c>
      <c r="B7" s="2">
        <f>B4*0.02</f>
        <v>0.44776000000000005</v>
      </c>
      <c r="C7">
        <f>Table46911131517333435[[#This Row],[Specified qtty]]</f>
        <v>0.44776000000000005</v>
      </c>
      <c r="D7" t="s">
        <v>18</v>
      </c>
      <c r="E7" s="2">
        <f>6.24*Table46911131517333435[[#This Row],[Delivered qtty]]</f>
        <v>2.7940224000000002</v>
      </c>
      <c r="F7" s="2"/>
      <c r="G7" s="2">
        <f>Table46911131517333435[[#This Row],[REE (GJ/50 years)]]+Table46911131517333435[[#This Row],[IEE (GJ)]]</f>
        <v>2.7940224000000002</v>
      </c>
      <c r="H7" s="2">
        <f>555.16*Table46911131517333435[[#This Row],[Delivered qtty]]</f>
        <v>248.57844160000002</v>
      </c>
      <c r="I7" s="2"/>
      <c r="J7" s="2">
        <f>Table46911131517333435[[#This Row],[REGHG (kgCO2e)]]+Table46911131517333435[[#This Row],[IEGHG (kgCO2e)]]</f>
        <v>248.57844160000002</v>
      </c>
      <c r="K7" s="12"/>
      <c r="L7" s="2"/>
    </row>
    <row r="8" spans="1:12" x14ac:dyDescent="0.25">
      <c r="B8" s="2"/>
      <c r="E8" s="2"/>
      <c r="F8" s="2"/>
      <c r="G8" s="2">
        <f>Table46911131517333435[[#This Row],[REE (GJ/50 years)]]+Table46911131517333435[[#This Row],[IEE (GJ)]]</f>
        <v>0</v>
      </c>
      <c r="H8" s="2">
        <f>18.0237325*Table46911131517333435[[#This Row],[Delivered qtty]]</f>
        <v>0</v>
      </c>
      <c r="I8" s="2">
        <f>Table46911131517333435[[#This Row],[IEGHG (kgCO2e)]]</f>
        <v>0</v>
      </c>
      <c r="J8" s="2">
        <f>Table46911131517333435[[#This Row],[REGHG (kgCO2e)]]+Table46911131517333435[[#This Row],[IEGHG (kgCO2e)]]</f>
        <v>0</v>
      </c>
      <c r="K8" s="12"/>
      <c r="L8" s="2"/>
    </row>
    <row r="9" spans="1:12" x14ac:dyDescent="0.25">
      <c r="A9" s="7"/>
      <c r="B9" s="2"/>
      <c r="E9" s="45"/>
      <c r="F9" s="45"/>
      <c r="G9" s="2">
        <f>Table46911131517333435[[#This Row],[REE (GJ/50 years)]]+Table46911131517333435[[#This Row],[IEE (GJ)]]</f>
        <v>0</v>
      </c>
      <c r="H9" s="45">
        <f>18.0237325*Table46911131517333435[[#This Row],[Delivered qtty]]</f>
        <v>0</v>
      </c>
      <c r="I9" s="45">
        <f>Table46911131517333435[[#This Row],[IEGHG (kgCO2e)]]</f>
        <v>0</v>
      </c>
      <c r="J9" s="45">
        <f>Table46911131517333435[[#This Row],[REGHG (kgCO2e)]]+Table46911131517333435[[#This Row],[IEGHG (kgCO2e)]]</f>
        <v>0</v>
      </c>
      <c r="K9" s="13"/>
      <c r="L9" s="2"/>
    </row>
    <row r="10" spans="1:12" x14ac:dyDescent="0.25">
      <c r="B10" s="2"/>
      <c r="E10" s="2"/>
      <c r="F10" s="2"/>
      <c r="G10" s="2">
        <f>Table46911131517333435[[#This Row],[REE (GJ/50 years)]]+Table46911131517333435[[#This Row],[IEE (GJ)]]</f>
        <v>0</v>
      </c>
      <c r="H10" s="2">
        <f>18.0237325*Table46911131517333435[[#This Row],[Delivered qtty]]</f>
        <v>0</v>
      </c>
      <c r="I10" s="2">
        <f>Table46911131517333435[[#This Row],[IEGHG (kgCO2e)]]</f>
        <v>0</v>
      </c>
      <c r="J10" s="2">
        <f>Table46911131517333435[[#This Row],[REGHG (kgCO2e)]]+Table46911131517333435[[#This Row],[IEGHG (kgCO2e)]]</f>
        <v>0</v>
      </c>
      <c r="K10" s="12"/>
      <c r="L10" s="2"/>
    </row>
    <row r="11" spans="1:12" x14ac:dyDescent="0.25">
      <c r="F11" t="s">
        <v>94</v>
      </c>
      <c r="G11" s="6">
        <f>G4+G5</f>
        <v>12.793923797763998</v>
      </c>
      <c r="H11" s="6"/>
      <c r="I11" s="6"/>
      <c r="J11" s="6">
        <f>SUM(Table46911131517333435[LCEGHG (kgCO2e)])</f>
        <v>2087.4028436928402</v>
      </c>
      <c r="L11" s="6">
        <f>SUM(L6:L10)</f>
        <v>0</v>
      </c>
    </row>
    <row r="12" spans="1:12" x14ac:dyDescent="0.25">
      <c r="F12" t="s">
        <v>100</v>
      </c>
      <c r="G12" s="6">
        <f>G11+L11</f>
        <v>12.793923797763998</v>
      </c>
      <c r="H12" s="6"/>
      <c r="I12" s="6"/>
      <c r="J12" s="6"/>
    </row>
    <row r="14" spans="1:12" x14ac:dyDescent="0.25">
      <c r="A14" s="95" t="s">
        <v>502</v>
      </c>
      <c r="B14" s="95"/>
      <c r="C14" s="95"/>
      <c r="D14" s="95"/>
      <c r="E14" s="95"/>
      <c r="F14" s="95"/>
      <c r="G14" s="95"/>
      <c r="H14" s="95"/>
      <c r="I14" s="95"/>
      <c r="J14" s="95"/>
      <c r="K14" s="95"/>
    </row>
    <row r="15" spans="1:12" x14ac:dyDescent="0.25">
      <c r="A15" s="106" t="s">
        <v>511</v>
      </c>
      <c r="B15" s="95"/>
      <c r="C15" s="95"/>
      <c r="D15" s="95"/>
      <c r="E15" s="95"/>
      <c r="F15" s="95"/>
      <c r="G15" s="95"/>
      <c r="H15" s="95"/>
      <c r="I15" s="95"/>
      <c r="J15" s="95"/>
      <c r="K15" s="95"/>
    </row>
    <row r="16" spans="1:12" x14ac:dyDescent="0.25">
      <c r="A16" s="95" t="s">
        <v>503</v>
      </c>
      <c r="B16" s="113">
        <f>7.72*2.9</f>
        <v>22.387999999999998</v>
      </c>
      <c r="C16" s="95" t="s">
        <v>460</v>
      </c>
      <c r="D16" s="95"/>
      <c r="E16" s="95"/>
      <c r="F16" s="95"/>
      <c r="G16" s="95"/>
      <c r="H16" s="95"/>
      <c r="I16" s="95"/>
      <c r="J16" s="95"/>
      <c r="K16" s="95"/>
    </row>
    <row r="17" spans="1:11" x14ac:dyDescent="0.25">
      <c r="A17" s="97" t="s">
        <v>504</v>
      </c>
      <c r="B17" s="97">
        <f>SUM(B18:B20)</f>
        <v>9.6999999999999993</v>
      </c>
      <c r="C17" s="97" t="s">
        <v>462</v>
      </c>
      <c r="D17" s="97"/>
      <c r="E17" s="95"/>
      <c r="F17" s="95"/>
      <c r="G17" s="95"/>
      <c r="H17" s="95"/>
      <c r="I17" s="95"/>
      <c r="J17" s="95"/>
      <c r="K17" s="95"/>
    </row>
    <row r="18" spans="1:11" x14ac:dyDescent="0.25">
      <c r="A18" s="109" t="s">
        <v>480</v>
      </c>
      <c r="B18" s="114">
        <f>13*10*0.04</f>
        <v>5.2</v>
      </c>
      <c r="C18" s="114" t="s">
        <v>462</v>
      </c>
      <c r="D18" s="97"/>
      <c r="E18" s="95"/>
      <c r="F18" s="95"/>
      <c r="G18" s="95"/>
      <c r="H18" s="95"/>
      <c r="I18" s="95"/>
      <c r="J18" s="95"/>
      <c r="K18" s="95"/>
    </row>
    <row r="19" spans="1:11" x14ac:dyDescent="0.25">
      <c r="A19" s="109" t="s">
        <v>481</v>
      </c>
      <c r="B19" s="114">
        <v>1</v>
      </c>
      <c r="C19" s="114" t="s">
        <v>462</v>
      </c>
      <c r="D19" s="97"/>
      <c r="E19" s="95"/>
      <c r="F19" s="95"/>
      <c r="G19" s="95"/>
      <c r="H19" s="95"/>
      <c r="I19" s="95"/>
      <c r="J19" s="95"/>
      <c r="K19" s="95"/>
    </row>
    <row r="20" spans="1:11" x14ac:dyDescent="0.25">
      <c r="A20" s="109" t="s">
        <v>482</v>
      </c>
      <c r="B20" s="114">
        <v>3.5</v>
      </c>
      <c r="C20" s="114" t="s">
        <v>462</v>
      </c>
      <c r="D20" s="114"/>
      <c r="E20" s="114"/>
      <c r="F20" s="114"/>
      <c r="G20" s="114"/>
      <c r="H20" s="114"/>
      <c r="I20" s="114"/>
      <c r="J20" s="114"/>
      <c r="K20" s="114"/>
    </row>
    <row r="21" spans="1:11" x14ac:dyDescent="0.25">
      <c r="A21" s="108" t="s">
        <v>505</v>
      </c>
      <c r="B21" s="97">
        <f>B17*B16</f>
        <v>217.16359999999997</v>
      </c>
      <c r="C21" s="97" t="s">
        <v>207</v>
      </c>
      <c r="D21" s="114"/>
      <c r="E21" s="114"/>
      <c r="F21" s="114"/>
      <c r="G21" s="114"/>
      <c r="H21" s="114"/>
      <c r="I21" s="114"/>
      <c r="J21" s="114"/>
      <c r="K21" s="114"/>
    </row>
    <row r="22" spans="1:11" x14ac:dyDescent="0.25">
      <c r="A22" s="97" t="s">
        <v>483</v>
      </c>
      <c r="B22" s="97">
        <f>SUM(B23:B24)</f>
        <v>4.5</v>
      </c>
      <c r="C22" s="97" t="s">
        <v>462</v>
      </c>
      <c r="D22" s="114"/>
      <c r="E22" s="114"/>
      <c r="F22" s="114"/>
      <c r="G22" s="114"/>
      <c r="H22" s="114"/>
      <c r="I22" s="114"/>
      <c r="J22" s="114"/>
      <c r="K22" s="114"/>
    </row>
    <row r="23" spans="1:11" x14ac:dyDescent="0.25">
      <c r="A23" s="109" t="s">
        <v>481</v>
      </c>
      <c r="B23" s="114">
        <v>1.5</v>
      </c>
      <c r="C23" s="114" t="s">
        <v>462</v>
      </c>
      <c r="D23" s="114"/>
      <c r="E23" s="114"/>
      <c r="F23" s="114"/>
      <c r="G23" s="114"/>
      <c r="H23" s="114"/>
      <c r="I23" s="114"/>
      <c r="J23" s="114"/>
      <c r="K23" s="114"/>
    </row>
    <row r="24" spans="1:11" x14ac:dyDescent="0.25">
      <c r="A24" s="109" t="s">
        <v>482</v>
      </c>
      <c r="B24" s="114">
        <v>3</v>
      </c>
      <c r="C24" s="114" t="s">
        <v>462</v>
      </c>
      <c r="D24" s="114"/>
      <c r="E24" s="114"/>
      <c r="F24" s="114"/>
      <c r="G24" s="114"/>
      <c r="H24" s="114"/>
      <c r="I24" s="114"/>
      <c r="J24" s="114"/>
      <c r="K24" s="114"/>
    </row>
    <row r="25" spans="1:11" x14ac:dyDescent="0.25">
      <c r="A25" s="108" t="s">
        <v>506</v>
      </c>
      <c r="B25" s="97">
        <f>B22*B16</f>
        <v>100.746</v>
      </c>
      <c r="C25" s="97" t="s">
        <v>207</v>
      </c>
      <c r="D25" s="114"/>
      <c r="E25" s="114"/>
      <c r="F25" s="114"/>
      <c r="G25" s="114"/>
      <c r="H25" s="114"/>
      <c r="I25" s="114"/>
      <c r="J25" s="114"/>
      <c r="K25" s="114"/>
    </row>
    <row r="26" spans="1:11" x14ac:dyDescent="0.25">
      <c r="A26" s="108" t="s">
        <v>486</v>
      </c>
      <c r="B26" s="97">
        <v>6</v>
      </c>
      <c r="C26" s="114" t="s">
        <v>462</v>
      </c>
      <c r="D26" s="114"/>
      <c r="E26" s="114"/>
      <c r="F26" s="114"/>
      <c r="G26" s="114"/>
      <c r="H26" s="114"/>
      <c r="I26" s="114"/>
      <c r="J26" s="114"/>
      <c r="K26" s="114"/>
    </row>
    <row r="27" spans="1:11" x14ac:dyDescent="0.25">
      <c r="A27" s="108" t="s">
        <v>499</v>
      </c>
      <c r="B27" s="97">
        <f>B26*B16</f>
        <v>134.32799999999997</v>
      </c>
      <c r="C27" s="97" t="s">
        <v>207</v>
      </c>
      <c r="D27" s="114"/>
      <c r="E27" s="114"/>
      <c r="F27" s="114"/>
      <c r="G27" s="114"/>
      <c r="H27" s="114"/>
      <c r="I27" s="114"/>
      <c r="J27" s="114"/>
      <c r="K27" s="114"/>
    </row>
    <row r="28" spans="1:11" x14ac:dyDescent="0.25">
      <c r="A28" s="108" t="s">
        <v>508</v>
      </c>
      <c r="B28" s="97">
        <v>250</v>
      </c>
      <c r="C28" s="97" t="s">
        <v>207</v>
      </c>
      <c r="D28" s="114"/>
      <c r="E28" s="114"/>
      <c r="F28" s="114"/>
      <c r="G28" s="114"/>
      <c r="H28" s="114"/>
      <c r="I28" s="114"/>
      <c r="J28" s="114"/>
      <c r="K28" s="114"/>
    </row>
    <row r="29" spans="1:11" x14ac:dyDescent="0.25">
      <c r="A29" s="108" t="s">
        <v>507</v>
      </c>
      <c r="B29" s="97">
        <f>(B16-1.5)*0.1*'INSUL+'!$B$17</f>
        <v>137.86080000000001</v>
      </c>
      <c r="C29" s="97" t="s">
        <v>207</v>
      </c>
      <c r="D29" s="114" t="s">
        <v>560</v>
      </c>
      <c r="E29" s="114"/>
      <c r="F29" s="114"/>
      <c r="G29" s="114"/>
      <c r="H29" s="114"/>
      <c r="I29" s="114"/>
      <c r="J29" s="114"/>
      <c r="K29" s="114"/>
    </row>
    <row r="30" spans="1:11" x14ac:dyDescent="0.25">
      <c r="A30" s="105" t="s">
        <v>509</v>
      </c>
      <c r="B30" s="118">
        <f>-(B21+B25+B28+B27)</f>
        <v>-702.23759999999993</v>
      </c>
      <c r="C30" s="97" t="s">
        <v>207</v>
      </c>
      <c r="D30" s="114"/>
      <c r="E30" s="114"/>
      <c r="F30" s="114"/>
      <c r="G30" s="114"/>
      <c r="H30" s="114"/>
      <c r="I30" s="114"/>
      <c r="J30" s="114"/>
      <c r="K30" s="114"/>
    </row>
    <row r="31" spans="1:11" ht="15.75" x14ac:dyDescent="0.25">
      <c r="A31" s="115"/>
      <c r="B31" s="117"/>
      <c r="C31" s="116"/>
      <c r="D31" s="114"/>
      <c r="E31" s="114"/>
      <c r="F31" s="114"/>
      <c r="G31" s="114"/>
      <c r="H31" s="114"/>
      <c r="I31" s="114"/>
      <c r="J31" s="114"/>
      <c r="K31" s="114"/>
    </row>
    <row r="32" spans="1:11" ht="15.75" x14ac:dyDescent="0.25">
      <c r="A32" s="120" t="s">
        <v>510</v>
      </c>
      <c r="B32" s="117"/>
      <c r="C32" s="116"/>
      <c r="D32" s="114"/>
      <c r="E32" s="114"/>
      <c r="F32" s="114"/>
      <c r="G32" s="114"/>
      <c r="H32" s="114"/>
      <c r="I32" s="114"/>
      <c r="J32" s="114"/>
      <c r="K32" s="114"/>
    </row>
    <row r="33" spans="1:11" x14ac:dyDescent="0.25">
      <c r="A33" s="114" t="s">
        <v>512</v>
      </c>
      <c r="B33" s="114"/>
      <c r="C33" s="114"/>
      <c r="D33" s="114"/>
      <c r="E33" s="114"/>
      <c r="F33" s="114"/>
      <c r="G33" s="114"/>
      <c r="H33" s="114"/>
      <c r="I33" s="114"/>
      <c r="J33" s="114"/>
      <c r="K33" s="114"/>
    </row>
    <row r="34" spans="1:11" x14ac:dyDescent="0.25">
      <c r="A34" s="97" t="s">
        <v>656</v>
      </c>
      <c r="B34" s="114"/>
      <c r="C34" s="114"/>
      <c r="D34" s="114"/>
      <c r="E34" s="114"/>
      <c r="F34" s="114"/>
      <c r="G34" s="114"/>
      <c r="H34" s="114"/>
      <c r="I34" s="114"/>
      <c r="J34" s="114"/>
      <c r="K34" s="114"/>
    </row>
    <row r="35" spans="1:11" x14ac:dyDescent="0.25">
      <c r="A35" s="105" t="s">
        <v>491</v>
      </c>
      <c r="B35" s="118">
        <f>($B$27*(1+'NPV Calculation'!$C$1)^10)/(1+'NPV Calculation'!$C$2)^10</f>
        <v>62.286432203048363</v>
      </c>
      <c r="C35" s="97" t="s">
        <v>207</v>
      </c>
      <c r="D35" s="114"/>
      <c r="E35" s="114"/>
      <c r="F35" s="114"/>
      <c r="G35" s="114"/>
      <c r="H35" s="114"/>
      <c r="I35" s="114"/>
      <c r="J35" s="114"/>
      <c r="K35" s="114"/>
    </row>
    <row r="36" spans="1:11" x14ac:dyDescent="0.25">
      <c r="A36" s="105" t="s">
        <v>492</v>
      </c>
      <c r="B36" s="118">
        <f>($B$27*(1+'NPV Calculation'!$C$1)^20)/(1+'NPV Calculation'!$C$2)^20</f>
        <v>28.881540978686058</v>
      </c>
      <c r="C36" s="97" t="s">
        <v>207</v>
      </c>
      <c r="D36" s="114"/>
      <c r="E36" s="114"/>
      <c r="F36" s="114"/>
      <c r="G36" s="114"/>
      <c r="H36" s="114"/>
      <c r="I36" s="114"/>
      <c r="J36" s="114"/>
      <c r="K36" s="114"/>
    </row>
    <row r="37" spans="1:11" x14ac:dyDescent="0.25">
      <c r="A37" s="105" t="s">
        <v>493</v>
      </c>
      <c r="B37" s="118">
        <f>($B$27*(1+'NPV Calculation'!$C$1)^30)/(1+'NPV Calculation'!$C$2)^30</f>
        <v>13.392056340364574</v>
      </c>
      <c r="C37" s="97" t="s">
        <v>207</v>
      </c>
      <c r="D37" s="114"/>
      <c r="E37" s="114"/>
      <c r="F37" s="114"/>
      <c r="G37" s="114"/>
      <c r="H37" s="114"/>
      <c r="I37" s="114"/>
      <c r="J37" s="114"/>
      <c r="K37" s="114"/>
    </row>
    <row r="38" spans="1:11" x14ac:dyDescent="0.25">
      <c r="A38" s="105" t="s">
        <v>494</v>
      </c>
      <c r="B38" s="118">
        <f>($B$27*(1+'NPV Calculation'!$C$1)^40)/(1+'NPV Calculation'!$C$2)^40</f>
        <v>6.2097508285950971</v>
      </c>
      <c r="C38" s="97" t="s">
        <v>207</v>
      </c>
      <c r="D38" s="114"/>
      <c r="E38" s="114"/>
      <c r="F38" s="114"/>
      <c r="G38" s="114"/>
      <c r="H38" s="114"/>
      <c r="I38" s="114"/>
      <c r="J38" s="114"/>
      <c r="K38" s="114"/>
    </row>
    <row r="39" spans="1:11" x14ac:dyDescent="0.25">
      <c r="A39" s="105" t="s">
        <v>495</v>
      </c>
      <c r="B39" s="118">
        <f>-SUM(B35:B38)</f>
        <v>-110.76978035069409</v>
      </c>
      <c r="C39" s="97" t="s">
        <v>207</v>
      </c>
      <c r="D39" s="114"/>
      <c r="E39" s="114"/>
      <c r="F39" s="114"/>
      <c r="G39" s="114"/>
      <c r="H39" s="114"/>
      <c r="I39" s="114"/>
      <c r="J39" s="114"/>
      <c r="K39" s="114"/>
    </row>
    <row r="40" spans="1:11" x14ac:dyDescent="0.25">
      <c r="A40" s="105"/>
      <c r="B40" s="118"/>
      <c r="C40" s="97"/>
      <c r="D40" s="114"/>
      <c r="E40" s="114"/>
      <c r="F40" s="114"/>
      <c r="G40" s="114"/>
      <c r="H40" s="114"/>
      <c r="I40" s="114"/>
      <c r="J40" s="114"/>
      <c r="K40" s="114"/>
    </row>
    <row r="41" spans="1:11" ht="15.75" x14ac:dyDescent="0.25">
      <c r="A41" s="115" t="s">
        <v>513</v>
      </c>
      <c r="B41" s="117">
        <f>B30+B39</f>
        <v>-813.00738035069401</v>
      </c>
      <c r="C41" s="116" t="s">
        <v>207</v>
      </c>
      <c r="D41" s="114"/>
      <c r="E41" s="114"/>
      <c r="F41" s="114"/>
      <c r="G41" s="114"/>
      <c r="H41" s="114"/>
      <c r="I41" s="114"/>
      <c r="J41" s="114"/>
      <c r="K41" s="114"/>
    </row>
    <row r="42" spans="1:11" ht="15.75" x14ac:dyDescent="0.25">
      <c r="A42" s="115"/>
      <c r="B42" s="117"/>
      <c r="C42" s="116"/>
      <c r="D42" s="114"/>
      <c r="E42" s="114"/>
      <c r="F42" s="114"/>
      <c r="G42" s="114"/>
      <c r="H42" s="114"/>
      <c r="I42" s="114"/>
      <c r="J42" s="114"/>
      <c r="K42" s="114"/>
    </row>
    <row r="43" spans="1:11" x14ac:dyDescent="0.25">
      <c r="A43" s="97" t="s">
        <v>657</v>
      </c>
      <c r="B43" s="114"/>
      <c r="C43" s="114"/>
      <c r="D43" s="114"/>
      <c r="E43" s="114"/>
      <c r="F43" s="114"/>
      <c r="G43" s="114"/>
      <c r="H43" s="114"/>
      <c r="I43" s="114"/>
      <c r="J43" s="114"/>
      <c r="K43" s="114"/>
    </row>
    <row r="44" spans="1:11" x14ac:dyDescent="0.25">
      <c r="A44" s="105" t="s">
        <v>658</v>
      </c>
      <c r="B44" s="118">
        <f>($B$27*(1+'NPV Calculation low'!$C$1)^10)/(1+'NPV Calculation low'!$C$2)^10</f>
        <v>121.84171944460491</v>
      </c>
      <c r="C44" s="97" t="s">
        <v>207</v>
      </c>
      <c r="D44" s="114"/>
      <c r="E44" s="114"/>
      <c r="F44" s="114"/>
      <c r="G44" s="114"/>
      <c r="H44" s="114"/>
      <c r="I44" s="114"/>
      <c r="J44" s="114"/>
      <c r="K44" s="114"/>
    </row>
    <row r="45" spans="1:11" x14ac:dyDescent="0.25">
      <c r="A45" s="105" t="s">
        <v>659</v>
      </c>
      <c r="B45" s="118">
        <f>($B$27*(1+'NPV Calculation low'!$C$1)^20)/(1+'NPV Calculation low'!$C$2)^20</f>
        <v>110.51608448884683</v>
      </c>
      <c r="C45" s="97" t="s">
        <v>207</v>
      </c>
      <c r="D45" s="114"/>
      <c r="E45" s="114"/>
      <c r="F45" s="114"/>
      <c r="G45" s="114"/>
      <c r="H45" s="114"/>
      <c r="I45" s="114"/>
      <c r="J45" s="114"/>
      <c r="K45" s="114"/>
    </row>
    <row r="46" spans="1:11" x14ac:dyDescent="0.25">
      <c r="A46" s="105" t="s">
        <v>660</v>
      </c>
      <c r="B46" s="118">
        <f>($B$27*(1+'NPV Calculation low'!$C$1)^30)/(1+'NPV Calculation low'!$C$2)^30</f>
        <v>100.2432088649152</v>
      </c>
      <c r="C46" s="97" t="s">
        <v>207</v>
      </c>
      <c r="D46" s="114"/>
      <c r="E46" s="114"/>
      <c r="F46" s="114"/>
      <c r="G46" s="114"/>
      <c r="H46" s="114"/>
      <c r="I46" s="114"/>
      <c r="J46" s="114"/>
      <c r="K46" s="114"/>
    </row>
    <row r="47" spans="1:11" x14ac:dyDescent="0.25">
      <c r="A47" s="105" t="s">
        <v>661</v>
      </c>
      <c r="B47" s="118">
        <f>($B$27*(1+'NPV Calculation low'!$C$1)^40)/(1+'NPV Calculation low'!$C$2)^40</f>
        <v>90.92523472951234</v>
      </c>
      <c r="C47" s="97" t="s">
        <v>207</v>
      </c>
      <c r="D47" s="114"/>
      <c r="E47" s="114"/>
      <c r="F47" s="114"/>
      <c r="G47" s="114"/>
      <c r="H47" s="114"/>
      <c r="I47" s="114"/>
      <c r="J47" s="114"/>
      <c r="K47" s="114"/>
    </row>
    <row r="48" spans="1:11" x14ac:dyDescent="0.25">
      <c r="A48" s="105" t="s">
        <v>662</v>
      </c>
      <c r="B48" s="118">
        <f>-SUM(B44:B47)</f>
        <v>-423.52624752787926</v>
      </c>
      <c r="C48" s="97" t="s">
        <v>207</v>
      </c>
      <c r="D48" s="114"/>
      <c r="E48" s="114"/>
      <c r="F48" s="114"/>
      <c r="G48" s="114"/>
      <c r="H48" s="114"/>
      <c r="I48" s="114"/>
      <c r="J48" s="114"/>
      <c r="K48" s="114"/>
    </row>
    <row r="49" spans="1:11" x14ac:dyDescent="0.25">
      <c r="A49" s="105"/>
      <c r="B49" s="118"/>
      <c r="C49" s="97"/>
      <c r="D49" s="114"/>
      <c r="E49" s="114"/>
      <c r="F49" s="114"/>
      <c r="G49" s="114"/>
      <c r="H49" s="114"/>
      <c r="I49" s="114"/>
      <c r="J49" s="114"/>
      <c r="K49" s="114"/>
    </row>
    <row r="50" spans="1:11" ht="15.75" x14ac:dyDescent="0.25">
      <c r="A50" s="115" t="s">
        <v>663</v>
      </c>
      <c r="B50" s="117">
        <f>B30+B48</f>
        <v>-1125.7638475278791</v>
      </c>
      <c r="C50" s="116" t="s">
        <v>207</v>
      </c>
      <c r="D50" s="114"/>
      <c r="E50" s="114"/>
      <c r="F50" s="114"/>
      <c r="G50" s="114"/>
      <c r="H50" s="114"/>
      <c r="I50" s="114"/>
      <c r="J50" s="114"/>
      <c r="K50" s="114"/>
    </row>
    <row r="51" spans="1:11" ht="15.75" x14ac:dyDescent="0.25">
      <c r="A51" s="115"/>
      <c r="B51" s="117"/>
      <c r="C51" s="116"/>
      <c r="D51" s="114"/>
      <c r="E51" s="114"/>
      <c r="F51" s="114"/>
      <c r="G51" s="114"/>
      <c r="H51" s="114"/>
      <c r="I51" s="114"/>
      <c r="J51" s="114"/>
      <c r="K51" s="114"/>
    </row>
    <row r="52" spans="1:11" x14ac:dyDescent="0.25">
      <c r="A52" s="97" t="s">
        <v>664</v>
      </c>
      <c r="B52" s="114"/>
      <c r="C52" s="114"/>
      <c r="D52" s="114"/>
      <c r="E52" s="114"/>
      <c r="F52" s="114"/>
      <c r="G52" s="114"/>
      <c r="H52" s="114"/>
      <c r="I52" s="114"/>
      <c r="J52" s="114"/>
      <c r="K52" s="114"/>
    </row>
    <row r="53" spans="1:11" x14ac:dyDescent="0.25">
      <c r="A53" s="105" t="s">
        <v>665</v>
      </c>
      <c r="B53" s="118">
        <f>($B$27*(1+'NPV Calculation high'!$C$1)^10)/(1+'NPV Calculation high'!$C$2)^10</f>
        <v>51.073207319716509</v>
      </c>
      <c r="C53" s="97" t="s">
        <v>207</v>
      </c>
      <c r="D53" s="114"/>
      <c r="E53" s="114"/>
      <c r="F53" s="114"/>
      <c r="G53" s="114"/>
      <c r="H53" s="114"/>
      <c r="I53" s="114"/>
      <c r="J53" s="114"/>
      <c r="K53" s="114"/>
    </row>
    <row r="54" spans="1:11" x14ac:dyDescent="0.25">
      <c r="A54" s="105" t="s">
        <v>666</v>
      </c>
      <c r="B54" s="118">
        <f>($B$27*(1+'NPV Calculation high'!$C$1)^20)/(1+'NPV Calculation high'!$C$2)^20</f>
        <v>19.418680438350492</v>
      </c>
      <c r="C54" s="97" t="s">
        <v>207</v>
      </c>
      <c r="D54" s="114"/>
      <c r="E54" s="114"/>
      <c r="F54" s="114"/>
      <c r="G54" s="114"/>
      <c r="H54" s="114"/>
      <c r="I54" s="114"/>
      <c r="J54" s="114"/>
      <c r="K54" s="114"/>
    </row>
    <row r="55" spans="1:11" x14ac:dyDescent="0.25">
      <c r="A55" s="105" t="s">
        <v>667</v>
      </c>
      <c r="B55" s="118">
        <f>($B$27*(1+'NPV Calculation high'!$C$1)^30)/(1+'NPV Calculation high'!$C$2)^30</f>
        <v>7.3832283061104009</v>
      </c>
      <c r="C55" s="97" t="s">
        <v>207</v>
      </c>
      <c r="D55" s="114"/>
      <c r="E55" s="114"/>
      <c r="F55" s="114"/>
      <c r="G55" s="114"/>
      <c r="H55" s="114"/>
      <c r="I55" s="114"/>
      <c r="J55" s="114"/>
      <c r="K55" s="114"/>
    </row>
    <row r="56" spans="1:11" x14ac:dyDescent="0.25">
      <c r="A56" s="105" t="s">
        <v>668</v>
      </c>
      <c r="B56" s="118">
        <f>($B$27*(1+'NPV Calculation high'!$C$1)^40)/(1+'NPV Calculation high'!$C$2)^40</f>
        <v>2.8071969356111603</v>
      </c>
      <c r="C56" s="97" t="s">
        <v>207</v>
      </c>
      <c r="D56" s="114"/>
      <c r="E56" s="114"/>
      <c r="F56" s="114"/>
      <c r="G56" s="114"/>
      <c r="H56" s="114"/>
      <c r="I56" s="114"/>
      <c r="J56" s="114"/>
      <c r="K56" s="114"/>
    </row>
    <row r="57" spans="1:11" x14ac:dyDescent="0.25">
      <c r="A57" s="105" t="s">
        <v>669</v>
      </c>
      <c r="B57" s="118">
        <f>-SUM(B53:B56)</f>
        <v>-80.682312999788564</v>
      </c>
      <c r="C57" s="97" t="s">
        <v>207</v>
      </c>
      <c r="D57" s="114"/>
      <c r="E57" s="114"/>
      <c r="F57" s="114"/>
      <c r="G57" s="114"/>
      <c r="H57" s="114"/>
      <c r="I57" s="114"/>
      <c r="J57" s="114"/>
      <c r="K57" s="114"/>
    </row>
    <row r="58" spans="1:11" x14ac:dyDescent="0.25">
      <c r="A58" s="105"/>
      <c r="B58" s="118"/>
      <c r="C58" s="97"/>
      <c r="D58" s="114"/>
      <c r="E58" s="114"/>
      <c r="F58" s="114"/>
      <c r="G58" s="114"/>
      <c r="H58" s="114"/>
      <c r="I58" s="114"/>
      <c r="J58" s="114"/>
      <c r="K58" s="114"/>
    </row>
    <row r="59" spans="1:11" ht="15.75" x14ac:dyDescent="0.25">
      <c r="A59" s="115" t="s">
        <v>670</v>
      </c>
      <c r="B59" s="117">
        <f>B30+B57</f>
        <v>-782.91991299978849</v>
      </c>
      <c r="C59" s="116" t="s">
        <v>207</v>
      </c>
      <c r="D59" s="114"/>
      <c r="E59" s="114"/>
      <c r="F59" s="114"/>
      <c r="G59" s="114"/>
      <c r="H59" s="114"/>
      <c r="I59" s="114"/>
      <c r="J59" s="114"/>
      <c r="K59" s="114"/>
    </row>
    <row r="62" spans="1:11" x14ac:dyDescent="0.25">
      <c r="B62" s="7"/>
    </row>
    <row r="63" spans="1:11" x14ac:dyDescent="0.25">
      <c r="B63" s="7"/>
    </row>
    <row r="64" spans="1:11" x14ac:dyDescent="0.25">
      <c r="B64" s="7"/>
    </row>
    <row r="65" spans="1:2" x14ac:dyDescent="0.25">
      <c r="B65" s="7"/>
    </row>
    <row r="66" spans="1:2" x14ac:dyDescent="0.25">
      <c r="B66" s="7"/>
    </row>
    <row r="71" spans="1:2" x14ac:dyDescent="0.25">
      <c r="A71" s="35"/>
    </row>
    <row r="85" spans="1:4" x14ac:dyDescent="0.25">
      <c r="B85" s="36"/>
      <c r="D85" s="36"/>
    </row>
    <row r="86" spans="1:4" x14ac:dyDescent="0.25">
      <c r="B86" s="36"/>
      <c r="D86" s="36"/>
    </row>
    <row r="87" spans="1:4" x14ac:dyDescent="0.25">
      <c r="B87" s="36"/>
      <c r="D87" s="36"/>
    </row>
    <row r="88" spans="1:4" x14ac:dyDescent="0.25">
      <c r="B88" s="36"/>
      <c r="D88" s="36"/>
    </row>
    <row r="89" spans="1:4" x14ac:dyDescent="0.25">
      <c r="B89" s="36"/>
      <c r="D89" s="36"/>
    </row>
    <row r="96" spans="1:4" x14ac:dyDescent="0.25">
      <c r="A96" s="39"/>
    </row>
    <row r="97" spans="1:2" x14ac:dyDescent="0.25">
      <c r="A97" s="39"/>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row r="104" spans="1:2" x14ac:dyDescent="0.25">
      <c r="A104" s="39"/>
    </row>
    <row r="105" spans="1:2" x14ac:dyDescent="0.25">
      <c r="A105" s="39"/>
    </row>
    <row r="106" spans="1:2" x14ac:dyDescent="0.25">
      <c r="A106" s="39"/>
    </row>
    <row r="107" spans="1:2" x14ac:dyDescent="0.25">
      <c r="A107" s="39"/>
    </row>
    <row r="109" spans="1:2" x14ac:dyDescent="0.25">
      <c r="A109" s="35"/>
      <c r="B109" s="41"/>
    </row>
    <row r="110" spans="1:2" x14ac:dyDescent="0.25">
      <c r="A110" s="35"/>
      <c r="B110" s="36"/>
    </row>
    <row r="117" spans="1:5" x14ac:dyDescent="0.25">
      <c r="A117" s="48"/>
      <c r="B117" s="48"/>
      <c r="C117" s="48"/>
      <c r="D117" s="48"/>
      <c r="E117" s="48"/>
    </row>
    <row r="118" spans="1:5" x14ac:dyDescent="0.25">
      <c r="A118" s="48"/>
      <c r="B118" s="49"/>
      <c r="C118" s="49"/>
      <c r="D118" s="49"/>
      <c r="E118" s="49"/>
    </row>
    <row r="119" spans="1:5" x14ac:dyDescent="0.25">
      <c r="A119" s="48"/>
      <c r="B119" s="50"/>
      <c r="C119" s="50"/>
      <c r="D119" s="50"/>
      <c r="E119" s="50"/>
    </row>
    <row r="120" spans="1:5" x14ac:dyDescent="0.25">
      <c r="A120" s="48"/>
      <c r="B120" s="50"/>
      <c r="C120" s="50"/>
      <c r="D120" s="50"/>
      <c r="E120" s="50"/>
    </row>
    <row r="121" spans="1:5" x14ac:dyDescent="0.25">
      <c r="A121" s="48"/>
      <c r="B121" s="50"/>
      <c r="C121" s="50"/>
      <c r="D121" s="50"/>
      <c r="E121" s="50"/>
    </row>
    <row r="122" spans="1:5" x14ac:dyDescent="0.25">
      <c r="A122" s="48"/>
      <c r="B122" s="50"/>
      <c r="C122" s="50"/>
      <c r="D122" s="50"/>
      <c r="E122" s="50"/>
    </row>
    <row r="123" spans="1:5" x14ac:dyDescent="0.25">
      <c r="A123" s="48"/>
      <c r="B123" s="50"/>
      <c r="C123" s="50"/>
      <c r="D123" s="50"/>
      <c r="E123" s="50"/>
    </row>
    <row r="124" spans="1:5" x14ac:dyDescent="0.25">
      <c r="A124" s="48"/>
      <c r="B124" s="50"/>
      <c r="C124" s="50"/>
      <c r="D124" s="50"/>
      <c r="E124" s="50"/>
    </row>
    <row r="125" spans="1:5" x14ac:dyDescent="0.25">
      <c r="A125" s="51"/>
      <c r="B125" s="52"/>
      <c r="C125" s="52"/>
      <c r="D125" s="52"/>
      <c r="E125" s="52"/>
    </row>
    <row r="126" spans="1:5" x14ac:dyDescent="0.25">
      <c r="B126" s="40"/>
      <c r="C126" s="40"/>
      <c r="D126" s="40"/>
      <c r="E126" s="40"/>
    </row>
    <row r="127" spans="1:5" x14ac:dyDescent="0.25">
      <c r="B127" s="36"/>
      <c r="C127" s="36"/>
      <c r="D127" s="36"/>
      <c r="E127" s="36"/>
    </row>
    <row r="128" spans="1:5" x14ac:dyDescent="0.25">
      <c r="B128" s="40"/>
      <c r="C128" s="40"/>
      <c r="D128" s="40"/>
      <c r="E128" s="40"/>
    </row>
    <row r="129" spans="1:5" x14ac:dyDescent="0.25">
      <c r="B129" s="40"/>
      <c r="C129" s="40"/>
      <c r="D129" s="40"/>
      <c r="E129" s="40"/>
    </row>
    <row r="130" spans="1:5" x14ac:dyDescent="0.25">
      <c r="B130" s="40"/>
      <c r="C130" s="40"/>
      <c r="D130" s="40"/>
      <c r="E130" s="40"/>
    </row>
    <row r="131" spans="1:5" x14ac:dyDescent="0.25">
      <c r="A131" s="22"/>
      <c r="B131" s="53"/>
      <c r="C131" s="53"/>
      <c r="D131" s="53"/>
      <c r="E131" s="53"/>
    </row>
    <row r="132" spans="1:5" x14ac:dyDescent="0.25">
      <c r="B132" s="40"/>
      <c r="C132" s="40"/>
    </row>
    <row r="134" spans="1:5" x14ac:dyDescent="0.25">
      <c r="A134" s="7"/>
    </row>
    <row r="135" spans="1:5" x14ac:dyDescent="0.25">
      <c r="A135" s="32"/>
    </row>
    <row r="136" spans="1:5" x14ac:dyDescent="0.25">
      <c r="A136" s="32"/>
    </row>
  </sheetData>
  <conditionalFormatting sqref="L11 G11:J12">
    <cfRule type="cellIs" dxfId="59" priority="1" operator="lessThan">
      <formula>0</formula>
    </cfRule>
    <cfRule type="cellIs" dxfId="58" priority="2"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15"/>
  <sheetViews>
    <sheetView zoomScale="80" zoomScaleNormal="80" workbookViewId="0"/>
  </sheetViews>
  <sheetFormatPr defaultRowHeight="15" x14ac:dyDescent="0.25"/>
  <cols>
    <col min="1" max="1" width="72.140625"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27.28515625" customWidth="1"/>
    <col min="12" max="13" width="26.140625" customWidth="1"/>
    <col min="14" max="14" width="11.5703125" customWidth="1"/>
  </cols>
  <sheetData>
    <row r="1" spans="1:13" s="8" customFormat="1" x14ac:dyDescent="0.25">
      <c r="A1" s="8" t="s">
        <v>83</v>
      </c>
      <c r="B1" s="9" t="s">
        <v>863</v>
      </c>
    </row>
    <row r="2" spans="1:13" s="10" customFormat="1" x14ac:dyDescent="0.25">
      <c r="B2" s="11"/>
    </row>
    <row r="3" spans="1:13" ht="18" x14ac:dyDescent="0.35">
      <c r="A3" t="s">
        <v>85</v>
      </c>
      <c r="B3" t="s">
        <v>86</v>
      </c>
      <c r="C3" t="s">
        <v>87</v>
      </c>
      <c r="D3" t="s">
        <v>8</v>
      </c>
      <c r="E3" t="s">
        <v>10</v>
      </c>
      <c r="F3" t="s">
        <v>11</v>
      </c>
      <c r="G3" t="s">
        <v>27</v>
      </c>
      <c r="H3" t="s">
        <v>580</v>
      </c>
      <c r="I3" t="s">
        <v>581</v>
      </c>
      <c r="J3" t="s">
        <v>582</v>
      </c>
      <c r="K3" t="s">
        <v>141</v>
      </c>
      <c r="L3" t="s">
        <v>26</v>
      </c>
      <c r="M3" t="s">
        <v>586</v>
      </c>
    </row>
    <row r="4" spans="1:13" x14ac:dyDescent="0.25">
      <c r="A4" t="s">
        <v>591</v>
      </c>
      <c r="B4" s="2">
        <v>10</v>
      </c>
      <c r="C4">
        <v>10</v>
      </c>
      <c r="D4" t="s">
        <v>97</v>
      </c>
      <c r="E4" s="2">
        <f>-1.4*Table4691113151733343523[[#This Row],[Delivered qtty]]</f>
        <v>-14</v>
      </c>
      <c r="F4" s="2">
        <f>Table4691113151733343523[[#This Row],[IEE (GJ)]]</f>
        <v>-14</v>
      </c>
      <c r="G4" s="2">
        <f>Table4691113151733343523[[#This Row],[REE (GJ/50 years)]]+Table4691113151733343523[[#This Row],[IEE (GJ)]]</f>
        <v>-28</v>
      </c>
      <c r="H4" s="2">
        <f>-107.4*Table4691113151733343523[[#This Row],[Delivered qtty]]</f>
        <v>-1074</v>
      </c>
      <c r="I4" s="2">
        <f>Table4691113151733343523[[#This Row],[IEGHG (kgCO2e)]]</f>
        <v>-1074</v>
      </c>
      <c r="J4" s="2">
        <f>Table4691113151733343523[[#This Row],[REGHG (kgCO2e)]]+Table4691113151733343523[[#This Row],[IEGHG (kgCO2e)]]</f>
        <v>-2148</v>
      </c>
      <c r="K4" s="13"/>
      <c r="L4" s="2"/>
      <c r="M4" s="2">
        <f>Table4691113151733343523[[#This Row],[Primary OPE (GJ/50 years)]]*'General variables'!$B$14</f>
        <v>0</v>
      </c>
    </row>
    <row r="5" spans="1:13" x14ac:dyDescent="0.25">
      <c r="A5" t="s">
        <v>592</v>
      </c>
      <c r="B5" s="2">
        <v>1</v>
      </c>
      <c r="C5">
        <v>1</v>
      </c>
      <c r="D5" t="s">
        <v>97</v>
      </c>
      <c r="E5" s="2">
        <f>-7.7</f>
        <v>-7.7</v>
      </c>
      <c r="F5" s="2">
        <f>Table4691113151733343523[[#This Row],[IEE (GJ)]]</f>
        <v>-7.7</v>
      </c>
      <c r="G5" s="2">
        <f>Table4691113151733343523[[#This Row],[REE (GJ/50 years)]]+Table4691113151733343523[[#This Row],[IEE (GJ)]]</f>
        <v>-15.4</v>
      </c>
      <c r="H5" s="2">
        <v>-508.6</v>
      </c>
      <c r="I5" s="2">
        <f>Table4691113151733343523[[#This Row],[IEGHG (kgCO2e)]]</f>
        <v>-508.6</v>
      </c>
      <c r="J5" s="2">
        <f>Table4691113151733343523[[#This Row],[REGHG (kgCO2e)]]+Table4691113151733343523[[#This Row],[IEGHG (kgCO2e)]]</f>
        <v>-1017.2</v>
      </c>
      <c r="K5" s="12"/>
      <c r="L5" s="2"/>
      <c r="M5" s="2">
        <f>Table4691113151733343523[[#This Row],[Primary OPE (GJ/50 years)]]*'General variables'!$B$14</f>
        <v>0</v>
      </c>
    </row>
    <row r="6" spans="1:13" x14ac:dyDescent="0.25">
      <c r="A6" t="s">
        <v>593</v>
      </c>
      <c r="B6" s="2"/>
      <c r="E6" s="2"/>
      <c r="F6" s="2"/>
      <c r="G6" s="2"/>
      <c r="H6" s="2"/>
      <c r="I6" s="2">
        <f>Table4691113151733343523[[#This Row],[IEGHG (kgCO2e)]]</f>
        <v>0</v>
      </c>
      <c r="J6" s="2">
        <f>Table4691113151733343523[[#This Row],[REGHG (kgCO2e)]]+Table4691113151733343523[[#This Row],[IEGHG (kgCO2e)]]</f>
        <v>0</v>
      </c>
      <c r="K6" s="12"/>
      <c r="L6" s="2">
        <f>(719/'General variables'!$B$10*0.9/2.5*'General variables'!$B$9)-719</f>
        <v>175.17454545454541</v>
      </c>
      <c r="M6" s="2">
        <f>Table4691113151733343523[[#This Row],[Primary OPE (GJ/50 years)]]*'General variables'!$B$14</f>
        <v>10545.507636363634</v>
      </c>
    </row>
    <row r="7" spans="1:13" x14ac:dyDescent="0.25">
      <c r="A7" t="s">
        <v>594</v>
      </c>
      <c r="B7" s="2"/>
      <c r="E7" s="2"/>
      <c r="F7" s="2"/>
      <c r="G7" s="2"/>
      <c r="H7" s="2"/>
      <c r="I7" s="2">
        <f>Table4691113151733343523[[#This Row],[IEGHG (kgCO2e)]]</f>
        <v>0</v>
      </c>
      <c r="J7" s="2">
        <f>Table4691113151733343523[[#This Row],[REGHG (kgCO2e)]]+Table4691113151733343523[[#This Row],[IEGHG (kgCO2e)]]</f>
        <v>0</v>
      </c>
      <c r="K7" s="12"/>
      <c r="L7" s="2"/>
      <c r="M7" s="2">
        <f>Table4691113151733343523[[#This Row],[Primary OPE (GJ/50 years)]]*'General variables'!$B$14</f>
        <v>0</v>
      </c>
    </row>
    <row r="8" spans="1:13" x14ac:dyDescent="0.25">
      <c r="B8" s="2"/>
      <c r="E8" s="2"/>
      <c r="F8" s="2"/>
      <c r="G8" s="2"/>
      <c r="H8" s="2"/>
      <c r="I8" s="2">
        <f>Table4691113151733343523[[#This Row],[IEGHG (kgCO2e)]]</f>
        <v>0</v>
      </c>
      <c r="J8" s="2">
        <f>Table4691113151733343523[[#This Row],[REGHG (kgCO2e)]]+Table4691113151733343523[[#This Row],[IEGHG (kgCO2e)]]</f>
        <v>0</v>
      </c>
      <c r="K8" s="12"/>
      <c r="L8" s="2"/>
      <c r="M8" s="2">
        <f>Table4691113151733343523[[#This Row],[Primary OPE (GJ/50 years)]]*'General variables'!$B$14</f>
        <v>0</v>
      </c>
    </row>
    <row r="9" spans="1:13" x14ac:dyDescent="0.25">
      <c r="A9" s="7"/>
      <c r="B9" s="2"/>
      <c r="E9" s="45"/>
      <c r="F9" s="45"/>
      <c r="G9" s="45"/>
      <c r="H9" s="45"/>
      <c r="I9" s="45">
        <f>Table4691113151733343523[[#This Row],[IEGHG (kgCO2e)]]</f>
        <v>0</v>
      </c>
      <c r="J9" s="45">
        <f>Table4691113151733343523[[#This Row],[REGHG (kgCO2e)]]+Table4691113151733343523[[#This Row],[IEGHG (kgCO2e)]]</f>
        <v>0</v>
      </c>
      <c r="K9" s="13"/>
      <c r="L9" s="2"/>
      <c r="M9" s="2">
        <f>Table4691113151733343523[[#This Row],[Primary OPE (GJ/50 years)]]*'General variables'!$B$14</f>
        <v>0</v>
      </c>
    </row>
    <row r="10" spans="1:13" x14ac:dyDescent="0.25">
      <c r="B10" s="2"/>
      <c r="E10" s="2"/>
      <c r="F10" s="2"/>
      <c r="G10" s="2"/>
      <c r="H10" s="2"/>
      <c r="I10" s="2">
        <f>Table4691113151733343523[[#This Row],[IEGHG (kgCO2e)]]</f>
        <v>0</v>
      </c>
      <c r="J10" s="2">
        <f>Table4691113151733343523[[#This Row],[REGHG (kgCO2e)]]+Table4691113151733343523[[#This Row],[IEGHG (kgCO2e)]]</f>
        <v>0</v>
      </c>
      <c r="K10" s="12"/>
      <c r="L10" s="2"/>
      <c r="M10" s="2">
        <f>Table4691113151733343523[[#This Row],[Primary OPE (GJ/50 years)]]*'General variables'!$B$14</f>
        <v>0</v>
      </c>
    </row>
    <row r="11" spans="1:13" x14ac:dyDescent="0.25">
      <c r="F11" t="s">
        <v>94</v>
      </c>
      <c r="G11" s="6">
        <f>G4+G5</f>
        <v>-43.4</v>
      </c>
      <c r="H11" s="6"/>
      <c r="I11" s="6"/>
      <c r="J11" s="6">
        <f>SUM(Table4691113151733343523[LCEGHG (kgCO2e)])</f>
        <v>-3165.2</v>
      </c>
      <c r="L11" s="6">
        <f>SUM(L6:L10)</f>
        <v>175.17454545454541</v>
      </c>
      <c r="M11" s="6">
        <f>SUM(Table4691113151733343523[LCOGHG (kgCO2e/50 years)])</f>
        <v>10545.507636363634</v>
      </c>
    </row>
    <row r="12" spans="1:13" x14ac:dyDescent="0.25">
      <c r="F12" t="s">
        <v>100</v>
      </c>
      <c r="G12" s="6">
        <f>G11+L11</f>
        <v>131.7745454545454</v>
      </c>
      <c r="H12" s="6"/>
      <c r="I12" s="6"/>
      <c r="J12" s="6">
        <f>J11+M11</f>
        <v>7380.3076363636346</v>
      </c>
    </row>
    <row r="14" spans="1:13" x14ac:dyDescent="0.25">
      <c r="A14" s="95" t="s">
        <v>557</v>
      </c>
      <c r="B14" s="95"/>
      <c r="C14" s="95"/>
      <c r="D14" s="95"/>
      <c r="E14" s="95"/>
      <c r="F14" s="95"/>
      <c r="G14" s="95"/>
      <c r="H14" s="95"/>
      <c r="I14" s="95"/>
      <c r="J14" s="95"/>
      <c r="K14" s="95"/>
    </row>
    <row r="15" spans="1:13" x14ac:dyDescent="0.25">
      <c r="A15" s="106" t="s">
        <v>568</v>
      </c>
      <c r="B15" s="95"/>
      <c r="C15" s="95"/>
      <c r="D15" s="95"/>
      <c r="E15" s="95"/>
      <c r="F15" s="95"/>
      <c r="G15" s="95"/>
      <c r="H15" s="95"/>
      <c r="I15" s="95"/>
      <c r="J15" s="95"/>
      <c r="K15" s="95"/>
    </row>
    <row r="16" spans="1:13" x14ac:dyDescent="0.25">
      <c r="A16" s="95" t="s">
        <v>558</v>
      </c>
      <c r="B16" s="113">
        <v>10</v>
      </c>
      <c r="C16" s="95"/>
      <c r="D16" s="95"/>
      <c r="E16" s="95"/>
      <c r="F16" s="95"/>
      <c r="G16" s="95"/>
      <c r="H16" s="95"/>
      <c r="I16" s="95"/>
      <c r="J16" s="95"/>
      <c r="K16" s="95"/>
    </row>
    <row r="17" spans="1:11" x14ac:dyDescent="0.25">
      <c r="A17" s="95" t="s">
        <v>559</v>
      </c>
      <c r="B17" s="113">
        <v>90</v>
      </c>
      <c r="C17" s="95"/>
      <c r="D17" s="95"/>
      <c r="E17" s="95"/>
      <c r="F17" s="95"/>
      <c r="G17" s="95"/>
      <c r="H17" s="95"/>
      <c r="I17" s="95"/>
      <c r="J17" s="95"/>
      <c r="K17" s="95"/>
    </row>
    <row r="18" spans="1:11" x14ac:dyDescent="0.25">
      <c r="A18" s="110" t="s">
        <v>561</v>
      </c>
      <c r="B18" s="114">
        <v>10</v>
      </c>
      <c r="C18" s="114" t="s">
        <v>562</v>
      </c>
      <c r="D18" s="97"/>
      <c r="E18" s="95"/>
      <c r="F18" s="95"/>
      <c r="G18" s="95"/>
      <c r="H18" s="95"/>
      <c r="I18" s="95"/>
      <c r="J18" s="95"/>
      <c r="K18" s="95"/>
    </row>
    <row r="19" spans="1:11" x14ac:dyDescent="0.25">
      <c r="A19" s="110" t="s">
        <v>563</v>
      </c>
      <c r="B19" s="114">
        <v>10</v>
      </c>
      <c r="C19" s="114" t="s">
        <v>564</v>
      </c>
      <c r="D19" s="97"/>
      <c r="E19" s="95"/>
      <c r="F19" s="95"/>
      <c r="G19" s="95"/>
      <c r="H19" s="95"/>
      <c r="I19" s="95"/>
      <c r="J19" s="95"/>
      <c r="K19" s="95"/>
    </row>
    <row r="20" spans="1:11" x14ac:dyDescent="0.25">
      <c r="A20" s="110" t="s">
        <v>570</v>
      </c>
      <c r="B20" s="114">
        <v>70</v>
      </c>
      <c r="C20" s="114" t="s">
        <v>564</v>
      </c>
      <c r="D20" s="97"/>
      <c r="E20" s="95"/>
      <c r="F20" s="95"/>
      <c r="G20" s="95"/>
      <c r="H20" s="95"/>
      <c r="I20" s="95"/>
      <c r="J20" s="95"/>
      <c r="K20" s="95"/>
    </row>
    <row r="21" spans="1:11" x14ac:dyDescent="0.25">
      <c r="A21" s="110" t="s">
        <v>566</v>
      </c>
      <c r="B21" s="114">
        <v>1200</v>
      </c>
      <c r="C21" s="114" t="s">
        <v>207</v>
      </c>
      <c r="D21" s="114"/>
      <c r="E21" s="114"/>
      <c r="F21" s="114"/>
      <c r="G21" s="114"/>
      <c r="H21" s="114"/>
      <c r="I21" s="114"/>
      <c r="J21" s="114"/>
      <c r="K21" s="114"/>
    </row>
    <row r="22" spans="1:11" x14ac:dyDescent="0.25">
      <c r="A22" s="110" t="s">
        <v>565</v>
      </c>
      <c r="B22" s="114">
        <v>70</v>
      </c>
      <c r="C22" s="114" t="s">
        <v>564</v>
      </c>
      <c r="D22" s="97"/>
      <c r="E22" s="95"/>
      <c r="F22" s="95"/>
      <c r="G22" s="95"/>
      <c r="H22" s="95"/>
      <c r="I22" s="95"/>
      <c r="J22" s="95"/>
      <c r="K22" s="95"/>
    </row>
    <row r="23" spans="1:11" x14ac:dyDescent="0.25">
      <c r="A23" s="110" t="s">
        <v>567</v>
      </c>
      <c r="B23" s="114">
        <v>150</v>
      </c>
      <c r="C23" s="114" t="s">
        <v>207</v>
      </c>
      <c r="D23" s="114"/>
      <c r="E23" s="114"/>
      <c r="F23" s="114"/>
      <c r="G23" s="114"/>
      <c r="H23" s="114"/>
      <c r="I23" s="114"/>
      <c r="J23" s="114"/>
      <c r="K23" s="114"/>
    </row>
    <row r="24" spans="1:11" x14ac:dyDescent="0.25">
      <c r="A24" s="110" t="s">
        <v>575</v>
      </c>
      <c r="B24" s="114">
        <v>1500</v>
      </c>
      <c r="C24" s="114" t="s">
        <v>207</v>
      </c>
      <c r="D24" s="114"/>
      <c r="E24" s="114"/>
      <c r="F24" s="114"/>
      <c r="G24" s="114"/>
      <c r="H24" s="114"/>
      <c r="I24" s="114"/>
      <c r="J24" s="114"/>
      <c r="K24" s="114"/>
    </row>
    <row r="25" spans="1:11" x14ac:dyDescent="0.25">
      <c r="A25" s="108" t="s">
        <v>569</v>
      </c>
      <c r="B25" s="97">
        <f>B23+B21+(B22+B20+B19)*B16+B17*B18+B24</f>
        <v>5250</v>
      </c>
      <c r="C25" s="97" t="s">
        <v>207</v>
      </c>
      <c r="D25" s="114"/>
      <c r="E25" s="114"/>
      <c r="F25" s="114"/>
      <c r="G25" s="114"/>
      <c r="H25" s="114"/>
      <c r="I25" s="114"/>
      <c r="J25" s="114"/>
      <c r="K25" s="114"/>
    </row>
    <row r="26" spans="1:11" x14ac:dyDescent="0.25">
      <c r="A26" s="108"/>
      <c r="B26" s="97"/>
      <c r="C26" s="97"/>
      <c r="D26" s="114"/>
      <c r="E26" s="114"/>
      <c r="F26" s="114"/>
      <c r="G26" s="114"/>
      <c r="H26" s="114"/>
      <c r="I26" s="114"/>
      <c r="J26" s="114"/>
      <c r="K26" s="114"/>
    </row>
    <row r="27" spans="1:11" ht="15.75" x14ac:dyDescent="0.25">
      <c r="A27" s="120" t="s">
        <v>510</v>
      </c>
      <c r="B27" s="117"/>
      <c r="C27" s="116"/>
      <c r="D27" s="114"/>
      <c r="E27" s="114"/>
      <c r="F27" s="114"/>
      <c r="G27" s="114"/>
      <c r="H27" s="114"/>
      <c r="I27" s="114"/>
      <c r="J27" s="114"/>
      <c r="K27" s="114"/>
    </row>
    <row r="28" spans="1:11" x14ac:dyDescent="0.25">
      <c r="A28" s="114" t="s">
        <v>571</v>
      </c>
      <c r="B28" s="114"/>
      <c r="C28" s="114"/>
      <c r="D28" s="114"/>
      <c r="E28" s="114"/>
      <c r="F28" s="114"/>
      <c r="G28" s="114"/>
      <c r="H28" s="114"/>
      <c r="I28" s="114"/>
      <c r="J28" s="114"/>
      <c r="K28" s="114"/>
    </row>
    <row r="29" spans="1:11" x14ac:dyDescent="0.25">
      <c r="A29" s="105" t="s">
        <v>653</v>
      </c>
      <c r="B29" s="118">
        <f>((B21+B23)*(1+'NPV Calculation'!$C$1)^30)/(1+'NPV Calculation'!$C$2)^30</f>
        <v>134.590525128731</v>
      </c>
      <c r="C29" s="97" t="s">
        <v>207</v>
      </c>
      <c r="D29" s="114"/>
      <c r="E29" s="114"/>
      <c r="F29" s="114"/>
      <c r="G29" s="114"/>
      <c r="H29" s="114"/>
      <c r="I29" s="114"/>
      <c r="J29" s="114"/>
      <c r="K29" s="114"/>
    </row>
    <row r="30" spans="1:11" x14ac:dyDescent="0.25">
      <c r="A30" s="105" t="s">
        <v>654</v>
      </c>
      <c r="B30" s="118">
        <f>((B21+B23)*(1+'NPV Calculation low'!$C$1)^30)/(1+'NPV Calculation low'!$C$2)^30</f>
        <v>1007.4469356175597</v>
      </c>
      <c r="C30" s="97" t="s">
        <v>207</v>
      </c>
      <c r="D30" s="114"/>
      <c r="E30" s="114"/>
      <c r="F30" s="114"/>
      <c r="G30" s="114"/>
      <c r="H30" s="114"/>
      <c r="I30" s="114"/>
      <c r="J30" s="114"/>
      <c r="K30" s="114"/>
    </row>
    <row r="31" spans="1:11" x14ac:dyDescent="0.25">
      <c r="A31" s="105" t="s">
        <v>655</v>
      </c>
      <c r="B31" s="118">
        <f>((B21+B23)*(1+'NPV Calculation high'!$C$1)^30)/(1+'NPV Calculation high'!$C$2)^30</f>
        <v>74.201642347455788</v>
      </c>
      <c r="C31" s="97" t="s">
        <v>207</v>
      </c>
      <c r="D31" s="114"/>
      <c r="E31" s="114"/>
      <c r="F31" s="114"/>
      <c r="G31" s="114"/>
      <c r="H31" s="114"/>
      <c r="I31" s="114"/>
      <c r="J31" s="114"/>
      <c r="K31" s="114"/>
    </row>
    <row r="32" spans="1:11" x14ac:dyDescent="0.25">
      <c r="A32" s="105"/>
      <c r="B32" s="118"/>
      <c r="C32" s="97"/>
      <c r="D32" s="114"/>
      <c r="E32" s="114"/>
      <c r="F32" s="114"/>
      <c r="G32" s="114"/>
      <c r="H32" s="114"/>
      <c r="I32" s="114"/>
      <c r="J32" s="114"/>
      <c r="K32" s="114"/>
    </row>
    <row r="33" spans="1:11" ht="15.75" x14ac:dyDescent="0.25">
      <c r="A33" s="120" t="s">
        <v>572</v>
      </c>
      <c r="B33" s="117"/>
      <c r="C33" s="116"/>
      <c r="D33" s="114"/>
      <c r="E33" s="114"/>
      <c r="F33" s="114"/>
      <c r="G33" s="114"/>
      <c r="H33" s="114"/>
      <c r="I33" s="114"/>
      <c r="J33" s="114"/>
      <c r="K33" s="114"/>
    </row>
    <row r="34" spans="1:11" ht="15.75" x14ac:dyDescent="0.25">
      <c r="A34" s="123" t="s">
        <v>573</v>
      </c>
      <c r="B34" s="117"/>
      <c r="C34" s="116"/>
      <c r="D34" s="114"/>
      <c r="E34" s="114"/>
      <c r="F34" s="114"/>
      <c r="G34" s="114"/>
      <c r="H34" s="114"/>
      <c r="I34" s="114"/>
      <c r="J34" s="114"/>
      <c r="K34" s="114"/>
    </row>
    <row r="35" spans="1:11" ht="15.75" x14ac:dyDescent="0.25">
      <c r="A35" s="123" t="s">
        <v>574</v>
      </c>
      <c r="B35" s="117"/>
      <c r="C35" s="116"/>
      <c r="D35" s="114"/>
      <c r="E35" s="114"/>
      <c r="F35" s="114"/>
      <c r="G35" s="114"/>
      <c r="H35" s="114"/>
      <c r="I35" s="114"/>
      <c r="J35" s="114"/>
      <c r="K35" s="114"/>
    </row>
    <row r="36" spans="1:11" ht="15.75" x14ac:dyDescent="0.25">
      <c r="A36" s="123"/>
      <c r="B36" s="117"/>
      <c r="C36" s="116"/>
      <c r="D36" s="114"/>
      <c r="E36" s="114"/>
      <c r="F36" s="114"/>
      <c r="G36" s="114"/>
      <c r="H36" s="114"/>
      <c r="I36" s="114"/>
      <c r="J36" s="114"/>
      <c r="K36" s="114"/>
    </row>
    <row r="37" spans="1:11" ht="15.75" x14ac:dyDescent="0.25">
      <c r="A37" s="123" t="s">
        <v>576</v>
      </c>
      <c r="B37" s="117"/>
      <c r="C37" s="116"/>
      <c r="D37" s="114"/>
      <c r="E37" s="114"/>
      <c r="F37" s="114"/>
      <c r="G37" s="114"/>
      <c r="H37" s="114"/>
      <c r="I37" s="114"/>
      <c r="J37" s="114"/>
      <c r="K37" s="114"/>
    </row>
    <row r="38" spans="1:11" ht="15.75" x14ac:dyDescent="0.25">
      <c r="A38" s="123" t="s">
        <v>648</v>
      </c>
      <c r="B38" s="117"/>
      <c r="C38" s="116"/>
      <c r="D38" s="114"/>
      <c r="E38" s="114"/>
      <c r="F38" s="114"/>
      <c r="G38" s="114"/>
      <c r="H38" s="114"/>
      <c r="I38" s="114"/>
      <c r="J38" s="114"/>
      <c r="K38" s="114"/>
    </row>
    <row r="39" spans="1:11" ht="15.75" x14ac:dyDescent="0.25">
      <c r="A39" s="123" t="s">
        <v>577</v>
      </c>
      <c r="B39" s="95"/>
      <c r="C39" s="95"/>
      <c r="D39" s="95"/>
      <c r="E39" s="95"/>
      <c r="F39" s="95"/>
      <c r="G39" s="95"/>
      <c r="H39" s="95"/>
      <c r="I39" s="95"/>
      <c r="J39" s="95"/>
      <c r="K39" s="95"/>
    </row>
    <row r="41" spans="1:11" x14ac:dyDescent="0.25">
      <c r="B41" s="7"/>
    </row>
    <row r="42" spans="1:11" x14ac:dyDescent="0.25">
      <c r="B42" s="7"/>
    </row>
    <row r="43" spans="1:11" x14ac:dyDescent="0.25">
      <c r="B43" s="7"/>
    </row>
    <row r="44" spans="1:11" x14ac:dyDescent="0.25">
      <c r="B44" s="7"/>
    </row>
    <row r="45" spans="1:11" x14ac:dyDescent="0.25">
      <c r="B45" s="7"/>
    </row>
    <row r="50" spans="1:4" x14ac:dyDescent="0.25">
      <c r="A50" s="35"/>
    </row>
    <row r="64" spans="1:4" x14ac:dyDescent="0.25">
      <c r="B64" s="36"/>
      <c r="D64" s="36"/>
    </row>
    <row r="65" spans="1:4" x14ac:dyDescent="0.25">
      <c r="B65" s="36"/>
      <c r="D65" s="36"/>
    </row>
    <row r="66" spans="1:4" x14ac:dyDescent="0.25">
      <c r="B66" s="36"/>
      <c r="D66" s="36"/>
    </row>
    <row r="67" spans="1:4" x14ac:dyDescent="0.25">
      <c r="B67" s="36"/>
      <c r="D67" s="36"/>
    </row>
    <row r="68" spans="1:4" x14ac:dyDescent="0.25">
      <c r="B68" s="36"/>
      <c r="D68" s="36"/>
    </row>
    <row r="75" spans="1:4" x14ac:dyDescent="0.25">
      <c r="A75" s="39"/>
    </row>
    <row r="76" spans="1:4" x14ac:dyDescent="0.25">
      <c r="A76" s="39"/>
    </row>
    <row r="77" spans="1:4" x14ac:dyDescent="0.25">
      <c r="A77" s="39"/>
    </row>
    <row r="78" spans="1:4" x14ac:dyDescent="0.25">
      <c r="A78" s="39"/>
    </row>
    <row r="79" spans="1:4" x14ac:dyDescent="0.25">
      <c r="A79" s="39"/>
    </row>
    <row r="80" spans="1:4" x14ac:dyDescent="0.25">
      <c r="A80" s="39"/>
    </row>
    <row r="81" spans="1:5" x14ac:dyDescent="0.25">
      <c r="A81" s="39"/>
    </row>
    <row r="82" spans="1:5" x14ac:dyDescent="0.25">
      <c r="A82" s="39"/>
    </row>
    <row r="83" spans="1:5" x14ac:dyDescent="0.25">
      <c r="A83" s="39"/>
    </row>
    <row r="84" spans="1:5" x14ac:dyDescent="0.25">
      <c r="A84" s="39"/>
    </row>
    <row r="85" spans="1:5" x14ac:dyDescent="0.25">
      <c r="A85" s="39"/>
    </row>
    <row r="86" spans="1:5" x14ac:dyDescent="0.25">
      <c r="A86" s="39"/>
    </row>
    <row r="88" spans="1:5" x14ac:dyDescent="0.25">
      <c r="A88" s="35"/>
      <c r="B88" s="41"/>
    </row>
    <row r="89" spans="1:5" x14ac:dyDescent="0.25">
      <c r="A89" s="35"/>
      <c r="B89" s="36"/>
    </row>
    <row r="96" spans="1:5" x14ac:dyDescent="0.25">
      <c r="A96" s="48"/>
      <c r="B96" s="48"/>
      <c r="C96" s="48"/>
      <c r="D96" s="48"/>
      <c r="E96" s="48"/>
    </row>
    <row r="97" spans="1:5" x14ac:dyDescent="0.25">
      <c r="A97" s="48"/>
      <c r="B97" s="49"/>
      <c r="C97" s="49"/>
      <c r="D97" s="49"/>
      <c r="E97" s="49"/>
    </row>
    <row r="98" spans="1:5" x14ac:dyDescent="0.25">
      <c r="A98" s="48"/>
      <c r="B98" s="50"/>
      <c r="C98" s="50"/>
      <c r="D98" s="50"/>
      <c r="E98" s="50"/>
    </row>
    <row r="99" spans="1:5" x14ac:dyDescent="0.25">
      <c r="A99" s="48"/>
      <c r="B99" s="50"/>
      <c r="C99" s="50"/>
      <c r="D99" s="50"/>
      <c r="E99" s="50"/>
    </row>
    <row r="100" spans="1:5" x14ac:dyDescent="0.25">
      <c r="A100" s="48"/>
      <c r="B100" s="50"/>
      <c r="C100" s="50"/>
      <c r="D100" s="50"/>
      <c r="E100" s="50"/>
    </row>
    <row r="101" spans="1:5" x14ac:dyDescent="0.25">
      <c r="A101" s="48"/>
      <c r="B101" s="50"/>
      <c r="C101" s="50"/>
      <c r="D101" s="50"/>
      <c r="E101" s="50"/>
    </row>
    <row r="102" spans="1:5" x14ac:dyDescent="0.25">
      <c r="A102" s="48"/>
      <c r="B102" s="50"/>
      <c r="C102" s="50"/>
      <c r="D102" s="50"/>
      <c r="E102" s="50"/>
    </row>
    <row r="103" spans="1:5" x14ac:dyDescent="0.25">
      <c r="A103" s="48"/>
      <c r="B103" s="50"/>
      <c r="C103" s="50"/>
      <c r="D103" s="50"/>
      <c r="E103" s="50"/>
    </row>
    <row r="104" spans="1:5" x14ac:dyDescent="0.25">
      <c r="A104" s="51"/>
      <c r="B104" s="52"/>
      <c r="C104" s="52"/>
      <c r="D104" s="52"/>
      <c r="E104" s="52"/>
    </row>
    <row r="105" spans="1:5" x14ac:dyDescent="0.25">
      <c r="B105" s="40"/>
      <c r="C105" s="40"/>
      <c r="D105" s="40"/>
      <c r="E105" s="40"/>
    </row>
    <row r="106" spans="1:5" x14ac:dyDescent="0.25">
      <c r="B106" s="36"/>
      <c r="C106" s="36"/>
      <c r="D106" s="36"/>
      <c r="E106" s="36"/>
    </row>
    <row r="107" spans="1:5" x14ac:dyDescent="0.25">
      <c r="B107" s="40"/>
      <c r="C107" s="40"/>
      <c r="D107" s="40"/>
      <c r="E107" s="40"/>
    </row>
    <row r="108" spans="1:5" x14ac:dyDescent="0.25">
      <c r="B108" s="40"/>
      <c r="C108" s="40"/>
      <c r="D108" s="40"/>
      <c r="E108" s="40"/>
    </row>
    <row r="109" spans="1:5" x14ac:dyDescent="0.25">
      <c r="B109" s="40"/>
      <c r="C109" s="40"/>
      <c r="D109" s="40"/>
      <c r="E109" s="40"/>
    </row>
    <row r="110" spans="1:5" x14ac:dyDescent="0.25">
      <c r="A110" s="22"/>
      <c r="B110" s="53"/>
      <c r="C110" s="53"/>
      <c r="D110" s="53"/>
      <c r="E110" s="53"/>
    </row>
    <row r="111" spans="1:5" x14ac:dyDescent="0.25">
      <c r="B111" s="40"/>
      <c r="C111" s="40"/>
    </row>
    <row r="113" spans="1:1" x14ac:dyDescent="0.25">
      <c r="A113" s="7"/>
    </row>
    <row r="114" spans="1:1" x14ac:dyDescent="0.25">
      <c r="A114" s="32"/>
    </row>
    <row r="115" spans="1:1" x14ac:dyDescent="0.25">
      <c r="A115" s="32"/>
    </row>
  </sheetData>
  <conditionalFormatting sqref="L11:M11 G11:J12">
    <cfRule type="cellIs" dxfId="49" priority="1" operator="lessThan">
      <formula>0</formula>
    </cfRule>
    <cfRule type="cellIs" dxfId="48" priority="2" operator="greaterThan">
      <formula>0</formula>
    </cfRule>
  </conditionalFormatting>
  <pageMargins left="0.7" right="0.7" top="0.75" bottom="0.75" header="0.3" footer="0.3"/>
  <pageSetup paperSize="9" orientation="portrait" r:id="rId1"/>
  <legacy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M83"/>
  <sheetViews>
    <sheetView topLeftCell="A9" zoomScale="80" zoomScaleNormal="80" workbookViewId="0">
      <pane xSplit="1" ySplit="11" topLeftCell="I20" activePane="bottomRight" state="frozen"/>
      <selection activeCell="A9" sqref="A9"/>
      <selection pane="topRight" activeCell="B9" sqref="B9"/>
      <selection pane="bottomLeft" activeCell="A20" sqref="A20"/>
      <selection pane="bottomRight" activeCell="K37" sqref="K37:K38"/>
    </sheetView>
  </sheetViews>
  <sheetFormatPr defaultRowHeight="15" x14ac:dyDescent="0.25"/>
  <cols>
    <col min="1" max="1" width="88.85546875" bestFit="1" customWidth="1"/>
    <col min="2" max="2" width="19.42578125" customWidth="1"/>
    <col min="3" max="3" width="16.7109375" bestFit="1" customWidth="1"/>
    <col min="4" max="4" width="20.28515625" customWidth="1"/>
    <col min="5" max="5" width="19.42578125" customWidth="1"/>
    <col min="6" max="6" width="20.140625" customWidth="1"/>
    <col min="7" max="10" width="29.7109375" customWidth="1"/>
    <col min="11" max="11" width="39.5703125" bestFit="1" customWidth="1"/>
    <col min="12" max="13" width="26.28515625" customWidth="1"/>
  </cols>
  <sheetData>
    <row r="1" spans="1:6" x14ac:dyDescent="0.25">
      <c r="A1" s="1" t="s">
        <v>7</v>
      </c>
    </row>
    <row r="2" spans="1:6" x14ac:dyDescent="0.25">
      <c r="A2" t="s">
        <v>33</v>
      </c>
      <c r="B2" t="s">
        <v>0</v>
      </c>
      <c r="E2" s="1" t="str">
        <f>HYPERLINK('General variables'!$B$4&amp;NZLCPEGHGB!B3&amp;".bld","Link to apart file")</f>
        <v>Link to apart file</v>
      </c>
    </row>
    <row r="3" spans="1:6" x14ac:dyDescent="0.25">
      <c r="A3" t="s">
        <v>34</v>
      </c>
      <c r="B3" t="s">
        <v>1</v>
      </c>
      <c r="E3" s="1"/>
      <c r="F3" s="1"/>
    </row>
    <row r="4" spans="1:6" x14ac:dyDescent="0.25">
      <c r="A4" s="95" t="s">
        <v>379</v>
      </c>
    </row>
    <row r="6" spans="1:6" x14ac:dyDescent="0.25">
      <c r="A6" t="s">
        <v>33</v>
      </c>
      <c r="B6" t="e">
        <f>#REF!</f>
        <v>#REF!</v>
      </c>
      <c r="E6" s="1" t="e">
        <f>HYPERLINK('General variables'!$B$4&amp;NZLCPEGHGB!B7&amp;".bld","Link to apart file")</f>
        <v>#REF!</v>
      </c>
    </row>
    <row r="7" spans="1:6" x14ac:dyDescent="0.25">
      <c r="A7" t="s">
        <v>34</v>
      </c>
      <c r="B7" t="e">
        <f>#REF!</f>
        <v>#REF!</v>
      </c>
      <c r="E7" s="1"/>
    </row>
    <row r="8" spans="1:6" s="8" customFormat="1" x14ac:dyDescent="0.25">
      <c r="A8" s="8" t="s">
        <v>83</v>
      </c>
      <c r="B8" s="9" t="s">
        <v>316</v>
      </c>
    </row>
    <row r="9" spans="1:6" s="10" customFormat="1" x14ac:dyDescent="0.25">
      <c r="B9" s="11" t="s">
        <v>864</v>
      </c>
    </row>
    <row r="10" spans="1:6" s="10" customFormat="1" x14ac:dyDescent="0.25">
      <c r="B10" s="11" t="s">
        <v>314</v>
      </c>
    </row>
    <row r="11" spans="1:6" s="10" customFormat="1" x14ac:dyDescent="0.25">
      <c r="B11" s="11" t="s">
        <v>133</v>
      </c>
    </row>
    <row r="12" spans="1:6" s="10" customFormat="1" x14ac:dyDescent="0.25">
      <c r="B12" s="11" t="s">
        <v>313</v>
      </c>
    </row>
    <row r="13" spans="1:6" s="10" customFormat="1" x14ac:dyDescent="0.25">
      <c r="B13" s="11" t="s">
        <v>865</v>
      </c>
    </row>
    <row r="14" spans="1:6" s="10" customFormat="1" x14ac:dyDescent="0.25">
      <c r="B14" s="11" t="s">
        <v>385</v>
      </c>
    </row>
    <row r="15" spans="1:6" s="10" customFormat="1" x14ac:dyDescent="0.25">
      <c r="B15" s="11" t="s">
        <v>866</v>
      </c>
    </row>
    <row r="16" spans="1:6" s="10" customFormat="1" x14ac:dyDescent="0.25">
      <c r="B16" s="11" t="s">
        <v>867</v>
      </c>
    </row>
    <row r="17" spans="1:13" s="10" customFormat="1" x14ac:dyDescent="0.25">
      <c r="B17" s="11" t="s">
        <v>868</v>
      </c>
    </row>
    <row r="18" spans="1:13" s="10" customFormat="1" x14ac:dyDescent="0.25">
      <c r="B18" s="11" t="s">
        <v>869</v>
      </c>
    </row>
    <row r="19" spans="1:13" ht="18" x14ac:dyDescent="0.35">
      <c r="A19" t="s">
        <v>85</v>
      </c>
      <c r="B19" t="s">
        <v>86</v>
      </c>
      <c r="C19" t="s">
        <v>87</v>
      </c>
      <c r="D19" t="s">
        <v>8</v>
      </c>
      <c r="E19" t="s">
        <v>10</v>
      </c>
      <c r="F19" t="s">
        <v>11</v>
      </c>
      <c r="G19" t="s">
        <v>27</v>
      </c>
      <c r="H19" t="s">
        <v>580</v>
      </c>
      <c r="I19" t="s">
        <v>581</v>
      </c>
      <c r="J19" t="s">
        <v>582</v>
      </c>
      <c r="K19" t="s">
        <v>141</v>
      </c>
      <c r="L19" t="s">
        <v>26</v>
      </c>
      <c r="M19" t="s">
        <v>586</v>
      </c>
    </row>
    <row r="20" spans="1:13" x14ac:dyDescent="0.25">
      <c r="A20" t="s">
        <v>167</v>
      </c>
      <c r="B20">
        <f>PV!B3</f>
        <v>6.5881249999999998</v>
      </c>
      <c r="C20">
        <f>PV!C3</f>
        <v>6.5881249999999998</v>
      </c>
      <c r="D20" t="s">
        <v>183</v>
      </c>
      <c r="E20" s="2">
        <f>111.445/3*Table4691113151718202122272932[[#This Row],[Delivered qtty]]</f>
        <v>244.73786354166666</v>
      </c>
      <c r="F20" s="2">
        <f>Table4691113151718202122272932[[#This Row],[IEE (GJ)]]</f>
        <v>244.73786354166666</v>
      </c>
      <c r="G20" s="2">
        <f>Table4691113151718202122272932[[#This Row],[REE (GJ/50 years)]]+Table4691113151718202122272932[[#This Row],[IEE (GJ)]]</f>
        <v>489.47572708333331</v>
      </c>
      <c r="H20" s="2">
        <f>8660.9748359499/3*Table4691113151718202122272932[[#This Row],[Delivered qtty]]</f>
        <v>19019.861613697478</v>
      </c>
      <c r="I20" s="2">
        <f>8660.9748359499/3*Table4691113151718202122272932[[#This Row],[Delivered qtty]]</f>
        <v>19019.861613697478</v>
      </c>
      <c r="J20" s="2">
        <f>Table4691113151718202122272932[[#This Row],[REGHG (kgCO2e)]]+Table4691113151718202122272932[[#This Row],[IEGHG (kgCO2e)]]</f>
        <v>38039.723227394956</v>
      </c>
      <c r="K20" s="13"/>
      <c r="L20">
        <v>0</v>
      </c>
      <c r="M20">
        <v>0</v>
      </c>
    </row>
    <row r="21" spans="1:13" x14ac:dyDescent="0.25">
      <c r="A21" t="s">
        <v>202</v>
      </c>
      <c r="B21" s="2">
        <v>1</v>
      </c>
      <c r="C21">
        <v>1</v>
      </c>
      <c r="E21" s="2"/>
      <c r="F21" s="2"/>
      <c r="G21" s="2"/>
      <c r="H21" s="2"/>
      <c r="I21" s="2">
        <v>0</v>
      </c>
      <c r="J21" s="2">
        <v>0</v>
      </c>
      <c r="K21" s="13"/>
      <c r="L21">
        <v>0</v>
      </c>
      <c r="M21">
        <v>0</v>
      </c>
    </row>
    <row r="22" spans="1:13" x14ac:dyDescent="0.25">
      <c r="A22" t="s">
        <v>171</v>
      </c>
      <c r="B22" s="2">
        <v>1</v>
      </c>
      <c r="C22">
        <v>1</v>
      </c>
      <c r="D22" t="s">
        <v>97</v>
      </c>
      <c r="E22" s="2">
        <v>6.15</v>
      </c>
      <c r="F22" s="2">
        <v>24.6</v>
      </c>
      <c r="G22" s="2">
        <v>30.75</v>
      </c>
      <c r="H22" s="2">
        <v>660.43343812499995</v>
      </c>
      <c r="I22" s="2">
        <v>2641.7337524999998</v>
      </c>
      <c r="J22" s="2">
        <v>3302.1671906249999</v>
      </c>
      <c r="K22" s="13"/>
      <c r="L22">
        <v>0</v>
      </c>
      <c r="M22">
        <v>0</v>
      </c>
    </row>
    <row r="23" spans="1:13" x14ac:dyDescent="0.25">
      <c r="A23" t="s">
        <v>172</v>
      </c>
      <c r="B23" s="2">
        <v>24</v>
      </c>
      <c r="C23">
        <v>24</v>
      </c>
      <c r="D23" t="s">
        <v>97</v>
      </c>
      <c r="E23" s="2">
        <v>37.68</v>
      </c>
      <c r="F23" s="2">
        <v>150.72</v>
      </c>
      <c r="G23" s="2">
        <v>188.4</v>
      </c>
      <c r="H23" s="2">
        <v>4057.7030438400002</v>
      </c>
      <c r="I23" s="2">
        <v>16230.812175360001</v>
      </c>
      <c r="J23" s="2">
        <v>20288.515219200002</v>
      </c>
      <c r="K23" s="13"/>
      <c r="L23">
        <v>0</v>
      </c>
      <c r="M23">
        <v>0</v>
      </c>
    </row>
    <row r="24" spans="1:13" x14ac:dyDescent="0.25">
      <c r="A24" t="s">
        <v>170</v>
      </c>
      <c r="B24" s="2"/>
      <c r="E24" s="2"/>
      <c r="F24" s="2"/>
      <c r="G24" s="2"/>
      <c r="H24" s="2">
        <v>0</v>
      </c>
      <c r="I24" s="2">
        <v>0</v>
      </c>
      <c r="J24" s="2">
        <v>0</v>
      </c>
      <c r="K24" s="13">
        <f>(ALL_OPE!H25+ALL_OPE!H26+ALL_OPE!H27+ALL_OPE!H29)</f>
        <v>-1182.0263157894738</v>
      </c>
      <c r="L24">
        <f>Table4691113151718202122272932[[#This Row],[Delivered  energy (GJ/50 years)]]*'General variables'!$B$9</f>
        <v>-4491.7</v>
      </c>
      <c r="M24">
        <f>Table4691113151718202122272932[[#This Row],[Primary OPE (GJ/50 years)]]*'General variables'!$B$13</f>
        <v>-324401.80325</v>
      </c>
    </row>
    <row r="25" spans="1:13" x14ac:dyDescent="0.25">
      <c r="A25" t="s">
        <v>596</v>
      </c>
      <c r="B25" s="2"/>
      <c r="E25" s="2"/>
      <c r="F25" s="2"/>
      <c r="G25" s="2"/>
      <c r="H25" s="2">
        <v>0</v>
      </c>
      <c r="I25" s="2">
        <v>0</v>
      </c>
      <c r="J25" s="2">
        <v>0</v>
      </c>
      <c r="K25" s="13">
        <f>PV!K8</f>
        <v>-168.01931421052629</v>
      </c>
      <c r="L25">
        <f>Table4691113151718202122272932[[#This Row],[Delivered  energy (GJ/50 years)]]*'General variables'!$B$9</f>
        <v>-638.47339399999987</v>
      </c>
      <c r="M25">
        <f>Table4691113151718202122272932[[#This Row],[Primary OPE (GJ/50 years)]]*'General variables'!$B$13</f>
        <v>-46112.144698164986</v>
      </c>
    </row>
    <row r="26" spans="1:13" x14ac:dyDescent="0.25">
      <c r="A26" s="83" t="s">
        <v>378</v>
      </c>
      <c r="B26" s="2">
        <v>1</v>
      </c>
      <c r="C26">
        <v>1</v>
      </c>
      <c r="D26" t="s">
        <v>97</v>
      </c>
      <c r="E26" s="2">
        <v>24.5</v>
      </c>
      <c r="F26" s="2">
        <f>Table4691113151718202122272932[[#This Row],[IEE (GJ)]]</f>
        <v>24.5</v>
      </c>
      <c r="G26" s="2">
        <f>Table4691113151718202122272932[[#This Row],[REE (GJ/50 years)]]+Table4691113151718202122272932[[#This Row],[IEE (GJ)]]</f>
        <v>49</v>
      </c>
      <c r="H26" s="2">
        <v>1863</v>
      </c>
      <c r="I26" s="2">
        <v>1863</v>
      </c>
      <c r="J26" s="2">
        <f>Table4691113151718202122272932[[#This Row],[REGHG (kgCO2e)]]+Table4691113151718202122272932[[#This Row],[IEGHG (kgCO2e)]]</f>
        <v>3726</v>
      </c>
      <c r="K26" s="13"/>
    </row>
    <row r="27" spans="1:13" x14ac:dyDescent="0.25">
      <c r="A27" t="s">
        <v>138</v>
      </c>
      <c r="B27" s="2">
        <v>1</v>
      </c>
      <c r="C27">
        <v>1</v>
      </c>
      <c r="D27" t="s">
        <v>97</v>
      </c>
      <c r="E27" s="2">
        <v>-3</v>
      </c>
      <c r="F27" s="2">
        <f>Table4691113151718202122272932[[#This Row],[IEE (GJ)]]</f>
        <v>-3</v>
      </c>
      <c r="G27" s="2">
        <f>Table4691113151718202122272932[[#This Row],[REE (GJ/50 years)]]+Table4691113151718202122272932[[#This Row],[IEE (GJ)]]</f>
        <v>-6</v>
      </c>
      <c r="H27" s="2">
        <v>-226</v>
      </c>
      <c r="I27" s="2">
        <v>-226</v>
      </c>
      <c r="J27" s="2">
        <f>Table4691113151718202122272932[[#This Row],[REGHG (kgCO2e)]]+Table4691113151718202122272932[[#This Row],[IEGHG (kgCO2e)]]</f>
        <v>-452</v>
      </c>
      <c r="K27" s="13"/>
    </row>
    <row r="28" spans="1:13" x14ac:dyDescent="0.25">
      <c r="A28" t="s">
        <v>591</v>
      </c>
      <c r="B28" s="2">
        <v>10</v>
      </c>
      <c r="C28">
        <v>10</v>
      </c>
      <c r="D28" t="s">
        <v>97</v>
      </c>
      <c r="E28" s="2">
        <v>-14</v>
      </c>
      <c r="F28" s="2">
        <v>-14</v>
      </c>
      <c r="G28" s="2">
        <v>-28</v>
      </c>
      <c r="H28" s="2">
        <v>-1074</v>
      </c>
      <c r="I28" s="2">
        <v>-1074</v>
      </c>
      <c r="J28" s="2">
        <v>-2148</v>
      </c>
      <c r="K28" s="13">
        <f>Table4691113151718202122272932[[#This Row],[Primary OPE (GJ/50 years)]]/1.1</f>
        <v>0</v>
      </c>
    </row>
    <row r="29" spans="1:13" x14ac:dyDescent="0.25">
      <c r="A29" s="83" t="s">
        <v>592</v>
      </c>
      <c r="B29" s="2">
        <v>1</v>
      </c>
      <c r="C29">
        <v>1</v>
      </c>
      <c r="D29" t="s">
        <v>97</v>
      </c>
      <c r="E29" s="2">
        <v>-7.7</v>
      </c>
      <c r="F29" s="2">
        <v>-7.7</v>
      </c>
      <c r="G29" s="2">
        <v>-15.4</v>
      </c>
      <c r="H29" s="2">
        <v>-508.6</v>
      </c>
      <c r="I29" s="2">
        <v>-508.6</v>
      </c>
      <c r="J29" s="2">
        <v>-1017.2</v>
      </c>
      <c r="K29" s="13">
        <f>Table4691113151718202122272932[[#This Row],[Primary OPE (GJ/50 years)]]/1.1</f>
        <v>0</v>
      </c>
    </row>
    <row r="30" spans="1:13" x14ac:dyDescent="0.25">
      <c r="A30" t="s">
        <v>597</v>
      </c>
      <c r="B30" s="2">
        <v>14</v>
      </c>
      <c r="D30" t="s">
        <v>18</v>
      </c>
      <c r="E30" s="2">
        <f>'INSUL+'!E3</f>
        <v>55.752000000000002</v>
      </c>
      <c r="F30" s="2">
        <v>0</v>
      </c>
      <c r="G30" s="2">
        <f>Table4691113151718202122272932[[#This Row],[IEE (GJ)]]+Table4691113151718202122272932[[#This Row],[REE (GJ/50 years)]]</f>
        <v>55.752000000000002</v>
      </c>
      <c r="H30" s="2">
        <v>2877.0339450000001</v>
      </c>
      <c r="I30" s="2">
        <v>0</v>
      </c>
      <c r="J30" s="2">
        <v>2877.0339450000001</v>
      </c>
      <c r="K30" s="13"/>
    </row>
    <row r="31" spans="1:13" x14ac:dyDescent="0.25">
      <c r="A31" t="s">
        <v>147</v>
      </c>
      <c r="B31" s="2"/>
      <c r="E31" s="2"/>
      <c r="F31" s="2">
        <f>Table4691113151718202122272932[[#This Row],[IEE (GJ)]]</f>
        <v>0</v>
      </c>
      <c r="G31" s="2">
        <f>Table4691113151718202122272932[[#This Row],[REE (GJ/50 years)]]+Table4691113151718202122272932[[#This Row],[IEE (GJ)]]</f>
        <v>0</v>
      </c>
      <c r="H31" s="2"/>
      <c r="I31" s="2"/>
      <c r="J31" s="2"/>
      <c r="K31" s="12">
        <v>-653.99999999999989</v>
      </c>
      <c r="L31">
        <f>Table4691113151718202122272932[[#This Row],[Delivered  energy (GJ/50 years)]]*'General variables'!$B$10</f>
        <v>-719.4</v>
      </c>
      <c r="M31">
        <f>Table4691113151718202122272932[[#This Row],[Primary OPE (GJ/50 years)]]*'General variables'!$B$14</f>
        <v>-43307.88</v>
      </c>
    </row>
    <row r="32" spans="1:13" x14ac:dyDescent="0.25">
      <c r="A32" t="s">
        <v>148</v>
      </c>
      <c r="B32" s="2"/>
      <c r="E32" s="2"/>
      <c r="F32" s="2"/>
      <c r="G32" s="2"/>
      <c r="H32" s="2"/>
      <c r="I32" s="2"/>
      <c r="J32" s="2"/>
      <c r="K32" s="13">
        <v>-297.10526315789474</v>
      </c>
      <c r="L32">
        <f>Table4691113151718202122272932[[#This Row],[Delivered  energy (GJ/50 years)]]*'General variables'!$B$9</f>
        <v>-1129</v>
      </c>
      <c r="M32">
        <f>Table4691113151718202122272932[[#This Row],[Primary OPE (GJ/50 years)]]*'General variables'!$B$13</f>
        <v>-81539.202499999999</v>
      </c>
    </row>
    <row r="33" spans="1:13" x14ac:dyDescent="0.25">
      <c r="A33" t="s">
        <v>149</v>
      </c>
      <c r="B33" s="2"/>
      <c r="E33" s="2"/>
      <c r="F33" s="2"/>
      <c r="G33" s="2"/>
      <c r="H33" s="2"/>
      <c r="I33" s="2"/>
      <c r="J33" s="2"/>
      <c r="K33" s="13">
        <v>-534.73684210526324</v>
      </c>
      <c r="L33">
        <f>Table4691113151718202122272932[[#This Row],[Delivered  energy (GJ/50 years)]]*'General variables'!$B$9</f>
        <v>-2032.0000000000002</v>
      </c>
      <c r="M33">
        <f>Table4691113151718202122272932[[#This Row],[Primary OPE (GJ/50 years)]]*'General variables'!$B$13</f>
        <v>-146756.12</v>
      </c>
    </row>
    <row r="34" spans="1:13" x14ac:dyDescent="0.25">
      <c r="A34" t="s">
        <v>150</v>
      </c>
      <c r="B34" s="2"/>
      <c r="E34" s="2"/>
      <c r="F34" s="2"/>
      <c r="G34" s="2"/>
      <c r="H34" s="2"/>
      <c r="I34" s="2"/>
      <c r="J34" s="2"/>
      <c r="K34" s="13">
        <v>-47.289473684210527</v>
      </c>
      <c r="L34">
        <f>Table4691113151718202122272932[[#This Row],[Delivered  energy (GJ/50 years)]]*'General variables'!$B$9</f>
        <v>-179.7</v>
      </c>
      <c r="M34">
        <f>Table4691113151718202122272932[[#This Row],[Primary OPE (GJ/50 years)]]*'General variables'!$B$13</f>
        <v>-12978.383249999999</v>
      </c>
    </row>
    <row r="35" spans="1:13" x14ac:dyDescent="0.25">
      <c r="A35" t="s">
        <v>151</v>
      </c>
      <c r="B35" s="2"/>
      <c r="E35" s="2"/>
      <c r="F35" s="2"/>
      <c r="G35" s="2"/>
      <c r="H35" s="2"/>
      <c r="I35" s="2"/>
      <c r="J35" s="2"/>
      <c r="K35" s="12">
        <v>-219</v>
      </c>
      <c r="L35">
        <f>Table4691113151718202122272932[[#This Row],[Delivered  energy (GJ/50 years)]]*'General variables'!$B$10</f>
        <v>-240.9</v>
      </c>
      <c r="M35">
        <f>Table4691113151718202122272932[[#This Row],[Primary OPE (GJ/50 years)]]*'General variables'!$B$14</f>
        <v>-14502.18</v>
      </c>
    </row>
    <row r="36" spans="1:13" x14ac:dyDescent="0.25">
      <c r="A36" t="s">
        <v>152</v>
      </c>
      <c r="B36" s="2"/>
      <c r="E36" s="2"/>
      <c r="F36" s="2"/>
      <c r="G36" s="2"/>
      <c r="H36" s="2"/>
      <c r="I36" s="2"/>
      <c r="J36" s="2"/>
      <c r="K36" s="13">
        <v>-302.89473684210526</v>
      </c>
      <c r="L36">
        <f>Table4691113151718202122272932[[#This Row],[Delivered  energy (GJ/50 years)]]*'General variables'!$B$9</f>
        <v>-1151</v>
      </c>
      <c r="M36">
        <f>Table4691113151718202122272932[[#This Row],[Primary OPE (GJ/50 years)]]*'General variables'!$B$13</f>
        <v>-83128.097499999989</v>
      </c>
    </row>
    <row r="37" spans="1:13" ht="14.25" customHeight="1" x14ac:dyDescent="0.25">
      <c r="A37" s="3" t="s">
        <v>129</v>
      </c>
      <c r="B37" s="4"/>
      <c r="D37" s="3"/>
      <c r="E37" s="4"/>
      <c r="F37" s="2"/>
      <c r="G37" s="4"/>
      <c r="H37" s="4"/>
      <c r="I37" s="4"/>
      <c r="J37" s="4"/>
      <c r="K37" s="165">
        <v>88.006111535523232</v>
      </c>
      <c r="L37" s="3">
        <f>Table4691113151718202122272932[[#This Row],[Delivered  energy (GJ/50 years)]]*'General variables'!$B$9</f>
        <v>334.42322383498828</v>
      </c>
      <c r="M37" s="3">
        <f>Table4691113151718202122272932[[#This Row],[Primary OPE (GJ/50 years)]]*'General variables'!$B$13</f>
        <v>24152.881283422441</v>
      </c>
    </row>
    <row r="38" spans="1:13" x14ac:dyDescent="0.25">
      <c r="A38" s="3" t="s">
        <v>130</v>
      </c>
      <c r="B38" s="4"/>
      <c r="D38" s="3"/>
      <c r="E38" s="4"/>
      <c r="F38" s="2"/>
      <c r="G38" s="4"/>
      <c r="H38" s="4"/>
      <c r="I38" s="4"/>
      <c r="J38" s="4"/>
      <c r="K38" s="13">
        <v>107.18421052631579</v>
      </c>
      <c r="L38" s="3">
        <f>Table4691113151718202122272932[[#This Row],[Delivered  energy (GJ/50 years)]]*'General variables'!$B$9</f>
        <v>407.3</v>
      </c>
      <c r="M38" s="3">
        <f>Table4691113151718202122272932[[#This Row],[Primary OPE (GJ/50 years)]]*'General variables'!$B$13</f>
        <v>29416.224249999999</v>
      </c>
    </row>
    <row r="39" spans="1:13" x14ac:dyDescent="0.25">
      <c r="A39" t="s">
        <v>134</v>
      </c>
      <c r="B39" s="4"/>
      <c r="D39" s="3"/>
      <c r="E39" s="4"/>
      <c r="F39" s="2"/>
      <c r="G39" s="4"/>
      <c r="H39" s="4"/>
      <c r="I39" s="4"/>
      <c r="J39" s="4"/>
      <c r="K39" s="165">
        <v>59.454545454545453</v>
      </c>
      <c r="L39" s="3">
        <f>Table4691113151718202122272932[[#This Row],[Delivered  energy (GJ/50 years)]]*'General variables'!$B$9</f>
        <v>225.92727272727271</v>
      </c>
      <c r="M39" s="3">
        <f>Table4691113151718202122272932[[#This Row],[Primary OPE (GJ/50 years)]]*'General variables'!$B$13</f>
        <v>16317.032454545453</v>
      </c>
    </row>
    <row r="40" spans="1:13" x14ac:dyDescent="0.25">
      <c r="A40" t="str">
        <f>ALL_OPE!A33</f>
        <v>DHW NEW Circulation pump (not included in bld file!)</v>
      </c>
      <c r="B40" s="4"/>
      <c r="D40" s="3"/>
      <c r="E40" s="4"/>
      <c r="F40" s="2"/>
      <c r="G40" s="4"/>
      <c r="H40" s="4"/>
      <c r="I40" s="4"/>
      <c r="J40" s="4"/>
      <c r="K40" s="13">
        <v>8.2181250000000006</v>
      </c>
      <c r="L40" s="3">
        <f>Table4691113151718202122272932[[#This Row],[Delivered  energy (GJ/50 years)]]*'General variables'!$B$9</f>
        <v>31.228875000000002</v>
      </c>
      <c r="M40" s="3">
        <f>Table4691113151718202122272932[[#This Row],[Primary OPE (GJ/50 years)]]*'General variables'!$B$13</f>
        <v>2255.4274246875002</v>
      </c>
    </row>
    <row r="41" spans="1:13" ht="15.75" customHeight="1" x14ac:dyDescent="0.25">
      <c r="A41" t="s">
        <v>135</v>
      </c>
      <c r="B41" s="4"/>
      <c r="C41" s="3"/>
      <c r="D41" s="3"/>
      <c r="E41" s="4"/>
      <c r="F41" s="4"/>
      <c r="G41" s="4"/>
      <c r="H41" s="4"/>
      <c r="I41" s="4"/>
      <c r="J41" s="4"/>
      <c r="K41" s="13">
        <v>27.578947368421055</v>
      </c>
      <c r="L41" s="3">
        <f>Table4691113151718202122272932[[#This Row],[Delivered  energy (GJ/50 years)]]*'General variables'!$B$9</f>
        <v>104.8</v>
      </c>
      <c r="M41" s="3">
        <f>Table4691113151718202122272932[[#This Row],[Primary OPE (GJ/50 years)]]*'General variables'!$B$13</f>
        <v>7568.9179999999997</v>
      </c>
    </row>
    <row r="42" spans="1:13" ht="15.75" customHeight="1" x14ac:dyDescent="0.25">
      <c r="A42" t="s">
        <v>136</v>
      </c>
      <c r="B42" s="4"/>
      <c r="C42" s="3"/>
      <c r="D42" s="3"/>
      <c r="E42" s="4"/>
      <c r="F42" s="4"/>
      <c r="G42" s="4"/>
      <c r="H42" s="4"/>
      <c r="I42" s="4"/>
      <c r="J42" s="4"/>
      <c r="K42" s="13">
        <f>175.181818181818*0.9</f>
        <v>157.66363636363619</v>
      </c>
      <c r="L42" s="3">
        <f>Table4691113151718202122272932[[#This Row],[Delivered  energy (GJ/50 years)]]*'General variables'!$B$9</f>
        <v>599.1218181818175</v>
      </c>
      <c r="M42" s="3">
        <f>Table4691113151718202122272932[[#This Row],[Primary OPE (GJ/50 years)]]*'General variables'!$B$13</f>
        <v>43270.075513636315</v>
      </c>
    </row>
    <row r="43" spans="1:13" x14ac:dyDescent="0.25">
      <c r="A43" t="s">
        <v>140</v>
      </c>
      <c r="B43" s="4"/>
      <c r="C43" s="3"/>
      <c r="D43" s="3"/>
      <c r="E43" s="4"/>
      <c r="F43" s="4"/>
      <c r="G43" s="4"/>
      <c r="H43" s="4"/>
      <c r="I43" s="4"/>
      <c r="J43" s="4"/>
      <c r="K43" s="13">
        <v>128.21052631578948</v>
      </c>
      <c r="L43" s="3">
        <f>Table4691113151718202122272932[[#This Row],[Delivered  energy (GJ/50 years)]]*'General variables'!$B$9</f>
        <v>487.2</v>
      </c>
      <c r="M43" s="3">
        <f>Table4691113151718202122272932[[#This Row],[Primary OPE (GJ/50 years)]]*'General variables'!$B$13</f>
        <v>35186.801999999996</v>
      </c>
    </row>
    <row r="44" spans="1:13" x14ac:dyDescent="0.25">
      <c r="A44" t="s">
        <v>545</v>
      </c>
      <c r="B44" s="2">
        <v>114.5</v>
      </c>
      <c r="C44">
        <v>114.5</v>
      </c>
      <c r="D44" t="s">
        <v>20</v>
      </c>
      <c r="E44" s="2">
        <v>-52.645382499999997</v>
      </c>
      <c r="F44" s="2"/>
      <c r="G44" s="2">
        <v>-52.645382499999997</v>
      </c>
      <c r="H44" s="2">
        <v>-3655.5269999999996</v>
      </c>
      <c r="I44" s="2"/>
      <c r="J44" s="2">
        <v>-3655.5269999999996</v>
      </c>
      <c r="L44" s="2"/>
      <c r="M44" s="2"/>
    </row>
    <row r="45" spans="1:13" x14ac:dyDescent="0.25">
      <c r="A45" t="s">
        <v>546</v>
      </c>
      <c r="B45" s="2">
        <v>2.9082999999999997</v>
      </c>
      <c r="C45">
        <v>2.9082999999999997</v>
      </c>
      <c r="D45" t="s">
        <v>18</v>
      </c>
      <c r="E45" s="2">
        <v>7.506322299999999</v>
      </c>
      <c r="F45" s="2">
        <v>7.506322299999999</v>
      </c>
      <c r="G45" s="2">
        <v>15.012644599999998</v>
      </c>
      <c r="H45" s="2">
        <v>1050.4866848999998</v>
      </c>
      <c r="I45" s="2"/>
      <c r="J45" s="2">
        <v>1050.4866848999998</v>
      </c>
      <c r="K45" s="12"/>
      <c r="L45" s="2"/>
      <c r="M45" s="2"/>
    </row>
    <row r="46" spans="1:13" x14ac:dyDescent="0.25">
      <c r="A46" t="s">
        <v>598</v>
      </c>
      <c r="B46" s="4">
        <v>19.43</v>
      </c>
      <c r="C46" s="3">
        <v>19.43</v>
      </c>
      <c r="D46" s="3" t="s">
        <v>20</v>
      </c>
      <c r="E46" s="4">
        <v>-6.0949967000000003</v>
      </c>
      <c r="F46" s="4">
        <v>-1.521209964412811</v>
      </c>
      <c r="G46" s="4">
        <v>-7.616206664412811</v>
      </c>
      <c r="H46" s="4">
        <v>-652.24236689999998</v>
      </c>
      <c r="I46" s="4">
        <v>-76.521470937129152</v>
      </c>
      <c r="J46" s="4">
        <v>-728.76383783712913</v>
      </c>
      <c r="K46" s="13"/>
    </row>
    <row r="47" spans="1:13" x14ac:dyDescent="0.25">
      <c r="A47" t="s">
        <v>587</v>
      </c>
      <c r="B47" s="4">
        <v>22.388000000000002</v>
      </c>
      <c r="C47" s="3">
        <v>22.388000000000002</v>
      </c>
      <c r="D47" s="3" t="s">
        <v>20</v>
      </c>
      <c r="E47" s="4">
        <v>4.3939237977640007</v>
      </c>
      <c r="F47" s="4"/>
      <c r="G47" s="4">
        <v>4.3939237977640007</v>
      </c>
      <c r="H47" s="4">
        <v>403.51532321000008</v>
      </c>
      <c r="I47" s="4"/>
      <c r="J47" s="4">
        <v>403.51532321000008</v>
      </c>
      <c r="K47" s="13">
        <f>Table4691113151718202122272932[[#This Row],[Primary OPE (GJ/50 years)]]/1.1</f>
        <v>0</v>
      </c>
      <c r="M47" s="2"/>
    </row>
    <row r="48" spans="1:13" ht="12.6" customHeight="1" x14ac:dyDescent="0.25">
      <c r="A48" t="s">
        <v>588</v>
      </c>
      <c r="B48" s="4">
        <v>1.5</v>
      </c>
      <c r="C48" s="3">
        <v>1.5</v>
      </c>
      <c r="D48" s="3" t="s">
        <v>20</v>
      </c>
      <c r="E48" s="4">
        <v>4.1999999999999993</v>
      </c>
      <c r="F48" s="4">
        <v>4.1999999999999993</v>
      </c>
      <c r="G48" s="4">
        <v>8.3999999999999986</v>
      </c>
      <c r="H48" s="4">
        <v>338.85</v>
      </c>
      <c r="I48" s="4">
        <v>338.85</v>
      </c>
      <c r="J48" s="4">
        <v>677.7</v>
      </c>
      <c r="K48" s="13">
        <f>Table4691113151718202122272932[[#This Row],[Primary OPE (GJ/50 years)]]/1.1</f>
        <v>0</v>
      </c>
      <c r="M48" s="2"/>
    </row>
    <row r="49" spans="1:13" x14ac:dyDescent="0.25">
      <c r="A49" t="s">
        <v>589</v>
      </c>
      <c r="B49" s="4">
        <v>22.388000000000002</v>
      </c>
      <c r="C49" s="3">
        <v>22.388000000000002</v>
      </c>
      <c r="D49" s="3" t="s">
        <v>20</v>
      </c>
      <c r="E49" s="4">
        <v>2.4947079593680002</v>
      </c>
      <c r="F49" s="4">
        <v>9.9788318374720006</v>
      </c>
      <c r="G49" s="4">
        <v>12.473539796840001</v>
      </c>
      <c r="H49" s="4">
        <v>151.52181577656802</v>
      </c>
      <c r="I49" s="4">
        <v>606.08726310627208</v>
      </c>
      <c r="J49" s="4">
        <v>757.60907888284009</v>
      </c>
      <c r="K49" s="13"/>
    </row>
    <row r="50" spans="1:13" x14ac:dyDescent="0.25">
      <c r="A50" s="3" t="s">
        <v>590</v>
      </c>
      <c r="B50" s="4">
        <v>0.44776000000000005</v>
      </c>
      <c r="C50" s="3">
        <v>0.44776000000000005</v>
      </c>
      <c r="D50" s="3" t="s">
        <v>18</v>
      </c>
      <c r="E50" s="4">
        <v>2.7940224000000002</v>
      </c>
      <c r="F50" s="4"/>
      <c r="G50" s="4">
        <v>2.7940224000000002</v>
      </c>
      <c r="H50" s="4">
        <v>248.57844160000002</v>
      </c>
      <c r="I50" s="4"/>
      <c r="J50" s="4">
        <v>248.57844160000002</v>
      </c>
      <c r="K50" s="19"/>
      <c r="L50" s="3"/>
      <c r="M50" s="3"/>
    </row>
    <row r="51" spans="1:13" x14ac:dyDescent="0.25">
      <c r="B51" s="2"/>
      <c r="E51" s="2">
        <f>SUBTOTAL(109,Table4691113151718202122272932[IEE (GJ)])</f>
        <v>306.76846079879869</v>
      </c>
      <c r="F51" s="2">
        <f>SUBTOTAL(109,Table4691113151718202122272932[REE (GJ/50 years)])</f>
        <v>440.02180771472581</v>
      </c>
      <c r="G51" s="2">
        <f>SUBTOTAL(109,Table4691113151718202122272932[LCEE (GJ/50 years)])</f>
        <v>746.79026851352455</v>
      </c>
      <c r="H51" s="2">
        <f>SUBTOTAL(109,Table4691113151718202122272932[IEGHG (kgCO2e)])</f>
        <v>24554.614939249041</v>
      </c>
      <c r="I51" s="2">
        <f>SUBTOTAL(109,Table4691113151718202122272932[REGHG (kgCO2e)])</f>
        <v>38815.223333726623</v>
      </c>
      <c r="J51" s="2">
        <f>SUBTOTAL(109,Table4691113151718202122272932[LCEGHG (kgCO2e)])</f>
        <v>63369.83827297567</v>
      </c>
      <c r="K51" s="13"/>
      <c r="L51">
        <f>SUBTOTAL(109,Table4691113151718202122272932[Primary OPE (GJ/50 years)])</f>
        <v>-8392.1722042559213</v>
      </c>
      <c r="M51" s="2"/>
    </row>
    <row r="52" spans="1:13" x14ac:dyDescent="0.25">
      <c r="A52" s="1"/>
      <c r="B52" s="7"/>
      <c r="F52" t="s">
        <v>94</v>
      </c>
      <c r="G52" s="126">
        <f>SUM(Table4691113151718202122272932[LCEE (GJ/50 years)])</f>
        <v>746.79026851352455</v>
      </c>
      <c r="H52" s="126"/>
      <c r="I52" s="126"/>
      <c r="J52" s="126">
        <f>SUM(Table4691113151718202122272932[LCEGHG (kgCO2e)])</f>
        <v>63369.83827297567</v>
      </c>
      <c r="K52" s="6"/>
      <c r="L52" s="6">
        <f>SUM(Table4691113151718202122272932[Primary OPE (GJ/50 years)])</f>
        <v>-8392.1722042559213</v>
      </c>
      <c r="M52" s="6">
        <f>SUM(Table4691113151718202122272932[LCOGHG (kgCO2e/50 years)])</f>
        <v>-594558.45027187327</v>
      </c>
    </row>
    <row r="53" spans="1:13" x14ac:dyDescent="0.25">
      <c r="B53" s="7"/>
      <c r="F53" t="s">
        <v>625</v>
      </c>
      <c r="G53" s="126">
        <f>G52+L52</f>
        <v>-7645.3819357423963</v>
      </c>
      <c r="H53" s="126"/>
      <c r="I53" s="126"/>
      <c r="J53" s="126">
        <f>J52+M52</f>
        <v>-531188.61199889763</v>
      </c>
      <c r="K53" s="6"/>
    </row>
    <row r="54" spans="1:13" x14ac:dyDescent="0.25">
      <c r="A54" t="s">
        <v>88</v>
      </c>
      <c r="B54" s="7"/>
      <c r="F54" t="s">
        <v>626</v>
      </c>
      <c r="G54" s="126">
        <f>'BC performance summary'!B7</f>
        <v>7534.8</v>
      </c>
      <c r="H54" s="43"/>
      <c r="I54" s="43"/>
      <c r="J54" s="126">
        <f>'BC performance summary'!F7</f>
        <v>528095</v>
      </c>
    </row>
    <row r="55" spans="1:13" x14ac:dyDescent="0.25">
      <c r="B55" s="7"/>
      <c r="F55" t="s">
        <v>627</v>
      </c>
      <c r="G55" s="126">
        <f>G53+G54</f>
        <v>-110.58193574239613</v>
      </c>
      <c r="H55" s="43"/>
      <c r="I55" s="43"/>
      <c r="J55" s="126">
        <f>J53+J54</f>
        <v>-3093.6119988976279</v>
      </c>
      <c r="L55" s="124">
        <f>'BC performance summary'!$F$4/'General variables'!$B$3/'General variables'!$B$15</f>
        <v>18.94883116883117</v>
      </c>
      <c r="M55" t="s">
        <v>724</v>
      </c>
    </row>
    <row r="56" spans="1:13" x14ac:dyDescent="0.25">
      <c r="B56" s="7"/>
      <c r="L56" s="124">
        <f>('BC performance summary'!$F$4+J52)/'General variables'!$B$3/'General variables'!$B$15</f>
        <v>27.178680295191647</v>
      </c>
      <c r="M56" t="s">
        <v>722</v>
      </c>
    </row>
    <row r="57" spans="1:13" x14ac:dyDescent="0.25">
      <c r="B57" s="7"/>
    </row>
    <row r="58" spans="1:13" x14ac:dyDescent="0.25">
      <c r="B58" s="7"/>
      <c r="K58" s="20"/>
    </row>
    <row r="59" spans="1:13" x14ac:dyDescent="0.25">
      <c r="B59" s="7"/>
    </row>
    <row r="60" spans="1:13" x14ac:dyDescent="0.25">
      <c r="A60" s="23" t="s">
        <v>163</v>
      </c>
      <c r="B60" s="24"/>
      <c r="C60" s="25"/>
      <c r="D60" s="25"/>
      <c r="E60" s="25"/>
      <c r="F60" s="26"/>
      <c r="G60" s="32"/>
      <c r="H60" s="32"/>
      <c r="I60" s="32"/>
      <c r="J60" s="32"/>
    </row>
    <row r="61" spans="1:13" x14ac:dyDescent="0.25">
      <c r="A61" s="160" t="s">
        <v>180</v>
      </c>
      <c r="B61" s="96">
        <f>SUM(K37:K43)/3.6*1000/50</f>
        <v>3201.7561253568397</v>
      </c>
      <c r="C61" s="96" t="s">
        <v>200</v>
      </c>
      <c r="D61" s="3"/>
      <c r="E61" s="3"/>
      <c r="F61" s="28"/>
    </row>
    <row r="62" spans="1:13" x14ac:dyDescent="0.25">
      <c r="A62" s="160" t="s">
        <v>384</v>
      </c>
      <c r="B62" s="96">
        <v>0.41499999999999998</v>
      </c>
      <c r="C62" s="96" t="s">
        <v>183</v>
      </c>
      <c r="D62" s="3"/>
      <c r="E62" s="3"/>
      <c r="F62" s="28"/>
    </row>
    <row r="63" spans="1:13" x14ac:dyDescent="0.25">
      <c r="A63" s="160" t="s">
        <v>727</v>
      </c>
      <c r="B63" s="96">
        <f>PV!$C$3/B62</f>
        <v>15.875</v>
      </c>
      <c r="C63" s="96" t="s">
        <v>169</v>
      </c>
      <c r="D63" s="3" t="s">
        <v>182</v>
      </c>
      <c r="E63" s="3">
        <v>1</v>
      </c>
      <c r="F63" s="28" t="s">
        <v>183</v>
      </c>
    </row>
    <row r="64" spans="1:13" x14ac:dyDescent="0.25">
      <c r="A64" s="160" t="s">
        <v>551</v>
      </c>
      <c r="B64" s="96">
        <f>B61</f>
        <v>3201.7561253568397</v>
      </c>
      <c r="C64" s="96" t="s">
        <v>166</v>
      </c>
      <c r="D64" s="3"/>
      <c r="E64" s="3"/>
      <c r="F64" s="28"/>
    </row>
    <row r="65" spans="1:6" x14ac:dyDescent="0.25">
      <c r="A65" s="160" t="s">
        <v>728</v>
      </c>
      <c r="B65" s="161">
        <f>PV!B95</f>
        <v>7500.2534999999998</v>
      </c>
      <c r="C65" s="96"/>
      <c r="D65" s="3"/>
      <c r="E65" s="3"/>
      <c r="F65" s="28"/>
    </row>
    <row r="66" spans="1:6" x14ac:dyDescent="0.25">
      <c r="A66" s="160" t="s">
        <v>383</v>
      </c>
      <c r="B66" s="161">
        <f>B65-B64</f>
        <v>4298.4973746431606</v>
      </c>
      <c r="C66" s="96" t="s">
        <v>166</v>
      </c>
      <c r="D66" s="3"/>
      <c r="E66" s="3"/>
      <c r="F66" s="28"/>
    </row>
    <row r="67" spans="1:6" x14ac:dyDescent="0.25">
      <c r="A67" s="160" t="s">
        <v>380</v>
      </c>
      <c r="B67" s="96">
        <f>SUM($G$20:$G$50)+'BC performance summary'!$B$4</f>
        <v>2829.5902685135247</v>
      </c>
      <c r="C67" s="96" t="s">
        <v>89</v>
      </c>
      <c r="D67" s="3"/>
      <c r="E67" s="3"/>
      <c r="F67" s="28"/>
    </row>
    <row r="68" spans="1:6" x14ac:dyDescent="0.25">
      <c r="A68" s="160" t="s">
        <v>381</v>
      </c>
      <c r="B68" s="96">
        <f>B67/50/3.6*1000</f>
        <v>15719.945936186248</v>
      </c>
      <c r="C68" s="96" t="s">
        <v>166</v>
      </c>
      <c r="D68" s="3"/>
      <c r="E68" s="3"/>
      <c r="F68" s="28">
        <f>B68*50</f>
        <v>785997.29680931242</v>
      </c>
    </row>
    <row r="69" spans="1:6" x14ac:dyDescent="0.25">
      <c r="A69" s="160" t="s">
        <v>614</v>
      </c>
      <c r="B69" s="96">
        <f>B68/'General variables'!$B$9</f>
        <v>4136.8278779437496</v>
      </c>
      <c r="C69" s="96" t="s">
        <v>382</v>
      </c>
      <c r="D69" s="3"/>
      <c r="E69" s="3"/>
      <c r="F69" s="28">
        <f>F68/3.8</f>
        <v>206841.39389718749</v>
      </c>
    </row>
    <row r="70" spans="1:6" x14ac:dyDescent="0.25">
      <c r="A70" s="160" t="s">
        <v>552</v>
      </c>
      <c r="B70" s="96">
        <f>B69-B66</f>
        <v>-161.66949669941096</v>
      </c>
      <c r="C70" s="96" t="s">
        <v>382</v>
      </c>
      <c r="D70" s="3"/>
      <c r="E70" s="3"/>
      <c r="F70" s="28">
        <f>F69/B66</f>
        <v>48.119464982657668</v>
      </c>
    </row>
    <row r="71" spans="1:6" x14ac:dyDescent="0.25">
      <c r="A71" s="160" t="s">
        <v>628</v>
      </c>
      <c r="B71" s="96">
        <f>-B70*50*3.6/1000*3.8</f>
        <v>110.58193574239709</v>
      </c>
      <c r="C71" s="96" t="s">
        <v>630</v>
      </c>
      <c r="D71" s="125" t="str">
        <f>IF(ROUND(B71,1)=-ROUND(G55,1),"Matches calculation above","Doesn't match calc above")</f>
        <v>Matches calculation above</v>
      </c>
      <c r="E71" s="3"/>
      <c r="F71" s="28"/>
    </row>
    <row r="72" spans="1:6" x14ac:dyDescent="0.25">
      <c r="A72" s="160" t="s">
        <v>291</v>
      </c>
      <c r="B72" s="96">
        <f>B71*8</f>
        <v>884.65548593917674</v>
      </c>
      <c r="C72" s="96"/>
      <c r="D72" s="3"/>
      <c r="E72" s="3"/>
      <c r="F72" s="28"/>
    </row>
    <row r="73" spans="1:6" s="30" customFormat="1" x14ac:dyDescent="0.25">
      <c r="A73" s="162" t="s">
        <v>610</v>
      </c>
      <c r="B73" s="163"/>
      <c r="C73" s="163"/>
      <c r="F73" s="31"/>
    </row>
    <row r="74" spans="1:6" x14ac:dyDescent="0.25">
      <c r="A74" s="160"/>
      <c r="B74" s="96"/>
      <c r="C74" s="96"/>
      <c r="D74" s="3"/>
      <c r="E74" s="3"/>
      <c r="F74" s="28"/>
    </row>
    <row r="75" spans="1:6" x14ac:dyDescent="0.25">
      <c r="A75" s="164" t="s">
        <v>611</v>
      </c>
      <c r="B75" s="163"/>
      <c r="C75" s="163"/>
      <c r="D75" s="30"/>
      <c r="E75" s="30"/>
      <c r="F75" s="31"/>
    </row>
    <row r="76" spans="1:6" x14ac:dyDescent="0.25">
      <c r="A76" s="83" t="s">
        <v>612</v>
      </c>
      <c r="B76" s="83">
        <f>B66</f>
        <v>4298.4973746431606</v>
      </c>
      <c r="C76" s="83" t="s">
        <v>613</v>
      </c>
    </row>
    <row r="77" spans="1:6" x14ac:dyDescent="0.25">
      <c r="A77" s="83" t="s">
        <v>615</v>
      </c>
      <c r="B77" s="83">
        <f>B76*'General variables'!$B$9*3.6/1000</f>
        <v>58.803444085118436</v>
      </c>
      <c r="C77" s="83" t="s">
        <v>622</v>
      </c>
    </row>
    <row r="78" spans="1:6" x14ac:dyDescent="0.25">
      <c r="A78" s="83" t="s">
        <v>616</v>
      </c>
      <c r="B78" s="83">
        <f>B77*'General variables'!B13</f>
        <v>4246.931740437466</v>
      </c>
      <c r="C78" s="83" t="s">
        <v>617</v>
      </c>
    </row>
    <row r="79" spans="1:6" x14ac:dyDescent="0.25">
      <c r="A79" s="83" t="s">
        <v>618</v>
      </c>
      <c r="B79" s="138">
        <f>'BC performance summary'!$F$4+NZLCPEGHGB!$J$52</f>
        <v>209275.83827297567</v>
      </c>
      <c r="C79" s="83" t="s">
        <v>619</v>
      </c>
    </row>
    <row r="80" spans="1:6" x14ac:dyDescent="0.25">
      <c r="A80" s="83" t="s">
        <v>620</v>
      </c>
      <c r="B80" s="83">
        <f>B79/'General variables'!$B$3</f>
        <v>4185.5167654595134</v>
      </c>
      <c r="C80" s="83" t="s">
        <v>621</v>
      </c>
    </row>
    <row r="81" spans="1:4" x14ac:dyDescent="0.25">
      <c r="A81" s="83" t="s">
        <v>624</v>
      </c>
      <c r="B81" s="83">
        <f>B78-B80</f>
        <v>61.414974977952625</v>
      </c>
      <c r="C81" s="83" t="s">
        <v>623</v>
      </c>
    </row>
    <row r="82" spans="1:4" x14ac:dyDescent="0.25">
      <c r="A82" s="83" t="s">
        <v>629</v>
      </c>
      <c r="B82" s="83">
        <f>B81*50</f>
        <v>3070.7487488976312</v>
      </c>
      <c r="C82" s="83" t="s">
        <v>632</v>
      </c>
      <c r="D82" t="s">
        <v>633</v>
      </c>
    </row>
    <row r="83" spans="1:4" x14ac:dyDescent="0.25">
      <c r="A83" s="83" t="s">
        <v>291</v>
      </c>
      <c r="B83" s="83">
        <f>B82*8</f>
        <v>24565.98999118105</v>
      </c>
      <c r="C83" s="83" t="s">
        <v>631</v>
      </c>
    </row>
  </sheetData>
  <conditionalFormatting sqref="L52:M52 G52:K53">
    <cfRule type="cellIs" dxfId="37" priority="5" operator="lessThan">
      <formula>0</formula>
    </cfRule>
    <cfRule type="cellIs" dxfId="36" priority="6" operator="greaterThan">
      <formula>0</formula>
    </cfRule>
  </conditionalFormatting>
  <conditionalFormatting sqref="G54:G55">
    <cfRule type="cellIs" dxfId="35" priority="3" operator="lessThan">
      <formula>0</formula>
    </cfRule>
    <cfRule type="cellIs" dxfId="34" priority="4" operator="greaterThan">
      <formula>0</formula>
    </cfRule>
  </conditionalFormatting>
  <conditionalFormatting sqref="J54:J55">
    <cfRule type="cellIs" dxfId="33" priority="1" operator="lessThan">
      <formula>0</formula>
    </cfRule>
    <cfRule type="cellIs" dxfId="32" priority="2" operator="greaterThan">
      <formula>0</formula>
    </cfRule>
  </conditionalFormatting>
  <hyperlinks>
    <hyperlink ref="A1" location="'Summary sheet'!A1" display="Link to summary sheet" xr:uid="{00000000-0004-0000-1600-000000000000}"/>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499984740745262"/>
  </sheetPr>
  <dimension ref="A1:I8"/>
  <sheetViews>
    <sheetView workbookViewId="0"/>
  </sheetViews>
  <sheetFormatPr defaultRowHeight="15" x14ac:dyDescent="0.25"/>
  <cols>
    <col min="1" max="1" width="29.42578125" bestFit="1" customWidth="1"/>
    <col min="7" max="8" width="15.85546875" customWidth="1"/>
  </cols>
  <sheetData>
    <row r="1" spans="1:9" ht="18" x14ac:dyDescent="0.35">
      <c r="A1" s="135"/>
      <c r="B1" s="135" t="s">
        <v>89</v>
      </c>
      <c r="C1" s="135" t="s">
        <v>90</v>
      </c>
      <c r="D1" s="135" t="s">
        <v>842</v>
      </c>
      <c r="E1" s="135" t="s">
        <v>91</v>
      </c>
      <c r="F1" s="135" t="s">
        <v>605</v>
      </c>
      <c r="G1" s="135" t="s">
        <v>725</v>
      </c>
      <c r="H1" s="135" t="s">
        <v>844</v>
      </c>
      <c r="I1" s="135" t="s">
        <v>606</v>
      </c>
    </row>
    <row r="2" spans="1:9" x14ac:dyDescent="0.25">
      <c r="A2" s="135" t="s">
        <v>599</v>
      </c>
      <c r="B2" s="135">
        <f>Table4691113151718202122272932[[#Totals],[IEE (GJ)]]+'BC performance summary'!$B$2</f>
        <v>1820.7684607987987</v>
      </c>
      <c r="C2" s="135">
        <f>B2/'General variables'!$B$6</f>
        <v>16.112995228307952</v>
      </c>
      <c r="D2" s="135">
        <f>B2/'General variables'!$B$15</f>
        <v>11.823171823368822</v>
      </c>
      <c r="E2" s="135">
        <f>B2/'General variables'!$B$5</f>
        <v>455.19211519969969</v>
      </c>
      <c r="F2" s="136">
        <f>'BC performance summary'!$F$2+Table4691113151718202122272932[[#Totals],[IEGHG (kgCO2e)]]</f>
        <v>140805.61493924903</v>
      </c>
      <c r="G2" s="136">
        <f>F2/'General variables'!$B$6</f>
        <v>1246.0673888429119</v>
      </c>
      <c r="H2" s="136">
        <f>F2/'General variables'!$B$15</f>
        <v>914.32217493018857</v>
      </c>
      <c r="I2" s="136">
        <f>F2/'General variables'!$B$5</f>
        <v>35201.403734812258</v>
      </c>
    </row>
    <row r="3" spans="1:9" x14ac:dyDescent="0.25">
      <c r="A3" s="135" t="s">
        <v>600</v>
      </c>
      <c r="B3" s="135">
        <f>'BC performance summary'!$B$3+Table4691113151718202122272932[[#Totals],[REE (GJ/50 years)]]</f>
        <v>1008.8218077147258</v>
      </c>
      <c r="C3" s="135">
        <f>B3/'General variables'!$B$6</f>
        <v>8.927626616944476</v>
      </c>
      <c r="D3" s="135">
        <f>B3/'General variables'!$B$15</f>
        <v>6.5507909591865312</v>
      </c>
      <c r="E3" s="135">
        <f>B3/'General variables'!$B$5</f>
        <v>252.20545192868144</v>
      </c>
      <c r="F3" s="136">
        <f>'BC performance summary'!$F$3+Table4691113151718202122272932[[#Totals],[REGHG (kgCO2e)]]</f>
        <v>68470.223333726623</v>
      </c>
      <c r="G3" s="136">
        <f>F3/'General variables'!$B$6</f>
        <v>605.93117994448335</v>
      </c>
      <c r="H3" s="136">
        <f>F3/'General variables'!$B$15</f>
        <v>444.61183982939366</v>
      </c>
      <c r="I3" s="136">
        <f>F3/'General variables'!$B$5</f>
        <v>17117.555833431656</v>
      </c>
    </row>
    <row r="4" spans="1:9" x14ac:dyDescent="0.25">
      <c r="A4" s="135" t="s">
        <v>601</v>
      </c>
      <c r="B4" s="135">
        <f>SUM(B2:B3)</f>
        <v>2829.5902685135243</v>
      </c>
      <c r="C4" s="135">
        <f t="shared" ref="C4:I4" si="0">SUM(C2:C3)</f>
        <v>25.040621845252428</v>
      </c>
      <c r="D4" s="135">
        <f>B4/'General variables'!$B$15</f>
        <v>18.373962782555353</v>
      </c>
      <c r="E4" s="135">
        <f t="shared" si="0"/>
        <v>707.39756712838107</v>
      </c>
      <c r="F4" s="135">
        <f t="shared" si="0"/>
        <v>209275.83827297564</v>
      </c>
      <c r="G4" s="135">
        <f t="shared" si="0"/>
        <v>1851.9985687873952</v>
      </c>
      <c r="H4" s="136">
        <f>F4/'General variables'!$B$15</f>
        <v>1358.9340147595822</v>
      </c>
      <c r="I4" s="135">
        <f t="shared" si="0"/>
        <v>52318.95956824391</v>
      </c>
    </row>
    <row r="5" spans="1:9" x14ac:dyDescent="0.25">
      <c r="A5" s="135" t="s">
        <v>602</v>
      </c>
      <c r="B5" s="135">
        <f>SUM(NZLCPEGHGB!K37:K43)</f>
        <v>576.31610256423119</v>
      </c>
      <c r="C5" s="135">
        <f>B5/'General variables'!$B$6</f>
        <v>5.1001425005684178</v>
      </c>
      <c r="D5" s="135">
        <f>B5/'General variables'!$B$15</f>
        <v>3.7423123543131895</v>
      </c>
      <c r="E5" s="135">
        <f>B5/'General variables'!$B$5</f>
        <v>144.0790256410578</v>
      </c>
      <c r="F5" s="136"/>
      <c r="G5" s="136">
        <f>F5/'General variables'!$B$6</f>
        <v>0</v>
      </c>
      <c r="H5" s="136">
        <f>F5/'General variables'!$B$15</f>
        <v>0</v>
      </c>
      <c r="I5" s="136">
        <f>F5/'General variables'!$B$5</f>
        <v>0</v>
      </c>
    </row>
    <row r="6" spans="1:9" x14ac:dyDescent="0.25">
      <c r="A6" s="135" t="s">
        <v>845</v>
      </c>
      <c r="B6" s="135">
        <f>NZLCPEGHGB!$B$65*50*3.6/1000</f>
        <v>1350.0456299999998</v>
      </c>
      <c r="C6" s="135">
        <f>B6/'General variables'!$B$6</f>
        <v>11.947306460176989</v>
      </c>
      <c r="D6" s="135">
        <f>B6/'General variables'!$B$15</f>
        <v>8.7665300649350648</v>
      </c>
      <c r="E6" s="135">
        <f>B6/'General variables'!$B$5</f>
        <v>337.51140749999996</v>
      </c>
      <c r="F6" s="136"/>
      <c r="G6" s="136"/>
      <c r="H6" s="136">
        <f>F6/'General variables'!$B$15</f>
        <v>0</v>
      </c>
      <c r="I6" s="136"/>
    </row>
    <row r="7" spans="1:9" x14ac:dyDescent="0.25">
      <c r="A7" s="135" t="s">
        <v>603</v>
      </c>
      <c r="B7" s="135">
        <f>(B5-B6)*'General variables'!$B$9</f>
        <v>-2940.1722042559209</v>
      </c>
      <c r="C7" s="135">
        <f>B7/'General variables'!$B$6</f>
        <v>-26.019223046512575</v>
      </c>
      <c r="D7" s="135">
        <f>B7/'General variables'!$B$15</f>
        <v>-19.092027300363121</v>
      </c>
      <c r="E7" s="135">
        <f>B7/'General variables'!$B$5</f>
        <v>-735.04305106398022</v>
      </c>
      <c r="F7" s="136">
        <f>B7*'General variables'!$B$13</f>
        <v>-212346.58702187325</v>
      </c>
      <c r="G7" s="136">
        <f>F7/'General variables'!$B$6</f>
        <v>-1879.1733364767545</v>
      </c>
      <c r="H7" s="136">
        <f>F7/'General variables'!$B$15</f>
        <v>-1378.8739417004756</v>
      </c>
      <c r="I7" s="136">
        <f>F7/'General variables'!$B$5</f>
        <v>-53086.646755468311</v>
      </c>
    </row>
    <row r="8" spans="1:9" x14ac:dyDescent="0.25">
      <c r="A8" s="135" t="s">
        <v>604</v>
      </c>
      <c r="B8" s="135">
        <f>B4+B7</f>
        <v>-110.58193574239658</v>
      </c>
      <c r="C8" s="135">
        <f>SUM(C2:C7)</f>
        <v>41.109469604737683</v>
      </c>
      <c r="D8" s="135">
        <f>B8/'General variables'!$B$15</f>
        <v>-0.71806451780777003</v>
      </c>
      <c r="E8" s="135">
        <f>SUM(E2:E7)</f>
        <v>1161.3425163338397</v>
      </c>
      <c r="F8" s="136">
        <f>F4+F7</f>
        <v>-3070.7487488976039</v>
      </c>
      <c r="G8" s="136">
        <f>F8/'General variables'!$B$6</f>
        <v>-27.174767689359328</v>
      </c>
      <c r="H8" s="136">
        <f>F8/'General variables'!$B$15</f>
        <v>-19.939926940893532</v>
      </c>
      <c r="I8" s="136">
        <f>F8/'General variables'!$B$5</f>
        <v>-767.68718722440099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P35"/>
  <sheetViews>
    <sheetView topLeftCell="H1" workbookViewId="0">
      <selection activeCell="P15" sqref="P15"/>
    </sheetView>
  </sheetViews>
  <sheetFormatPr defaultRowHeight="15" x14ac:dyDescent="0.25"/>
  <cols>
    <col min="2" max="2" width="22.42578125" bestFit="1" customWidth="1"/>
    <col min="3" max="4" width="22.42578125" customWidth="1"/>
    <col min="5" max="5" width="19.28515625" customWidth="1"/>
    <col min="6" max="6" width="27.5703125" customWidth="1"/>
    <col min="7" max="7" width="29" customWidth="1"/>
    <col min="8" max="8" width="26.5703125" customWidth="1"/>
    <col min="9" max="9" width="26.28515625" customWidth="1"/>
    <col min="10" max="10" width="16" style="137" customWidth="1"/>
    <col min="11" max="11" width="17.28515625" customWidth="1"/>
    <col min="12" max="12" width="24.42578125" customWidth="1"/>
    <col min="13" max="13" width="24.140625" customWidth="1"/>
    <col min="14" max="14" width="23.42578125" customWidth="1"/>
    <col min="15" max="15" width="33.28515625" customWidth="1"/>
  </cols>
  <sheetData>
    <row r="1" spans="1:16" ht="18" x14ac:dyDescent="0.35">
      <c r="A1" s="43" t="s">
        <v>36</v>
      </c>
      <c r="B1" s="43" t="s">
        <v>739</v>
      </c>
      <c r="C1" s="43" t="s">
        <v>774</v>
      </c>
      <c r="D1" s="43" t="s">
        <v>775</v>
      </c>
      <c r="E1" s="43" t="s">
        <v>757</v>
      </c>
      <c r="F1" s="43" t="s">
        <v>777</v>
      </c>
      <c r="G1" s="43" t="s">
        <v>776</v>
      </c>
      <c r="H1" s="43" t="s">
        <v>758</v>
      </c>
      <c r="I1" s="43" t="s">
        <v>759</v>
      </c>
      <c r="J1" s="137" t="s">
        <v>760</v>
      </c>
      <c r="K1" s="43" t="s">
        <v>768</v>
      </c>
      <c r="L1" s="43" t="s">
        <v>769</v>
      </c>
      <c r="M1" s="43" t="s">
        <v>770</v>
      </c>
      <c r="N1" s="43" t="s">
        <v>771</v>
      </c>
      <c r="O1" s="43" t="s">
        <v>834</v>
      </c>
      <c r="P1" s="151" t="s">
        <v>833</v>
      </c>
    </row>
    <row r="2" spans="1:16" x14ac:dyDescent="0.25">
      <c r="A2" s="43">
        <v>0</v>
      </c>
      <c r="B2" s="43" t="s">
        <v>756</v>
      </c>
      <c r="C2" s="43">
        <f>'NZLCPEGHGB SUMMARY'!$B$4</f>
        <v>2829.5902685135243</v>
      </c>
      <c r="D2" s="43">
        <f>'NZLCPEGHGB SUMMARY'!$B$7</f>
        <v>-2940.1722042559209</v>
      </c>
      <c r="E2" s="43">
        <f>C2+D2</f>
        <v>-110.58193574239658</v>
      </c>
      <c r="F2" s="43">
        <f>'NZLCPEGHGB SUMMARY'!$F$4</f>
        <v>209275.83827297564</v>
      </c>
      <c r="G2" s="43">
        <f>'NZLCPEGHGB SUMMARY'!$F$7</f>
        <v>-212346.58702187325</v>
      </c>
      <c r="H2" s="43">
        <f>G2+F2</f>
        <v>-3070.7487488976039</v>
      </c>
      <c r="I2" s="43">
        <f>'NPV Calculation'!D142</f>
        <v>-7160.3725430467548</v>
      </c>
      <c r="K2" s="43">
        <f>E2*'General variables'!$B$11</f>
        <v>-884.65548593917265</v>
      </c>
      <c r="L2" s="43">
        <f>H2*'General variables'!$B$11</f>
        <v>-24565.989991180832</v>
      </c>
      <c r="M2" s="43">
        <f>I2*'General variables'!$B$11</f>
        <v>-57282.980344374038</v>
      </c>
      <c r="N2">
        <f>I2/'General variables'!$B$15</f>
        <v>-46.495925604199705</v>
      </c>
      <c r="O2">
        <f>L2/(154*8)</f>
        <v>-19.939926940893532</v>
      </c>
    </row>
    <row r="3" spans="1:16" x14ac:dyDescent="0.25">
      <c r="A3" s="43">
        <v>1</v>
      </c>
      <c r="B3" s="43" t="s">
        <v>957</v>
      </c>
      <c r="C3" s="43">
        <f>'NZLCPEGHGB SUMMARY'!$B$4</f>
        <v>2829.5902685135243</v>
      </c>
      <c r="D3" s="43">
        <f>'NZLCPEGHGB SUMMARY'!$B$7</f>
        <v>-2940.1722042559209</v>
      </c>
      <c r="E3" s="43">
        <f t="shared" ref="E3:E35" si="0">C3+D3</f>
        <v>-110.58193574239658</v>
      </c>
      <c r="F3" s="43">
        <f>'NZLCPEGHGB SUMMARY'!$F$4</f>
        <v>209275.83827297564</v>
      </c>
      <c r="G3" s="43">
        <f>'NZLCPEGHGB SUMMARY'!$F$7</f>
        <v>-212346.58702187325</v>
      </c>
      <c r="H3" s="43">
        <f t="shared" ref="H3:H13" si="1">G3+F3</f>
        <v>-3070.7487488976039</v>
      </c>
      <c r="I3" s="43">
        <f>'NPV Calculation low'!D134</f>
        <v>-5943.1050367835023</v>
      </c>
      <c r="K3" s="43">
        <f>E3*'General variables'!$B$11</f>
        <v>-884.65548593917265</v>
      </c>
      <c r="L3" s="43">
        <f>H3*'General variables'!$B$11</f>
        <v>-24565.989991180832</v>
      </c>
      <c r="M3" s="43">
        <f>I3*'General variables'!$B$11</f>
        <v>-47544.840294268019</v>
      </c>
      <c r="N3">
        <f>I3/'General variables'!$B$15</f>
        <v>-38.591591147944818</v>
      </c>
      <c r="O3">
        <f t="shared" ref="O3:O35" si="2">L3/(154*8)</f>
        <v>-19.939926940893532</v>
      </c>
    </row>
    <row r="4" spans="1:16" x14ac:dyDescent="0.25">
      <c r="A4" s="43">
        <v>2</v>
      </c>
      <c r="B4" s="43" t="s">
        <v>729</v>
      </c>
      <c r="C4" s="43">
        <f>'NZLCPEGHGB SUMMARY'!$B$4</f>
        <v>2829.5902685135243</v>
      </c>
      <c r="D4" s="43">
        <f>'NZLCPEGHGB SUMMARY'!$B$7</f>
        <v>-2940.1722042559209</v>
      </c>
      <c r="E4" s="43">
        <f t="shared" si="0"/>
        <v>-110.58193574239658</v>
      </c>
      <c r="F4" s="43">
        <f>'NZLCPEGHGB SUMMARY'!$F$4</f>
        <v>209275.83827297564</v>
      </c>
      <c r="G4" s="43">
        <f>'NZLCPEGHGB SUMMARY'!$F$7</f>
        <v>-212346.58702187325</v>
      </c>
      <c r="H4" s="43">
        <f t="shared" si="1"/>
        <v>-3070.7487488976039</v>
      </c>
      <c r="I4" s="43">
        <f>'NPV Calculation high'!D142</f>
        <v>-7283.2968053267641</v>
      </c>
      <c r="K4" s="43">
        <f>E4*'General variables'!$B$11</f>
        <v>-884.65548593917265</v>
      </c>
      <c r="L4" s="43">
        <f>H4*'General variables'!$B$11</f>
        <v>-24565.989991180832</v>
      </c>
      <c r="M4" s="43">
        <f>I4*'General variables'!$B$11</f>
        <v>-58266.374442614113</v>
      </c>
      <c r="N4">
        <f>I4/'General variables'!$B$15</f>
        <v>-47.294135099524439</v>
      </c>
      <c r="O4">
        <f t="shared" si="2"/>
        <v>-19.939926940893532</v>
      </c>
      <c r="P4">
        <f>(N12-N2)/N2</f>
        <v>-0.51603479350684922</v>
      </c>
    </row>
    <row r="5" spans="1:16" x14ac:dyDescent="0.25">
      <c r="A5" s="43">
        <v>3</v>
      </c>
      <c r="B5" s="43" t="s">
        <v>732</v>
      </c>
      <c r="C5" s="43">
        <f>'NZLCPEGHGB SUMMARY'!$B$4</f>
        <v>2829.5902685135243</v>
      </c>
      <c r="D5" s="43">
        <f>'NZLCPEGHGB SUMMARY'!$B$7</f>
        <v>-2940.1722042559209</v>
      </c>
      <c r="E5" s="43">
        <f t="shared" si="0"/>
        <v>-110.58193574239658</v>
      </c>
      <c r="F5" s="43">
        <f>'NZLCPEGHGB SUMMARY'!$F$4</f>
        <v>209275.83827297564</v>
      </c>
      <c r="G5" s="43">
        <f>'Sensitivity Analysis'!$J5*'NZLCPEGHGB SUMMARY'!$B$7</f>
        <v>0</v>
      </c>
      <c r="H5" s="43">
        <f t="shared" si="1"/>
        <v>209275.83827297564</v>
      </c>
      <c r="I5" s="43">
        <f>$I$2</f>
        <v>-7160.3725430467548</v>
      </c>
      <c r="J5" s="137">
        <v>0</v>
      </c>
      <c r="K5" s="43">
        <f>E5*'General variables'!$B$11</f>
        <v>-884.65548593917265</v>
      </c>
      <c r="L5" s="43">
        <f>H5*'General variables'!$B$11</f>
        <v>1674206.7061838051</v>
      </c>
      <c r="M5" s="43">
        <f>I5*'General variables'!$B$11</f>
        <v>-57282.980344374038</v>
      </c>
      <c r="N5">
        <f>I5/'General variables'!$B$15</f>
        <v>-46.495925604199705</v>
      </c>
      <c r="O5">
        <f t="shared" si="2"/>
        <v>1358.9340147595822</v>
      </c>
    </row>
    <row r="6" spans="1:16" x14ac:dyDescent="0.25">
      <c r="A6" s="43">
        <v>4</v>
      </c>
      <c r="B6" s="43" t="s">
        <v>730</v>
      </c>
      <c r="C6" s="43">
        <f>'NZLCPEGHGB SUMMARY'!$B$4</f>
        <v>2829.5902685135243</v>
      </c>
      <c r="D6" s="43">
        <f>'NZLCPEGHGB SUMMARY'!$B$7</f>
        <v>-2940.1722042559209</v>
      </c>
      <c r="E6" s="43">
        <f t="shared" si="0"/>
        <v>-110.58193574239658</v>
      </c>
      <c r="F6" s="43">
        <f>'NZLCPEGHGB SUMMARY'!$F$4</f>
        <v>209275.83827297564</v>
      </c>
      <c r="G6" s="43">
        <f>'Sensitivity Analysis'!$J6*'NZLCPEGHGB SUMMARY'!$B$7</f>
        <v>-29401.72204255921</v>
      </c>
      <c r="H6" s="43">
        <f t="shared" si="1"/>
        <v>179874.11623041643</v>
      </c>
      <c r="I6" s="43">
        <f t="shared" ref="I6:I11" si="3">$I$2</f>
        <v>-7160.3725430467548</v>
      </c>
      <c r="J6" s="137">
        <v>10</v>
      </c>
      <c r="K6" s="43">
        <f>E6*'General variables'!$B$11</f>
        <v>-884.65548593917265</v>
      </c>
      <c r="L6" s="43">
        <f>H6*'General variables'!$B$11</f>
        <v>1438992.9298433315</v>
      </c>
      <c r="M6" s="43">
        <f>I6*'General variables'!$B$11</f>
        <v>-57282.980344374038</v>
      </c>
      <c r="N6">
        <f>I6/'General variables'!$B$15</f>
        <v>-46.495925604199705</v>
      </c>
      <c r="O6">
        <f t="shared" si="2"/>
        <v>1168.0137417559508</v>
      </c>
    </row>
    <row r="7" spans="1:16" x14ac:dyDescent="0.25">
      <c r="A7" s="43">
        <v>5</v>
      </c>
      <c r="B7" s="43" t="s">
        <v>731</v>
      </c>
      <c r="C7" s="43">
        <f>'NZLCPEGHGB SUMMARY'!$B$4</f>
        <v>2829.5902685135243</v>
      </c>
      <c r="D7" s="43">
        <f>'NZLCPEGHGB SUMMARY'!$B$7</f>
        <v>-2940.1722042559209</v>
      </c>
      <c r="E7" s="43">
        <f t="shared" si="0"/>
        <v>-110.58193574239658</v>
      </c>
      <c r="F7" s="43">
        <f>'NZLCPEGHGB SUMMARY'!$F$4</f>
        <v>209275.83827297564</v>
      </c>
      <c r="G7" s="43">
        <f>'Sensitivity Analysis'!$J7*'NZLCPEGHGB SUMMARY'!$B$7</f>
        <v>-58803.444085118419</v>
      </c>
      <c r="H7" s="43">
        <f t="shared" si="1"/>
        <v>150472.39418785722</v>
      </c>
      <c r="I7" s="43">
        <f t="shared" si="3"/>
        <v>-7160.3725430467548</v>
      </c>
      <c r="J7" s="137">
        <v>20</v>
      </c>
      <c r="K7" s="43">
        <f>E7*'General variables'!$B$11</f>
        <v>-884.65548593917265</v>
      </c>
      <c r="L7" s="43">
        <f>H7*'General variables'!$B$11</f>
        <v>1203779.1535028578</v>
      </c>
      <c r="M7" s="43">
        <f>I7*'General variables'!$B$11</f>
        <v>-57282.980344374038</v>
      </c>
      <c r="N7">
        <f>I7/'General variables'!$B$15</f>
        <v>-46.495925604199705</v>
      </c>
      <c r="O7">
        <f t="shared" si="2"/>
        <v>977.09346875231961</v>
      </c>
    </row>
    <row r="8" spans="1:16" x14ac:dyDescent="0.25">
      <c r="A8" s="43">
        <v>6</v>
      </c>
      <c r="B8" s="43" t="s">
        <v>733</v>
      </c>
      <c r="C8" s="43">
        <f>'NZLCPEGHGB SUMMARY'!$B$4</f>
        <v>2829.5902685135243</v>
      </c>
      <c r="D8" s="43">
        <f>'NZLCPEGHGB SUMMARY'!$B$7</f>
        <v>-2940.1722042559209</v>
      </c>
      <c r="E8" s="43">
        <f t="shared" si="0"/>
        <v>-110.58193574239658</v>
      </c>
      <c r="F8" s="43">
        <f>'NZLCPEGHGB SUMMARY'!$F$4</f>
        <v>209275.83827297564</v>
      </c>
      <c r="G8" s="43">
        <f>'Sensitivity Analysis'!$J8*'NZLCPEGHGB SUMMARY'!$B$7</f>
        <v>-88205.166127677629</v>
      </c>
      <c r="H8" s="43">
        <f t="shared" si="1"/>
        <v>121070.67214529801</v>
      </c>
      <c r="I8" s="43">
        <f t="shared" si="3"/>
        <v>-7160.3725430467548</v>
      </c>
      <c r="J8" s="137">
        <v>30</v>
      </c>
      <c r="K8" s="43">
        <f>E8*'General variables'!$B$11</f>
        <v>-884.65548593917265</v>
      </c>
      <c r="L8" s="43">
        <f>H8*'General variables'!$B$11</f>
        <v>968565.3771623841</v>
      </c>
      <c r="M8" s="43">
        <f>I8*'General variables'!$B$11</f>
        <v>-57282.980344374038</v>
      </c>
      <c r="N8">
        <f>I8/'General variables'!$B$15</f>
        <v>-46.495925604199705</v>
      </c>
      <c r="O8">
        <f t="shared" si="2"/>
        <v>786.17319574868839</v>
      </c>
    </row>
    <row r="9" spans="1:16" x14ac:dyDescent="0.25">
      <c r="A9" s="43">
        <v>7</v>
      </c>
      <c r="B9" s="43" t="s">
        <v>734</v>
      </c>
      <c r="C9" s="43">
        <f>'NZLCPEGHGB SUMMARY'!$B$4</f>
        <v>2829.5902685135243</v>
      </c>
      <c r="D9" s="43">
        <f>'NZLCPEGHGB SUMMARY'!$B$7</f>
        <v>-2940.1722042559209</v>
      </c>
      <c r="E9" s="43">
        <f t="shared" si="0"/>
        <v>-110.58193574239658</v>
      </c>
      <c r="F9" s="43">
        <f>'NZLCPEGHGB SUMMARY'!$F$4</f>
        <v>209275.83827297564</v>
      </c>
      <c r="G9" s="43">
        <f>'Sensitivity Analysis'!$J9*'NZLCPEGHGB SUMMARY'!$B$7</f>
        <v>-117606.88817023684</v>
      </c>
      <c r="H9" s="43">
        <f t="shared" si="1"/>
        <v>91668.950102738803</v>
      </c>
      <c r="I9" s="43">
        <f t="shared" si="3"/>
        <v>-7160.3725430467548</v>
      </c>
      <c r="J9" s="137">
        <v>40</v>
      </c>
      <c r="K9" s="43">
        <f>E9*'General variables'!$B$11</f>
        <v>-884.65548593917265</v>
      </c>
      <c r="L9" s="43">
        <f>H9*'General variables'!$B$11</f>
        <v>733351.60082191043</v>
      </c>
      <c r="M9" s="43">
        <f>I9*'General variables'!$B$11</f>
        <v>-57282.980344374038</v>
      </c>
      <c r="N9">
        <f>I9/'General variables'!$B$15</f>
        <v>-46.495925604199705</v>
      </c>
      <c r="O9">
        <f t="shared" si="2"/>
        <v>595.25292274505716</v>
      </c>
    </row>
    <row r="10" spans="1:16" x14ac:dyDescent="0.25">
      <c r="A10" s="43">
        <v>8</v>
      </c>
      <c r="B10" s="43" t="s">
        <v>735</v>
      </c>
      <c r="C10" s="43">
        <f>'NZLCPEGHGB SUMMARY'!$B$4</f>
        <v>2829.5902685135243</v>
      </c>
      <c r="D10" s="43">
        <f>'NZLCPEGHGB SUMMARY'!$B$7</f>
        <v>-2940.1722042559209</v>
      </c>
      <c r="E10" s="43">
        <f t="shared" si="0"/>
        <v>-110.58193574239658</v>
      </c>
      <c r="F10" s="43">
        <f>'NZLCPEGHGB SUMMARY'!$F$4</f>
        <v>209275.83827297564</v>
      </c>
      <c r="G10" s="43">
        <f>'Sensitivity Analysis'!$J10*'NZLCPEGHGB SUMMARY'!$B$7</f>
        <v>-147008.61021279605</v>
      </c>
      <c r="H10" s="43">
        <f t="shared" si="1"/>
        <v>62267.228060179594</v>
      </c>
      <c r="I10" s="43">
        <f t="shared" si="3"/>
        <v>-7160.3725430467548</v>
      </c>
      <c r="J10" s="137">
        <v>50</v>
      </c>
      <c r="K10" s="43">
        <f>E10*'General variables'!$B$11</f>
        <v>-884.65548593917265</v>
      </c>
      <c r="L10" s="43">
        <f>H10*'General variables'!$B$11</f>
        <v>498137.82448143675</v>
      </c>
      <c r="M10" s="43">
        <f>I10*'General variables'!$B$11</f>
        <v>-57282.980344374038</v>
      </c>
      <c r="N10">
        <f>I10/'General variables'!$B$15</f>
        <v>-46.495925604199705</v>
      </c>
      <c r="O10">
        <f t="shared" si="2"/>
        <v>404.33264974142594</v>
      </c>
    </row>
    <row r="11" spans="1:16" x14ac:dyDescent="0.25">
      <c r="A11" s="43">
        <v>9</v>
      </c>
      <c r="B11" s="43" t="s">
        <v>736</v>
      </c>
      <c r="C11" s="43">
        <f>'NZLCPEGHGB SUMMARY'!$B$4</f>
        <v>2829.5902685135243</v>
      </c>
      <c r="D11" s="43">
        <f>'NZLCPEGHGB SUMMARY'!$B$7</f>
        <v>-2940.1722042559209</v>
      </c>
      <c r="E11" s="43">
        <f t="shared" si="0"/>
        <v>-110.58193574239658</v>
      </c>
      <c r="F11" s="43">
        <f>'NZLCPEGHGB SUMMARY'!$F$4</f>
        <v>209275.83827297564</v>
      </c>
      <c r="G11" s="43">
        <f>'Sensitivity Analysis'!$J11*'NZLCPEGHGB SUMMARY'!$B$7</f>
        <v>-176410.33225535526</v>
      </c>
      <c r="H11" s="43">
        <f t="shared" si="1"/>
        <v>32865.506017620384</v>
      </c>
      <c r="I11" s="43">
        <f t="shared" si="3"/>
        <v>-7160.3725430467548</v>
      </c>
      <c r="J11" s="137">
        <v>60</v>
      </c>
      <c r="K11" s="43">
        <f>E11*'General variables'!$B$11</f>
        <v>-884.65548593917265</v>
      </c>
      <c r="L11" s="43">
        <f>H11*'General variables'!$B$11</f>
        <v>262924.04814096307</v>
      </c>
      <c r="M11" s="43">
        <f>I11*'General variables'!$B$11</f>
        <v>-57282.980344374038</v>
      </c>
      <c r="N11">
        <f>I11/'General variables'!$B$15</f>
        <v>-46.495925604199705</v>
      </c>
      <c r="O11">
        <f t="shared" si="2"/>
        <v>213.41237673779472</v>
      </c>
    </row>
    <row r="12" spans="1:16" x14ac:dyDescent="0.25">
      <c r="A12" s="43">
        <v>10</v>
      </c>
      <c r="B12" s="43" t="s">
        <v>737</v>
      </c>
      <c r="C12" s="43">
        <f>$C$2</f>
        <v>2829.5902685135243</v>
      </c>
      <c r="D12" s="43">
        <f>('NZLCPEGHGB SUMMARY'!$B$5-PV!$B$96*3.6/1000*'General variables'!$B$3)*'General variables'!$B$9</f>
        <v>-2090.7211542559212</v>
      </c>
      <c r="E12" s="43">
        <f t="shared" si="0"/>
        <v>738.86911425760309</v>
      </c>
      <c r="F12" s="43">
        <f>$F$2</f>
        <v>209275.83827297564</v>
      </c>
      <c r="G12" s="43">
        <f>D12*'General variables'!$B$13</f>
        <v>-150997.10856324827</v>
      </c>
      <c r="H12" s="43">
        <f t="shared" si="1"/>
        <v>58278.729709727369</v>
      </c>
      <c r="I12" s="43">
        <f>'NPV Calculation'!D156</f>
        <v>-3465.3711763635101</v>
      </c>
      <c r="J12" s="137">
        <f>10/8</f>
        <v>1.25</v>
      </c>
      <c r="K12" s="43">
        <f>E12*'General variables'!$B$11*$J$12</f>
        <v>7388.6911425760309</v>
      </c>
      <c r="L12" s="43">
        <f>H12*'General variables'!$B$11*J12</f>
        <v>582787.29709727364</v>
      </c>
      <c r="M12" s="43">
        <f>I12*'General variables'!$B$11*J12</f>
        <v>-34653.711763635103</v>
      </c>
      <c r="N12">
        <f>I12/'General variables'!$B$15</f>
        <v>-22.502410236126689</v>
      </c>
      <c r="O12">
        <f>L12/(154*10)</f>
        <v>378.43330980342444</v>
      </c>
    </row>
    <row r="13" spans="1:16" s="83" customFormat="1" x14ac:dyDescent="0.25">
      <c r="A13" s="138">
        <v>11</v>
      </c>
      <c r="B13" s="138" t="s">
        <v>738</v>
      </c>
      <c r="C13" s="138">
        <f>$C$2</f>
        <v>2829.5902685135243</v>
      </c>
      <c r="D13" s="138">
        <f>('NZLCPEGHGB SUMMARY'!$B$5-PV!$B$97*3.6/1000*'General variables'!$B$3)*'General variables'!$B$9</f>
        <v>-391.81905425592146</v>
      </c>
      <c r="E13" s="138">
        <f t="shared" si="0"/>
        <v>2437.7712142576029</v>
      </c>
      <c r="F13" s="138">
        <f>$F$2</f>
        <v>209275.83827297564</v>
      </c>
      <c r="G13" s="138">
        <f>D13*Table2[[#This Row],[Value]]</f>
        <v>-28298.151645998285</v>
      </c>
      <c r="H13" s="138">
        <f t="shared" si="1"/>
        <v>180977.68662697735</v>
      </c>
      <c r="I13" s="138">
        <f>'NPV Calculation'!D166</f>
        <v>1423.5517927343005</v>
      </c>
      <c r="J13" s="139">
        <f>20/8</f>
        <v>2.5</v>
      </c>
      <c r="K13" s="138">
        <f>E13*'General variables'!$B$11*J13</f>
        <v>48755.424285152054</v>
      </c>
      <c r="L13" s="138">
        <f>H13*'General variables'!$B$11*J13</f>
        <v>3619553.7325395467</v>
      </c>
      <c r="M13" s="138">
        <f>I13*'General variables'!$B$11*J13</f>
        <v>28471.035854686012</v>
      </c>
      <c r="N13" s="83">
        <f>I13/'General variables'!$B$15</f>
        <v>9.2438428099629899</v>
      </c>
      <c r="O13" s="83">
        <f>L13/(154*20)</f>
        <v>1175.1797832920606</v>
      </c>
    </row>
    <row r="14" spans="1:16" x14ac:dyDescent="0.25">
      <c r="A14" s="43">
        <v>12</v>
      </c>
      <c r="B14" s="43" t="s">
        <v>740</v>
      </c>
      <c r="C14" s="43">
        <f>$C$2*J14</f>
        <v>1697.7541611081144</v>
      </c>
      <c r="D14" s="43">
        <f>D2</f>
        <v>-2940.1722042559209</v>
      </c>
      <c r="E14" s="43">
        <f t="shared" si="0"/>
        <v>-1242.4180431478064</v>
      </c>
      <c r="F14" s="43">
        <f>$F$2*J14</f>
        <v>125565.50296378537</v>
      </c>
      <c r="G14" s="43">
        <f>G2</f>
        <v>-212346.58702187325</v>
      </c>
      <c r="H14" s="43">
        <f>'NZLCPEGHGB SUMMARY'!F4*J14+'NZLCPEGHGB SUMMARY'!F7</f>
        <v>-86781.084058087872</v>
      </c>
      <c r="I14" s="43">
        <f>I2</f>
        <v>-7160.3725430467548</v>
      </c>
      <c r="J14" s="137">
        <v>0.6</v>
      </c>
      <c r="K14" s="43">
        <f>E14*'General variables'!$B$11</f>
        <v>-9939.3443451824514</v>
      </c>
      <c r="L14" s="43">
        <f>H14*'General variables'!$B$11</f>
        <v>-694248.67246470298</v>
      </c>
      <c r="M14" s="43">
        <f>I14*'General variables'!$B$11</f>
        <v>-57282.980344374038</v>
      </c>
      <c r="N14">
        <f>I14/'General variables'!$B$15</f>
        <v>-46.495925604199705</v>
      </c>
      <c r="O14">
        <f t="shared" si="2"/>
        <v>-563.51353284472646</v>
      </c>
    </row>
    <row r="15" spans="1:16" x14ac:dyDescent="0.25">
      <c r="A15" s="43">
        <v>13</v>
      </c>
      <c r="B15" s="43" t="s">
        <v>741</v>
      </c>
      <c r="C15" s="43">
        <f>$C$2*J15</f>
        <v>3961.4263759189339</v>
      </c>
      <c r="D15" s="43">
        <f>D2</f>
        <v>-2940.1722042559209</v>
      </c>
      <c r="E15" s="43">
        <f t="shared" si="0"/>
        <v>1021.254171663013</v>
      </c>
      <c r="F15" s="43">
        <f>$F$2*J15</f>
        <v>292986.17358216585</v>
      </c>
      <c r="G15" s="43">
        <f>G2</f>
        <v>-212346.58702187325</v>
      </c>
      <c r="H15" s="43">
        <f>'NZLCPEGHGB SUMMARY'!F4*J15+'NZLCPEGHGB SUMMARY'!F7</f>
        <v>80639.586560292606</v>
      </c>
      <c r="I15" s="43">
        <f>I2</f>
        <v>-7160.3725430467548</v>
      </c>
      <c r="J15" s="137">
        <v>1.4</v>
      </c>
      <c r="K15" s="43">
        <f>E15*'General variables'!$B$11</f>
        <v>8170.0333733041043</v>
      </c>
      <c r="L15" s="43">
        <f>H15*'General variables'!$B$11</f>
        <v>645116.69248234085</v>
      </c>
      <c r="M15" s="43">
        <f>I15*'General variables'!$B$11</f>
        <v>-57282.980344374038</v>
      </c>
      <c r="N15">
        <f>I15/'General variables'!$B$15</f>
        <v>-46.495925604199705</v>
      </c>
      <c r="O15">
        <f t="shared" si="2"/>
        <v>523.63367896293903</v>
      </c>
    </row>
    <row r="16" spans="1:16" s="83" customFormat="1" x14ac:dyDescent="0.25">
      <c r="A16" s="138">
        <v>14</v>
      </c>
      <c r="B16" s="138" t="s">
        <v>742</v>
      </c>
      <c r="C16" s="138">
        <f>C2</f>
        <v>2829.5902685135243</v>
      </c>
      <c r="D16" s="138">
        <f>D$2*$J$16</f>
        <v>-2352.1377634047367</v>
      </c>
      <c r="E16" s="138">
        <f t="shared" si="0"/>
        <v>477.45250510878759</v>
      </c>
      <c r="F16" s="138">
        <f>F2</f>
        <v>209275.83827297564</v>
      </c>
      <c r="G16" s="138">
        <f>G$2*$J$16</f>
        <v>-169877.26961749862</v>
      </c>
      <c r="H16" s="138">
        <f>'NZLCPEGHGB SUMMARY'!$F$4+('NZLCPEGHGB SUMMARY'!$B$5*J16-'NZLCPEGHGB SUMMARY'!$B$6)*'General variables'!$B$9*'General variables'!$B$13</f>
        <v>-34704.220934155892</v>
      </c>
      <c r="I16" s="138">
        <f>I2</f>
        <v>-7160.3725430467548</v>
      </c>
      <c r="J16" s="139">
        <v>0.8</v>
      </c>
      <c r="K16" s="138">
        <f>E16*'General variables'!$B$11</f>
        <v>3819.6200408703007</v>
      </c>
      <c r="L16" s="138">
        <f>H16*'General variables'!$B$11</f>
        <v>-277633.76747324714</v>
      </c>
      <c r="M16" s="138">
        <f>I16*'General variables'!$B$11</f>
        <v>-57282.980344374038</v>
      </c>
      <c r="N16" s="83">
        <f>I16/'General variables'!$B$15</f>
        <v>-46.495925604199705</v>
      </c>
      <c r="O16">
        <f t="shared" si="2"/>
        <v>-225.35208398802527</v>
      </c>
    </row>
    <row r="17" spans="1:15" s="83" customFormat="1" x14ac:dyDescent="0.25">
      <c r="A17" s="138">
        <v>15</v>
      </c>
      <c r="B17" s="138" t="s">
        <v>743</v>
      </c>
      <c r="C17" s="138">
        <f>C2</f>
        <v>2829.5902685135243</v>
      </c>
      <c r="D17" s="138">
        <f>D$2*$J$17</f>
        <v>-3528.206645107105</v>
      </c>
      <c r="E17" s="138">
        <f t="shared" si="0"/>
        <v>-698.61637659358075</v>
      </c>
      <c r="F17" s="138">
        <f>F2</f>
        <v>209275.83827297564</v>
      </c>
      <c r="G17" s="138">
        <f>G$2*$J$17</f>
        <v>-254815.90442624787</v>
      </c>
      <c r="H17" s="138">
        <f>'NZLCPEGHGB SUMMARY'!$F$4+('NZLCPEGHGB SUMMARY'!$B$5*J17-'NZLCPEGHGB SUMMARY'!$B$6)*'General variables'!$B$9*'General variables'!$B$13</f>
        <v>28562.723436360771</v>
      </c>
      <c r="I17" s="138">
        <f>'NPV Calculation'!D177</f>
        <v>11671.314002761088</v>
      </c>
      <c r="J17" s="139">
        <v>1.2</v>
      </c>
      <c r="K17" s="138">
        <f>E17*'General variables'!$B$11</f>
        <v>-5588.931012748646</v>
      </c>
      <c r="L17" s="138">
        <f>H17*'General variables'!$B$11</f>
        <v>228501.78749088617</v>
      </c>
      <c r="M17" s="138">
        <f>I17*'General variables'!$B$11</f>
        <v>93370.512022088704</v>
      </c>
      <c r="N17" s="83">
        <f>I17/'General variables'!$B$15</f>
        <v>75.787753264682394</v>
      </c>
      <c r="O17">
        <f t="shared" si="2"/>
        <v>185.47223010623878</v>
      </c>
    </row>
    <row r="18" spans="1:15" s="83" customFormat="1" x14ac:dyDescent="0.25">
      <c r="A18" s="138">
        <v>16</v>
      </c>
      <c r="B18" s="138" t="s">
        <v>744</v>
      </c>
      <c r="C18" s="138">
        <f>$C$2*$J$14</f>
        <v>1697.7541611081144</v>
      </c>
      <c r="D18" s="138">
        <f>D$2*$J$16</f>
        <v>-2352.1377634047367</v>
      </c>
      <c r="E18" s="138">
        <f t="shared" si="0"/>
        <v>-654.38360229662226</v>
      </c>
      <c r="F18" s="138">
        <f>$F$2*$J$14</f>
        <v>125565.50296378537</v>
      </c>
      <c r="G18" s="138">
        <f>G$2*$J$16</f>
        <v>-169877.26961749862</v>
      </c>
      <c r="H18" s="138">
        <f>'NZLCPEGHGB SUMMARY'!$F$4*J14+('NZLCPEGHGB SUMMARY'!$B$5*J16-'NZLCPEGHGB SUMMARY'!$B$6)*'General variables'!$B$9*'General variables'!$B$13</f>
        <v>-118414.55624334616</v>
      </c>
      <c r="I18" s="138">
        <f>I2</f>
        <v>-7160.3725430467548</v>
      </c>
      <c r="J18" s="139" t="s">
        <v>761</v>
      </c>
      <c r="K18" s="138">
        <f>E18*'General variables'!$B$11</f>
        <v>-5235.0688183729781</v>
      </c>
      <c r="L18" s="138">
        <f>H18*'General variables'!$B$11</f>
        <v>-947316.44994676928</v>
      </c>
      <c r="M18" s="138">
        <f>I18*'General variables'!$B$11</f>
        <v>-57282.980344374038</v>
      </c>
      <c r="N18" s="83">
        <f>I18/'General variables'!$B$15</f>
        <v>-46.495925604199705</v>
      </c>
      <c r="O18">
        <f t="shared" si="2"/>
        <v>-768.92568989185816</v>
      </c>
    </row>
    <row r="19" spans="1:15" s="83" customFormat="1" x14ac:dyDescent="0.25">
      <c r="A19" s="138">
        <v>17</v>
      </c>
      <c r="B19" s="138" t="s">
        <v>745</v>
      </c>
      <c r="C19" s="138">
        <f>$C$2*$J$14</f>
        <v>1697.7541611081144</v>
      </c>
      <c r="D19" s="138">
        <f>D$2*$J$17</f>
        <v>-3528.206645107105</v>
      </c>
      <c r="E19" s="138">
        <f t="shared" si="0"/>
        <v>-1830.4524839989906</v>
      </c>
      <c r="F19" s="138">
        <f>$F$2*$J$14</f>
        <v>125565.50296378537</v>
      </c>
      <c r="G19" s="138">
        <f>G$2*$J$17</f>
        <v>-254815.90442624787</v>
      </c>
      <c r="H19" s="138">
        <f>'NZLCPEGHGB SUMMARY'!$F$4*J14+('NZLCPEGHGB SUMMARY'!$B$5*J17-'NZLCPEGHGB SUMMARY'!$B$6)*'General variables'!$B$9*'General variables'!$B$13</f>
        <v>-55147.611872829497</v>
      </c>
      <c r="I19" s="138">
        <f>'NPV Calculation'!D177</f>
        <v>11671.314002761088</v>
      </c>
      <c r="J19" s="139" t="s">
        <v>761</v>
      </c>
      <c r="K19" s="138">
        <f>E19*'General variables'!$B$11</f>
        <v>-14643.619871991925</v>
      </c>
      <c r="L19" s="138">
        <f>H19*'General variables'!$B$11</f>
        <v>-441180.89498263597</v>
      </c>
      <c r="M19" s="138">
        <f>I19*'General variables'!$B$11</f>
        <v>93370.512022088704</v>
      </c>
      <c r="N19" s="83">
        <f>I19/'General variables'!$B$15</f>
        <v>75.787753264682394</v>
      </c>
      <c r="O19">
        <f t="shared" si="2"/>
        <v>-358.10137579759413</v>
      </c>
    </row>
    <row r="20" spans="1:15" s="83" customFormat="1" x14ac:dyDescent="0.25">
      <c r="A20" s="138">
        <v>18</v>
      </c>
      <c r="B20" s="138" t="s">
        <v>746</v>
      </c>
      <c r="C20" s="138">
        <f>$C$2*$J$15</f>
        <v>3961.4263759189339</v>
      </c>
      <c r="D20" s="138">
        <f>D$2*$J$16</f>
        <v>-2352.1377634047367</v>
      </c>
      <c r="E20" s="138">
        <f t="shared" si="0"/>
        <v>1609.2886125141972</v>
      </c>
      <c r="F20" s="138">
        <f>$F$2*$J$15</f>
        <v>292986.17358216585</v>
      </c>
      <c r="G20" s="138">
        <f>G$2*$J$16</f>
        <v>-169877.26961749862</v>
      </c>
      <c r="H20" s="138">
        <f>'NZLCPEGHGB SUMMARY'!$F$4*J15+('NZLCPEGHGB SUMMARY'!$B$5*J16-'NZLCPEGHGB SUMMARY'!$B$6)*'General variables'!$B$9*'General variables'!$B$13</f>
        <v>49006.114375034318</v>
      </c>
      <c r="I20" s="138">
        <f>I2</f>
        <v>-7160.3725430467548</v>
      </c>
      <c r="J20" s="139" t="s">
        <v>761</v>
      </c>
      <c r="K20" s="138">
        <f>E20*'General variables'!$B$11</f>
        <v>12874.308900113578</v>
      </c>
      <c r="L20" s="138">
        <f>H20*'General variables'!$B$11</f>
        <v>392048.91500027454</v>
      </c>
      <c r="M20" s="138">
        <f>I20*'General variables'!$B$11</f>
        <v>-57282.980344374038</v>
      </c>
      <c r="N20" s="83">
        <f>I20/'General variables'!$B$15</f>
        <v>-46.495925604199705</v>
      </c>
      <c r="O20">
        <f t="shared" si="2"/>
        <v>318.22152191580727</v>
      </c>
    </row>
    <row r="21" spans="1:15" s="83" customFormat="1" x14ac:dyDescent="0.25">
      <c r="A21" s="138">
        <v>19</v>
      </c>
      <c r="B21" s="138" t="s">
        <v>747</v>
      </c>
      <c r="C21" s="138">
        <f>$C$2*$J$15</f>
        <v>3961.4263759189339</v>
      </c>
      <c r="D21" s="138">
        <f>D$2*$J$17</f>
        <v>-3528.206645107105</v>
      </c>
      <c r="E21" s="138">
        <f t="shared" si="0"/>
        <v>433.21973081182887</v>
      </c>
      <c r="F21" s="138">
        <f>$F$2*$J$15</f>
        <v>292986.17358216585</v>
      </c>
      <c r="G21" s="138">
        <f>G$2*$J$17</f>
        <v>-254815.90442624787</v>
      </c>
      <c r="H21" s="138">
        <f>'NZLCPEGHGB SUMMARY'!$F$4*J15+('NZLCPEGHGB SUMMARY'!$B$5*J17-'NZLCPEGHGB SUMMARY'!$B$6)*'General variables'!$B$9*'General variables'!$B$13</f>
        <v>112273.05874555098</v>
      </c>
      <c r="I21" s="138">
        <f>'NPV Calculation'!D177</f>
        <v>11671.314002761088</v>
      </c>
      <c r="J21" s="139" t="s">
        <v>761</v>
      </c>
      <c r="K21" s="138">
        <f>E21*'General variables'!$B$11</f>
        <v>3465.7578464946309</v>
      </c>
      <c r="L21" s="138">
        <f>H21*'General variables'!$B$11</f>
        <v>898184.46996440785</v>
      </c>
      <c r="M21" s="138">
        <f>I21*'General variables'!$B$11</f>
        <v>93370.512022088704</v>
      </c>
      <c r="N21" s="83">
        <f>I21/'General variables'!$B$15</f>
        <v>75.787753264682394</v>
      </c>
      <c r="O21">
        <f t="shared" si="2"/>
        <v>729.0458360100713</v>
      </c>
    </row>
    <row r="22" spans="1:15" x14ac:dyDescent="0.25">
      <c r="A22" s="43">
        <v>20</v>
      </c>
      <c r="B22" s="43" t="s">
        <v>748</v>
      </c>
      <c r="C22" s="43">
        <f>$C$2</f>
        <v>2829.5902685135243</v>
      </c>
      <c r="D22" s="43">
        <f>$D$2</f>
        <v>-2940.1722042559209</v>
      </c>
      <c r="E22" s="43">
        <f t="shared" si="0"/>
        <v>-110.58193574239658</v>
      </c>
      <c r="F22" s="43">
        <f>$F$2</f>
        <v>209275.83827297564</v>
      </c>
      <c r="G22" s="43">
        <f>$G$2</f>
        <v>-212346.58702187325</v>
      </c>
      <c r="H22" s="43">
        <f>H5</f>
        <v>209275.83827297564</v>
      </c>
      <c r="I22" s="43">
        <f>$I$3</f>
        <v>-5943.1050367835023</v>
      </c>
      <c r="K22" s="43">
        <f>E22*'General variables'!$B$11</f>
        <v>-884.65548593917265</v>
      </c>
      <c r="L22" s="43">
        <f>H22*'General variables'!$B$11</f>
        <v>1674206.7061838051</v>
      </c>
      <c r="M22" s="43">
        <f>I22*'General variables'!$B$11</f>
        <v>-47544.840294268019</v>
      </c>
      <c r="N22">
        <f>I22/'General variables'!$B$15</f>
        <v>-38.591591147944818</v>
      </c>
      <c r="O22">
        <f t="shared" si="2"/>
        <v>1358.9340147595822</v>
      </c>
    </row>
    <row r="23" spans="1:15" x14ac:dyDescent="0.25">
      <c r="A23" s="43">
        <v>21</v>
      </c>
      <c r="B23" s="43" t="s">
        <v>749</v>
      </c>
      <c r="C23" s="43">
        <f t="shared" ref="C23:C35" si="4">$C$2</f>
        <v>2829.5902685135243</v>
      </c>
      <c r="D23" s="43">
        <f t="shared" ref="D23:D35" si="5">$D$2</f>
        <v>-2940.1722042559209</v>
      </c>
      <c r="E23" s="43">
        <f t="shared" si="0"/>
        <v>-110.58193574239658</v>
      </c>
      <c r="F23" s="43">
        <f t="shared" ref="F23:F35" si="6">$F$2</f>
        <v>209275.83827297564</v>
      </c>
      <c r="G23" s="43">
        <f t="shared" ref="G23:G35" si="7">$G$2</f>
        <v>-212346.58702187325</v>
      </c>
      <c r="H23" s="43">
        <f t="shared" ref="H23:H28" si="8">H6</f>
        <v>179874.11623041643</v>
      </c>
      <c r="I23" s="43">
        <f t="shared" ref="I23:I28" si="9">$I$3</f>
        <v>-5943.1050367835023</v>
      </c>
      <c r="K23" s="43">
        <f>E23*'General variables'!$B$11</f>
        <v>-884.65548593917265</v>
      </c>
      <c r="L23" s="43">
        <f>H23*'General variables'!$B$11</f>
        <v>1438992.9298433315</v>
      </c>
      <c r="M23" s="43">
        <f>I23*'General variables'!$B$11</f>
        <v>-47544.840294268019</v>
      </c>
      <c r="N23">
        <f>I23/'General variables'!$B$15</f>
        <v>-38.591591147944818</v>
      </c>
      <c r="O23">
        <f t="shared" si="2"/>
        <v>1168.0137417559508</v>
      </c>
    </row>
    <row r="24" spans="1:15" x14ac:dyDescent="0.25">
      <c r="A24" s="43">
        <v>22</v>
      </c>
      <c r="B24" s="43" t="s">
        <v>750</v>
      </c>
      <c r="C24" s="43">
        <f t="shared" si="4"/>
        <v>2829.5902685135243</v>
      </c>
      <c r="D24" s="43">
        <f t="shared" si="5"/>
        <v>-2940.1722042559209</v>
      </c>
      <c r="E24" s="43">
        <f t="shared" si="0"/>
        <v>-110.58193574239658</v>
      </c>
      <c r="F24" s="43">
        <f t="shared" si="6"/>
        <v>209275.83827297564</v>
      </c>
      <c r="G24" s="43">
        <f t="shared" si="7"/>
        <v>-212346.58702187325</v>
      </c>
      <c r="H24" s="43">
        <f t="shared" si="8"/>
        <v>150472.39418785722</v>
      </c>
      <c r="I24" s="43">
        <f t="shared" si="9"/>
        <v>-5943.1050367835023</v>
      </c>
      <c r="K24" s="43">
        <f>E24*'General variables'!$B$11</f>
        <v>-884.65548593917265</v>
      </c>
      <c r="L24" s="43">
        <f>H24*'General variables'!$B$11</f>
        <v>1203779.1535028578</v>
      </c>
      <c r="M24" s="43">
        <f>I24*'General variables'!$B$11</f>
        <v>-47544.840294268019</v>
      </c>
      <c r="N24">
        <f>I24/'General variables'!$B$15</f>
        <v>-38.591591147944818</v>
      </c>
      <c r="O24">
        <f t="shared" si="2"/>
        <v>977.09346875231961</v>
      </c>
    </row>
    <row r="25" spans="1:15" x14ac:dyDescent="0.25">
      <c r="A25" s="43">
        <v>23</v>
      </c>
      <c r="B25" s="43" t="s">
        <v>751</v>
      </c>
      <c r="C25" s="43">
        <f t="shared" si="4"/>
        <v>2829.5902685135243</v>
      </c>
      <c r="D25" s="43">
        <f t="shared" si="5"/>
        <v>-2940.1722042559209</v>
      </c>
      <c r="E25" s="43">
        <f t="shared" si="0"/>
        <v>-110.58193574239658</v>
      </c>
      <c r="F25" s="43">
        <f t="shared" si="6"/>
        <v>209275.83827297564</v>
      </c>
      <c r="G25" s="43">
        <f t="shared" si="7"/>
        <v>-212346.58702187325</v>
      </c>
      <c r="H25" s="43">
        <f t="shared" si="8"/>
        <v>121070.67214529801</v>
      </c>
      <c r="I25" s="43">
        <f t="shared" si="9"/>
        <v>-5943.1050367835023</v>
      </c>
      <c r="K25" s="43">
        <f>E25*'General variables'!$B$11</f>
        <v>-884.65548593917265</v>
      </c>
      <c r="L25" s="43">
        <f>H25*'General variables'!$B$11</f>
        <v>968565.3771623841</v>
      </c>
      <c r="M25" s="43">
        <f>I25*'General variables'!$B$11</f>
        <v>-47544.840294268019</v>
      </c>
      <c r="N25">
        <f>I25/'General variables'!$B$15</f>
        <v>-38.591591147944818</v>
      </c>
      <c r="O25">
        <f t="shared" si="2"/>
        <v>786.17319574868839</v>
      </c>
    </row>
    <row r="26" spans="1:15" x14ac:dyDescent="0.25">
      <c r="A26" s="43">
        <v>24</v>
      </c>
      <c r="B26" s="43" t="s">
        <v>752</v>
      </c>
      <c r="C26" s="43">
        <f t="shared" si="4"/>
        <v>2829.5902685135243</v>
      </c>
      <c r="D26" s="43">
        <f t="shared" si="5"/>
        <v>-2940.1722042559209</v>
      </c>
      <c r="E26" s="43">
        <f t="shared" si="0"/>
        <v>-110.58193574239658</v>
      </c>
      <c r="F26" s="43">
        <f t="shared" si="6"/>
        <v>209275.83827297564</v>
      </c>
      <c r="G26" s="43">
        <f t="shared" si="7"/>
        <v>-212346.58702187325</v>
      </c>
      <c r="H26" s="43">
        <f t="shared" si="8"/>
        <v>91668.950102738803</v>
      </c>
      <c r="I26" s="43">
        <f t="shared" si="9"/>
        <v>-5943.1050367835023</v>
      </c>
      <c r="K26" s="43">
        <f>E26*'General variables'!$B$11</f>
        <v>-884.65548593917265</v>
      </c>
      <c r="L26" s="43">
        <f>H26*'General variables'!$B$11</f>
        <v>733351.60082191043</v>
      </c>
      <c r="M26" s="43">
        <f>I26*'General variables'!$B$11</f>
        <v>-47544.840294268019</v>
      </c>
      <c r="N26">
        <f>I26/'General variables'!$B$15</f>
        <v>-38.591591147944818</v>
      </c>
      <c r="O26">
        <f t="shared" si="2"/>
        <v>595.25292274505716</v>
      </c>
    </row>
    <row r="27" spans="1:15" x14ac:dyDescent="0.25">
      <c r="A27" s="43">
        <v>25</v>
      </c>
      <c r="B27" s="43" t="s">
        <v>753</v>
      </c>
      <c r="C27" s="43">
        <f t="shared" si="4"/>
        <v>2829.5902685135243</v>
      </c>
      <c r="D27" s="43">
        <f t="shared" si="5"/>
        <v>-2940.1722042559209</v>
      </c>
      <c r="E27" s="43">
        <f t="shared" si="0"/>
        <v>-110.58193574239658</v>
      </c>
      <c r="F27" s="43">
        <f t="shared" si="6"/>
        <v>209275.83827297564</v>
      </c>
      <c r="G27" s="43">
        <f t="shared" si="7"/>
        <v>-212346.58702187325</v>
      </c>
      <c r="H27" s="43">
        <f t="shared" si="8"/>
        <v>62267.228060179594</v>
      </c>
      <c r="I27" s="43">
        <f t="shared" si="9"/>
        <v>-5943.1050367835023</v>
      </c>
      <c r="K27" s="43">
        <f>E27*'General variables'!$B$11</f>
        <v>-884.65548593917265</v>
      </c>
      <c r="L27" s="43">
        <f>H27*'General variables'!$B$11</f>
        <v>498137.82448143675</v>
      </c>
      <c r="M27" s="43">
        <f>I27*'General variables'!$B$11</f>
        <v>-47544.840294268019</v>
      </c>
      <c r="N27">
        <f>I27/'General variables'!$B$15</f>
        <v>-38.591591147944818</v>
      </c>
      <c r="O27">
        <f t="shared" si="2"/>
        <v>404.33264974142594</v>
      </c>
    </row>
    <row r="28" spans="1:15" x14ac:dyDescent="0.25">
      <c r="A28" s="43">
        <v>26</v>
      </c>
      <c r="B28" s="43" t="s">
        <v>754</v>
      </c>
      <c r="C28" s="43">
        <f t="shared" si="4"/>
        <v>2829.5902685135243</v>
      </c>
      <c r="D28" s="43">
        <f t="shared" si="5"/>
        <v>-2940.1722042559209</v>
      </c>
      <c r="E28" s="43">
        <f t="shared" si="0"/>
        <v>-110.58193574239658</v>
      </c>
      <c r="F28" s="43">
        <f t="shared" si="6"/>
        <v>209275.83827297564</v>
      </c>
      <c r="G28" s="43">
        <f t="shared" si="7"/>
        <v>-212346.58702187325</v>
      </c>
      <c r="H28" s="43">
        <f t="shared" si="8"/>
        <v>32865.506017620384</v>
      </c>
      <c r="I28" s="43">
        <f t="shared" si="9"/>
        <v>-5943.1050367835023</v>
      </c>
      <c r="K28" s="43">
        <f>E28*'General variables'!$B$11</f>
        <v>-884.65548593917265</v>
      </c>
      <c r="L28" s="43">
        <f>H28*'General variables'!$B$11</f>
        <v>262924.04814096307</v>
      </c>
      <c r="M28" s="43">
        <f>I28*'General variables'!$B$11</f>
        <v>-47544.840294268019</v>
      </c>
      <c r="N28">
        <f>I28/'General variables'!$B$15</f>
        <v>-38.591591147944818</v>
      </c>
      <c r="O28">
        <f t="shared" si="2"/>
        <v>213.41237673779472</v>
      </c>
    </row>
    <row r="29" spans="1:15" x14ac:dyDescent="0.25">
      <c r="A29" s="43">
        <v>27</v>
      </c>
      <c r="B29" s="43" t="s">
        <v>755</v>
      </c>
      <c r="C29" s="43">
        <f t="shared" si="4"/>
        <v>2829.5902685135243</v>
      </c>
      <c r="D29" s="43">
        <f t="shared" si="5"/>
        <v>-2940.1722042559209</v>
      </c>
      <c r="E29" s="43">
        <f t="shared" si="0"/>
        <v>-110.58193574239658</v>
      </c>
      <c r="F29" s="43">
        <f t="shared" si="6"/>
        <v>209275.83827297564</v>
      </c>
      <c r="G29" s="43">
        <f t="shared" si="7"/>
        <v>-212346.58702187325</v>
      </c>
      <c r="H29" s="43">
        <f>H5</f>
        <v>209275.83827297564</v>
      </c>
      <c r="I29" s="43">
        <f>$I$4</f>
        <v>-7283.2968053267641</v>
      </c>
      <c r="K29" s="43">
        <f>E29*'General variables'!$B$11</f>
        <v>-884.65548593917265</v>
      </c>
      <c r="L29" s="43">
        <f>H29*'General variables'!$B$11</f>
        <v>1674206.7061838051</v>
      </c>
      <c r="M29" s="43">
        <f>I29*'General variables'!$B$11</f>
        <v>-58266.374442614113</v>
      </c>
      <c r="N29">
        <f>I29/'General variables'!$B$15</f>
        <v>-47.294135099524439</v>
      </c>
      <c r="O29">
        <f t="shared" si="2"/>
        <v>1358.9340147595822</v>
      </c>
    </row>
    <row r="30" spans="1:15" x14ac:dyDescent="0.25">
      <c r="A30" s="43">
        <v>28</v>
      </c>
      <c r="B30" s="43" t="s">
        <v>762</v>
      </c>
      <c r="C30" s="43">
        <f t="shared" si="4"/>
        <v>2829.5902685135243</v>
      </c>
      <c r="D30" s="43">
        <f t="shared" si="5"/>
        <v>-2940.1722042559209</v>
      </c>
      <c r="E30" s="43">
        <f t="shared" si="0"/>
        <v>-110.58193574239658</v>
      </c>
      <c r="F30" s="43">
        <f t="shared" si="6"/>
        <v>209275.83827297564</v>
      </c>
      <c r="G30" s="43">
        <f t="shared" si="7"/>
        <v>-212346.58702187325</v>
      </c>
      <c r="H30" s="43">
        <f t="shared" ref="H30:H35" si="10">H6</f>
        <v>179874.11623041643</v>
      </c>
      <c r="I30" s="43">
        <f t="shared" ref="I30:I35" si="11">$I$4</f>
        <v>-7283.2968053267641</v>
      </c>
      <c r="K30" s="43">
        <f>E30*'General variables'!$B$11</f>
        <v>-884.65548593917265</v>
      </c>
      <c r="L30" s="43">
        <f>H30*'General variables'!$B$11</f>
        <v>1438992.9298433315</v>
      </c>
      <c r="M30" s="43">
        <f>I30*'General variables'!$B$11</f>
        <v>-58266.374442614113</v>
      </c>
      <c r="N30">
        <f>I30/'General variables'!$B$15</f>
        <v>-47.294135099524439</v>
      </c>
      <c r="O30">
        <f t="shared" si="2"/>
        <v>1168.0137417559508</v>
      </c>
    </row>
    <row r="31" spans="1:15" x14ac:dyDescent="0.25">
      <c r="A31" s="43">
        <v>29</v>
      </c>
      <c r="B31" s="43" t="s">
        <v>763</v>
      </c>
      <c r="C31" s="43">
        <f t="shared" si="4"/>
        <v>2829.5902685135243</v>
      </c>
      <c r="D31" s="43">
        <f t="shared" si="5"/>
        <v>-2940.1722042559209</v>
      </c>
      <c r="E31" s="43">
        <f t="shared" si="0"/>
        <v>-110.58193574239658</v>
      </c>
      <c r="F31" s="43">
        <f t="shared" si="6"/>
        <v>209275.83827297564</v>
      </c>
      <c r="G31" s="43">
        <f t="shared" si="7"/>
        <v>-212346.58702187325</v>
      </c>
      <c r="H31" s="43">
        <f t="shared" si="10"/>
        <v>150472.39418785722</v>
      </c>
      <c r="I31" s="43">
        <f t="shared" si="11"/>
        <v>-7283.2968053267641</v>
      </c>
      <c r="K31" s="43">
        <f>E31*'General variables'!$B$11</f>
        <v>-884.65548593917265</v>
      </c>
      <c r="L31" s="43">
        <f>H31*'General variables'!$B$11</f>
        <v>1203779.1535028578</v>
      </c>
      <c r="M31" s="43">
        <f>I31*'General variables'!$B$11</f>
        <v>-58266.374442614113</v>
      </c>
      <c r="N31">
        <f>I31/'General variables'!$B$15</f>
        <v>-47.294135099524439</v>
      </c>
      <c r="O31">
        <f t="shared" si="2"/>
        <v>977.09346875231961</v>
      </c>
    </row>
    <row r="32" spans="1:15" x14ac:dyDescent="0.25">
      <c r="A32" s="43">
        <v>30</v>
      </c>
      <c r="B32" s="43" t="s">
        <v>764</v>
      </c>
      <c r="C32" s="43">
        <f t="shared" si="4"/>
        <v>2829.5902685135243</v>
      </c>
      <c r="D32" s="43">
        <f t="shared" si="5"/>
        <v>-2940.1722042559209</v>
      </c>
      <c r="E32" s="43">
        <f t="shared" si="0"/>
        <v>-110.58193574239658</v>
      </c>
      <c r="F32" s="43">
        <f t="shared" si="6"/>
        <v>209275.83827297564</v>
      </c>
      <c r="G32" s="43">
        <f t="shared" si="7"/>
        <v>-212346.58702187325</v>
      </c>
      <c r="H32" s="43">
        <f t="shared" si="10"/>
        <v>121070.67214529801</v>
      </c>
      <c r="I32" s="43">
        <f t="shared" si="11"/>
        <v>-7283.2968053267641</v>
      </c>
      <c r="K32" s="43">
        <f>E32*'General variables'!$B$11</f>
        <v>-884.65548593917265</v>
      </c>
      <c r="L32" s="43">
        <f>H32*'General variables'!$B$11</f>
        <v>968565.3771623841</v>
      </c>
      <c r="M32" s="43">
        <f>I32*'General variables'!$B$11</f>
        <v>-58266.374442614113</v>
      </c>
      <c r="N32">
        <f>I32/'General variables'!$B$15</f>
        <v>-47.294135099524439</v>
      </c>
      <c r="O32">
        <f t="shared" si="2"/>
        <v>786.17319574868839</v>
      </c>
    </row>
    <row r="33" spans="1:15" x14ac:dyDescent="0.25">
      <c r="A33" s="43">
        <v>31</v>
      </c>
      <c r="B33" s="43" t="s">
        <v>765</v>
      </c>
      <c r="C33" s="43">
        <f t="shared" si="4"/>
        <v>2829.5902685135243</v>
      </c>
      <c r="D33" s="43">
        <f t="shared" si="5"/>
        <v>-2940.1722042559209</v>
      </c>
      <c r="E33" s="43">
        <f t="shared" si="0"/>
        <v>-110.58193574239658</v>
      </c>
      <c r="F33" s="43">
        <f t="shared" si="6"/>
        <v>209275.83827297564</v>
      </c>
      <c r="G33" s="43">
        <f t="shared" si="7"/>
        <v>-212346.58702187325</v>
      </c>
      <c r="H33" s="43">
        <f t="shared" si="10"/>
        <v>91668.950102738803</v>
      </c>
      <c r="I33" s="43">
        <f t="shared" si="11"/>
        <v>-7283.2968053267641</v>
      </c>
      <c r="K33" s="43">
        <f>E33*'General variables'!$B$11</f>
        <v>-884.65548593917265</v>
      </c>
      <c r="L33" s="43">
        <f>H33*'General variables'!$B$11</f>
        <v>733351.60082191043</v>
      </c>
      <c r="M33" s="43">
        <f>I33*'General variables'!$B$11</f>
        <v>-58266.374442614113</v>
      </c>
      <c r="N33">
        <f>I33/'General variables'!$B$15</f>
        <v>-47.294135099524439</v>
      </c>
      <c r="O33">
        <f t="shared" si="2"/>
        <v>595.25292274505716</v>
      </c>
    </row>
    <row r="34" spans="1:15" x14ac:dyDescent="0.25">
      <c r="A34" s="43">
        <v>32</v>
      </c>
      <c r="B34" s="43" t="s">
        <v>766</v>
      </c>
      <c r="C34" s="43">
        <f t="shared" si="4"/>
        <v>2829.5902685135243</v>
      </c>
      <c r="D34" s="43">
        <f t="shared" si="5"/>
        <v>-2940.1722042559209</v>
      </c>
      <c r="E34" s="43">
        <f t="shared" si="0"/>
        <v>-110.58193574239658</v>
      </c>
      <c r="F34" s="43">
        <f t="shared" si="6"/>
        <v>209275.83827297564</v>
      </c>
      <c r="G34" s="43">
        <f t="shared" si="7"/>
        <v>-212346.58702187325</v>
      </c>
      <c r="H34" s="43">
        <f t="shared" si="10"/>
        <v>62267.228060179594</v>
      </c>
      <c r="I34" s="43">
        <f t="shared" si="11"/>
        <v>-7283.2968053267641</v>
      </c>
      <c r="K34" s="43">
        <f>E34*'General variables'!$B$11</f>
        <v>-884.65548593917265</v>
      </c>
      <c r="L34" s="43">
        <f>H34*'General variables'!$B$11</f>
        <v>498137.82448143675</v>
      </c>
      <c r="M34" s="43">
        <f>I34*'General variables'!$B$11</f>
        <v>-58266.374442614113</v>
      </c>
      <c r="N34">
        <f>I34/'General variables'!$B$15</f>
        <v>-47.294135099524439</v>
      </c>
      <c r="O34">
        <f t="shared" si="2"/>
        <v>404.33264974142594</v>
      </c>
    </row>
    <row r="35" spans="1:15" x14ac:dyDescent="0.25">
      <c r="A35" s="43">
        <v>33</v>
      </c>
      <c r="B35" s="43" t="s">
        <v>767</v>
      </c>
      <c r="C35" s="43">
        <f t="shared" si="4"/>
        <v>2829.5902685135243</v>
      </c>
      <c r="D35" s="43">
        <f t="shared" si="5"/>
        <v>-2940.1722042559209</v>
      </c>
      <c r="E35" s="43">
        <f t="shared" si="0"/>
        <v>-110.58193574239658</v>
      </c>
      <c r="F35" s="43">
        <f t="shared" si="6"/>
        <v>209275.83827297564</v>
      </c>
      <c r="G35" s="43">
        <f t="shared" si="7"/>
        <v>-212346.58702187325</v>
      </c>
      <c r="H35" s="43">
        <f t="shared" si="10"/>
        <v>32865.506017620384</v>
      </c>
      <c r="I35" s="43">
        <f t="shared" si="11"/>
        <v>-7283.2968053267641</v>
      </c>
      <c r="K35" s="43">
        <f>E35*'General variables'!$B$11</f>
        <v>-884.65548593917265</v>
      </c>
      <c r="L35" s="43">
        <f>H35*'General variables'!$B$11</f>
        <v>262924.04814096307</v>
      </c>
      <c r="M35" s="43">
        <f>I35*'General variables'!$B$11</f>
        <v>-58266.374442614113</v>
      </c>
      <c r="N35">
        <f>I35/'General variables'!$B$15</f>
        <v>-47.294135099524439</v>
      </c>
      <c r="O35">
        <f t="shared" si="2"/>
        <v>213.41237673779472</v>
      </c>
    </row>
  </sheetData>
  <conditionalFormatting sqref="O2:O35">
    <cfRule type="colorScale" priority="2">
      <colorScale>
        <cfvo type="min"/>
        <cfvo type="percentile" val="50"/>
        <cfvo type="max"/>
        <color rgb="FF63BE7B"/>
        <color rgb="FFFFEB84"/>
        <color rgb="FFF8696B"/>
      </colorScale>
    </cfRule>
  </conditionalFormatting>
  <conditionalFormatting sqref="N2:N35">
    <cfRule type="colorScale" priority="1">
      <colorScale>
        <cfvo type="min"/>
        <cfvo type="percentile" val="50"/>
        <cfvo type="max"/>
        <color rgb="FFF8696B"/>
        <color rgb="FFFFEB84"/>
        <color rgb="FF63BE7B"/>
      </colorScale>
    </cfRule>
  </conditionalFormatting>
  <pageMargins left="0.7" right="0.7" top="0.75" bottom="0.75" header="0.3" footer="0.3"/>
  <legacy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P23"/>
  <sheetViews>
    <sheetView workbookViewId="0"/>
  </sheetViews>
  <sheetFormatPr defaultRowHeight="15" x14ac:dyDescent="0.25"/>
  <cols>
    <col min="1" max="1" width="24.85546875" bestFit="1" customWidth="1"/>
    <col min="2" max="2" width="12.28515625" bestFit="1" customWidth="1"/>
    <col min="3" max="3" width="19.5703125" bestFit="1" customWidth="1"/>
    <col min="5" max="5" width="19.5703125" bestFit="1" customWidth="1"/>
  </cols>
  <sheetData>
    <row r="1" spans="1:16" x14ac:dyDescent="0.25">
      <c r="A1" s="94"/>
      <c r="B1" s="94" t="s">
        <v>642</v>
      </c>
      <c r="C1" s="94" t="s">
        <v>643</v>
      </c>
      <c r="D1" s="94" t="s">
        <v>647</v>
      </c>
      <c r="E1" s="94" t="s">
        <v>644</v>
      </c>
      <c r="F1" s="94"/>
      <c r="G1" s="94"/>
      <c r="H1" s="94"/>
    </row>
    <row r="2" spans="1:16" x14ac:dyDescent="0.25">
      <c r="A2" s="94" t="s">
        <v>634</v>
      </c>
      <c r="B2" s="149">
        <v>36773</v>
      </c>
      <c r="C2" s="149">
        <f>B2</f>
        <v>36773</v>
      </c>
      <c r="D2" s="149">
        <f>B2*'General variables'!$B$11</f>
        <v>294184</v>
      </c>
      <c r="E2" s="149">
        <f>C2*'General variables'!$B$11</f>
        <v>294184</v>
      </c>
      <c r="F2" s="94"/>
      <c r="G2" s="94"/>
      <c r="H2" s="94"/>
    </row>
    <row r="3" spans="1:16" x14ac:dyDescent="0.25">
      <c r="A3" s="94" t="s">
        <v>635</v>
      </c>
      <c r="B3" s="149">
        <v>22960</v>
      </c>
      <c r="C3" s="149">
        <f>B3+NZLCPEGHGB!J$30+SUM(NZLCPEGHGB!J$47:J$50)</f>
        <v>27924.436788692838</v>
      </c>
      <c r="D3" s="149">
        <f>B3*'General variables'!$B$11</f>
        <v>183680</v>
      </c>
      <c r="E3" s="149">
        <f>C3*'General variables'!$B$11</f>
        <v>223395.4943095427</v>
      </c>
      <c r="F3" s="94"/>
      <c r="G3" s="94"/>
      <c r="H3" s="94"/>
    </row>
    <row r="4" spans="1:16" x14ac:dyDescent="0.25">
      <c r="A4" s="94" t="s">
        <v>637</v>
      </c>
      <c r="B4" s="149">
        <v>3747</v>
      </c>
      <c r="C4" s="149">
        <f>B4+NZLCPEGHGB!J26+NZLCPEGHGB!J27+NZLCPEGHGB!J28+NZLCPEGHGB!J29</f>
        <v>3855.8</v>
      </c>
      <c r="D4" s="149">
        <f>B4*'General variables'!$B$11</f>
        <v>29976</v>
      </c>
      <c r="E4" s="149">
        <f>C4*'General variables'!$B$11</f>
        <v>30846.400000000001</v>
      </c>
      <c r="F4" s="94"/>
      <c r="G4" s="94"/>
      <c r="H4" s="94"/>
    </row>
    <row r="5" spans="1:16" x14ac:dyDescent="0.25">
      <c r="A5" s="94" t="s">
        <v>636</v>
      </c>
      <c r="B5" s="149">
        <v>44216</v>
      </c>
      <c r="C5" s="149">
        <f>B5+SUM(NZLCPEGHGB!J44:J46)</f>
        <v>40882.195847062874</v>
      </c>
      <c r="D5" s="149">
        <f>B5*'General variables'!$B$11</f>
        <v>353728</v>
      </c>
      <c r="E5" s="149">
        <f>C5*'General variables'!$B$11</f>
        <v>327057.56677650299</v>
      </c>
      <c r="F5" s="94"/>
      <c r="G5" s="94"/>
      <c r="H5" s="94"/>
      <c r="I5" s="43"/>
    </row>
    <row r="6" spans="1:16" x14ac:dyDescent="0.25">
      <c r="A6" s="94" t="s">
        <v>641</v>
      </c>
      <c r="B6" s="149">
        <f>38092+622.8</f>
        <v>38714.800000000003</v>
      </c>
      <c r="C6" s="149">
        <f>B6</f>
        <v>38714.800000000003</v>
      </c>
      <c r="D6" s="149">
        <f>B6*'General variables'!$B$11</f>
        <v>309718.40000000002</v>
      </c>
      <c r="E6" s="149">
        <f>C6*'General variables'!$B$11</f>
        <v>309718.40000000002</v>
      </c>
      <c r="F6" s="94"/>
      <c r="G6" s="94"/>
      <c r="H6" s="94"/>
      <c r="I6" s="43"/>
    </row>
    <row r="7" spans="1:16" x14ac:dyDescent="0.25">
      <c r="A7" s="94" t="s">
        <v>640</v>
      </c>
      <c r="B7" s="149">
        <v>0</v>
      </c>
      <c r="C7" s="149">
        <f>SUM(NZLCPEGHGB!J20:J23)</f>
        <v>61630.405637219956</v>
      </c>
      <c r="D7" s="149">
        <f>B7*'General variables'!$B$11</f>
        <v>0</v>
      </c>
      <c r="E7" s="149">
        <f>C7*'General variables'!$B$11</f>
        <v>493043.24509775965</v>
      </c>
      <c r="F7" s="94"/>
      <c r="G7" s="94"/>
      <c r="H7" s="149"/>
    </row>
    <row r="8" spans="1:16" x14ac:dyDescent="0.25">
      <c r="A8" s="94" t="s">
        <v>638</v>
      </c>
      <c r="B8" s="149">
        <f>81507+43409</f>
        <v>124916</v>
      </c>
      <c r="C8" s="149">
        <f>NZLCPEGHGB!M37+NZLCPEGHGB!M38</f>
        <v>53569.105533422437</v>
      </c>
      <c r="D8" s="149">
        <f>B8*'General variables'!$B$11</f>
        <v>999328</v>
      </c>
      <c r="E8" s="149">
        <f>C8*'General variables'!$B$11</f>
        <v>428552.84426737949</v>
      </c>
      <c r="F8" s="94"/>
      <c r="G8" s="94"/>
      <c r="H8" s="94"/>
      <c r="P8" s="43"/>
    </row>
    <row r="9" spans="1:16" x14ac:dyDescent="0.25">
      <c r="A9" s="94" t="s">
        <v>639</v>
      </c>
      <c r="B9" s="149">
        <f>146763+83130+14502+12979</f>
        <v>257374</v>
      </c>
      <c r="C9" s="149">
        <f>SUM(NZLCPEGHGB!M39:M43)</f>
        <v>104598.25539286927</v>
      </c>
      <c r="D9" s="149">
        <f>B9*'General variables'!$B$11</f>
        <v>2058992</v>
      </c>
      <c r="E9" s="149">
        <f>C9*'General variables'!$B$11</f>
        <v>836786.04314295412</v>
      </c>
      <c r="F9" s="94"/>
      <c r="G9" s="94"/>
      <c r="H9" s="94"/>
      <c r="P9" s="43"/>
    </row>
    <row r="10" spans="1:16" x14ac:dyDescent="0.25">
      <c r="A10" s="94" t="s">
        <v>818</v>
      </c>
      <c r="B10" s="149">
        <v>0</v>
      </c>
      <c r="C10" s="149">
        <f>NZLCPEGHGB!M24+NZLCPEGHGB!M25</f>
        <v>-370513.94794816501</v>
      </c>
      <c r="D10" s="149">
        <f>B10*'General variables'!$B$11</f>
        <v>0</v>
      </c>
      <c r="E10" s="149">
        <f>C10*'General variables'!$B$11</f>
        <v>-2964111.58358532</v>
      </c>
      <c r="F10" s="94"/>
      <c r="G10" s="94"/>
      <c r="H10" s="94"/>
    </row>
    <row r="11" spans="1:16" x14ac:dyDescent="0.25">
      <c r="A11" s="94" t="s">
        <v>819</v>
      </c>
      <c r="B11" s="149">
        <f>SUM(B2:B10)</f>
        <v>528700.80000000005</v>
      </c>
      <c r="C11" s="149">
        <f>SUM(C2:C10)</f>
        <v>-2565.9487488976447</v>
      </c>
      <c r="D11" s="149">
        <f>SUM(D2:D10)</f>
        <v>4229606.4000000004</v>
      </c>
      <c r="E11" s="149">
        <f>SUM(E2:E10)</f>
        <v>-20527.589991181158</v>
      </c>
      <c r="F11" s="94"/>
      <c r="G11" s="94"/>
      <c r="H11" s="94"/>
    </row>
    <row r="13" spans="1:16" x14ac:dyDescent="0.25">
      <c r="A13" s="10"/>
      <c r="B13" s="10" t="s">
        <v>642</v>
      </c>
      <c r="C13" s="10" t="s">
        <v>643</v>
      </c>
      <c r="D13" s="10" t="s">
        <v>647</v>
      </c>
      <c r="E13" s="10" t="s">
        <v>644</v>
      </c>
      <c r="F13" s="10"/>
      <c r="G13" s="10"/>
      <c r="H13" s="10"/>
      <c r="M13" s="43"/>
      <c r="N13" s="43"/>
    </row>
    <row r="14" spans="1:16" x14ac:dyDescent="0.25">
      <c r="A14" s="10" t="s">
        <v>817</v>
      </c>
      <c r="B14" s="10">
        <v>354.9</v>
      </c>
      <c r="C14" s="10">
        <f>B14</f>
        <v>354.9</v>
      </c>
      <c r="D14" s="150">
        <f>B14*'General variables'!$B$11</f>
        <v>2839.2</v>
      </c>
      <c r="E14" s="150">
        <f>C14*'General variables'!$B$11</f>
        <v>2839.2</v>
      </c>
      <c r="F14" s="10"/>
      <c r="G14" s="10"/>
      <c r="H14" s="10"/>
    </row>
    <row r="15" spans="1:16" x14ac:dyDescent="0.25">
      <c r="A15" s="10" t="s">
        <v>821</v>
      </c>
      <c r="B15" s="10">
        <v>253</v>
      </c>
      <c r="C15" s="150">
        <f>B15+NZLCPEGHGB!G$30+SUM(NZLCPEGHGB!G$47:G$50)</f>
        <v>336.81348599460398</v>
      </c>
      <c r="D15" s="150">
        <f>B15*'General variables'!$B$11</f>
        <v>2024</v>
      </c>
      <c r="E15" s="150">
        <f>C15*'General variables'!$B$11</f>
        <v>2694.5078879568318</v>
      </c>
      <c r="F15" s="10"/>
      <c r="G15" s="10"/>
      <c r="H15" s="10"/>
    </row>
    <row r="16" spans="1:16" x14ac:dyDescent="0.25">
      <c r="A16" s="10" t="s">
        <v>822</v>
      </c>
      <c r="B16" s="10">
        <v>46</v>
      </c>
      <c r="C16" s="10">
        <f>B16+NZLCPEGHGB!G26+NZLCPEGHGB!G27+NZLCPEGHGB!G28+NZLCPEGHGB!G29</f>
        <v>45.6</v>
      </c>
      <c r="D16" s="150">
        <f>B16*'General variables'!$B$11</f>
        <v>368</v>
      </c>
      <c r="E16" s="150">
        <f>C16*'General variables'!$B$11</f>
        <v>364.8</v>
      </c>
      <c r="F16" s="10"/>
      <c r="G16" s="10"/>
      <c r="H16" s="10"/>
    </row>
    <row r="17" spans="1:8" x14ac:dyDescent="0.25">
      <c r="A17" s="10" t="s">
        <v>823</v>
      </c>
      <c r="B17" s="10">
        <v>752.7</v>
      </c>
      <c r="C17" s="10">
        <f>B17+SUM(NZLCPEGHGB!G44:G46)</f>
        <v>707.45105543558725</v>
      </c>
      <c r="D17" s="150">
        <f>B17*'General variables'!$B$11</f>
        <v>6021.6</v>
      </c>
      <c r="E17" s="150">
        <f>C17*'General variables'!$B$11</f>
        <v>5659.608443484698</v>
      </c>
      <c r="F17" s="10"/>
      <c r="G17" s="10"/>
      <c r="H17" s="10"/>
    </row>
    <row r="18" spans="1:8" x14ac:dyDescent="0.25">
      <c r="A18" s="10" t="s">
        <v>824</v>
      </c>
      <c r="B18" s="10">
        <f>663.9+11.9</f>
        <v>675.8</v>
      </c>
      <c r="C18" s="10">
        <f>B18</f>
        <v>675.8</v>
      </c>
      <c r="D18" s="150">
        <f>B18*'General variables'!$B$11</f>
        <v>5406.4</v>
      </c>
      <c r="E18" s="150">
        <f>C18*'General variables'!$B$11</f>
        <v>5406.4</v>
      </c>
      <c r="F18" s="10"/>
      <c r="G18" s="10"/>
      <c r="H18" s="10"/>
    </row>
    <row r="19" spans="1:8" x14ac:dyDescent="0.25">
      <c r="A19" s="10" t="s">
        <v>825</v>
      </c>
      <c r="B19" s="10">
        <v>0</v>
      </c>
      <c r="C19" s="10">
        <f>SUM(NZLCPEGHGB!G20:G23)</f>
        <v>708.62572708333335</v>
      </c>
      <c r="D19" s="150">
        <f>B19*'General variables'!$B$11</f>
        <v>0</v>
      </c>
      <c r="E19" s="150">
        <f>C19*'General variables'!$B$11</f>
        <v>5669.0058166666668</v>
      </c>
      <c r="F19" s="10"/>
      <c r="G19" s="10"/>
      <c r="H19" s="10"/>
    </row>
    <row r="20" spans="1:8" x14ac:dyDescent="0.25">
      <c r="A20" s="10" t="s">
        <v>826</v>
      </c>
      <c r="B20" s="10">
        <f>1129+719.4</f>
        <v>1848.4</v>
      </c>
      <c r="C20" s="10">
        <f>NZLCPEGHGB!L37+NZLCPEGHGB!L38</f>
        <v>741.72322383498829</v>
      </c>
      <c r="D20" s="150">
        <f>B20*'General variables'!$B$11</f>
        <v>14787.2</v>
      </c>
      <c r="E20" s="150">
        <f>C20*'General variables'!$B$11</f>
        <v>5933.7857906799063</v>
      </c>
      <c r="F20" s="10"/>
      <c r="G20" s="10"/>
      <c r="H20" s="10"/>
    </row>
    <row r="21" spans="1:8" x14ac:dyDescent="0.25">
      <c r="A21" s="10" t="s">
        <v>827</v>
      </c>
      <c r="B21" s="10">
        <f>2032+1151+240.9+179.7</f>
        <v>3603.6</v>
      </c>
      <c r="C21" s="10">
        <f>SUM(NZLCPEGHGB!L39:L43)</f>
        <v>1448.2779659090902</v>
      </c>
      <c r="D21" s="150">
        <f>B21*'General variables'!$B$11</f>
        <v>28828.799999999999</v>
      </c>
      <c r="E21" s="150">
        <f>C21*'General variables'!$B$11</f>
        <v>11586.223727272722</v>
      </c>
      <c r="F21" s="10"/>
      <c r="G21" s="10"/>
      <c r="H21" s="10"/>
    </row>
    <row r="22" spans="1:8" x14ac:dyDescent="0.25">
      <c r="A22" s="10" t="s">
        <v>828</v>
      </c>
      <c r="B22" s="10">
        <v>0</v>
      </c>
      <c r="C22" s="10">
        <f>NZLCPEGHGB!L24+NZLCPEGHGB!L25</f>
        <v>-5130.1733939999995</v>
      </c>
      <c r="D22" s="150">
        <f>B22*'General variables'!$B$11</f>
        <v>0</v>
      </c>
      <c r="E22" s="150">
        <f>C22*'General variables'!$B$11</f>
        <v>-41041.387151999996</v>
      </c>
      <c r="F22" s="10"/>
      <c r="G22" s="10"/>
      <c r="H22" s="10"/>
    </row>
    <row r="23" spans="1:8" x14ac:dyDescent="0.25">
      <c r="A23" s="10" t="s">
        <v>820</v>
      </c>
      <c r="B23" s="10">
        <f>SUM(B14:B22)</f>
        <v>7534.4</v>
      </c>
      <c r="C23" s="10">
        <f t="shared" ref="C23:E23" si="0">SUM(C14:C22)</f>
        <v>-110.98193574239667</v>
      </c>
      <c r="D23" s="10">
        <f t="shared" si="0"/>
        <v>60275.199999999997</v>
      </c>
      <c r="E23" s="10">
        <f t="shared" si="0"/>
        <v>-887.85548593917338</v>
      </c>
      <c r="F23" s="10"/>
      <c r="G23" s="10"/>
      <c r="H23"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A1:I7"/>
  <sheetViews>
    <sheetView workbookViewId="0">
      <selection activeCell="H22" sqref="H22"/>
    </sheetView>
  </sheetViews>
  <sheetFormatPr defaultRowHeight="15" x14ac:dyDescent="0.25"/>
  <cols>
    <col min="1" max="1" width="29.42578125" bestFit="1" customWidth="1"/>
    <col min="7" max="8" width="15.85546875" customWidth="1"/>
  </cols>
  <sheetData>
    <row r="1" spans="1:9" ht="18" x14ac:dyDescent="0.35">
      <c r="A1" s="135"/>
      <c r="B1" s="135" t="s">
        <v>89</v>
      </c>
      <c r="C1" s="135" t="s">
        <v>843</v>
      </c>
      <c r="D1" s="135" t="s">
        <v>842</v>
      </c>
      <c r="E1" s="135" t="s">
        <v>91</v>
      </c>
      <c r="F1" s="135" t="s">
        <v>605</v>
      </c>
      <c r="G1" s="135" t="s">
        <v>725</v>
      </c>
      <c r="H1" s="135" t="s">
        <v>844</v>
      </c>
      <c r="I1" s="135" t="s">
        <v>606</v>
      </c>
    </row>
    <row r="2" spans="1:9" x14ac:dyDescent="0.25">
      <c r="A2" s="135" t="s">
        <v>599</v>
      </c>
      <c r="B2" s="135">
        <v>1514</v>
      </c>
      <c r="C2" s="135">
        <f>B2/'General variables'!$B$6</f>
        <v>13.398230088495575</v>
      </c>
      <c r="D2" s="135">
        <f>B2/'General variables'!$B$15</f>
        <v>9.8311688311688314</v>
      </c>
      <c r="E2" s="135">
        <f>B2/'General variables'!$B$5</f>
        <v>378.5</v>
      </c>
      <c r="F2" s="136">
        <v>116251</v>
      </c>
      <c r="G2" s="136">
        <f>F2/'General variables'!$B$6</f>
        <v>1028.7699115044247</v>
      </c>
      <c r="H2" s="136">
        <f>F2/'General variables'!$B$15</f>
        <v>754.87662337662334</v>
      </c>
      <c r="I2" s="136">
        <f>F2/'General variables'!$B$5</f>
        <v>29062.75</v>
      </c>
    </row>
    <row r="3" spans="1:9" x14ac:dyDescent="0.25">
      <c r="A3" s="135" t="s">
        <v>600</v>
      </c>
      <c r="B3" s="135">
        <v>568.79999999999995</v>
      </c>
      <c r="C3" s="135">
        <f>B3/'General variables'!$B$6</f>
        <v>5.0336283185840704</v>
      </c>
      <c r="D3" s="135">
        <f>B3/'General variables'!$B$15</f>
        <v>3.6935064935064932</v>
      </c>
      <c r="E3" s="135">
        <f>B3/'General variables'!$B$5</f>
        <v>142.19999999999999</v>
      </c>
      <c r="F3" s="136">
        <v>29655</v>
      </c>
      <c r="G3" s="136">
        <f>F3/'General variables'!$B$6</f>
        <v>262.43362831858406</v>
      </c>
      <c r="H3" s="136">
        <f>F3/'General variables'!$B$15</f>
        <v>192.56493506493507</v>
      </c>
      <c r="I3" s="136">
        <f>F3/'General variables'!$B$5</f>
        <v>7413.75</v>
      </c>
    </row>
    <row r="4" spans="1:9" x14ac:dyDescent="0.25">
      <c r="A4" s="135" t="s">
        <v>601</v>
      </c>
      <c r="B4" s="135">
        <f>B2+B3</f>
        <v>2082.8000000000002</v>
      </c>
      <c r="C4" s="135">
        <f>B4/'General variables'!$B$6</f>
        <v>18.431858407079648</v>
      </c>
      <c r="D4" s="135">
        <f>B4/'General variables'!$B$15</f>
        <v>13.524675324675325</v>
      </c>
      <c r="E4" s="135">
        <f>B4/'General variables'!$B$5</f>
        <v>520.70000000000005</v>
      </c>
      <c r="F4" s="136">
        <f>F3+F2</f>
        <v>145906</v>
      </c>
      <c r="G4" s="136">
        <f>F4/'General variables'!$B$6</f>
        <v>1291.2035398230089</v>
      </c>
      <c r="H4" s="136">
        <f>F4/'General variables'!$B$15</f>
        <v>947.44155844155841</v>
      </c>
      <c r="I4" s="136">
        <f>F4/'General variables'!$B$5</f>
        <v>36476.5</v>
      </c>
    </row>
    <row r="5" spans="1:9" x14ac:dyDescent="0.25">
      <c r="A5" s="135" t="s">
        <v>602</v>
      </c>
      <c r="B5" s="135">
        <v>2045.3</v>
      </c>
      <c r="C5" s="135">
        <f>B5/'General variables'!$B$6</f>
        <v>18.099999999999998</v>
      </c>
      <c r="D5" s="135">
        <f>B5/'General variables'!$B$15</f>
        <v>13.281168831168831</v>
      </c>
      <c r="E5" s="135">
        <f>B5/'General variables'!$B$5</f>
        <v>511.32499999999999</v>
      </c>
      <c r="F5" s="136"/>
      <c r="G5" s="136">
        <f>F5/'General variables'!$B$6</f>
        <v>0</v>
      </c>
      <c r="H5" s="136">
        <f>F5/'General variables'!$B$15</f>
        <v>0</v>
      </c>
      <c r="I5" s="136">
        <f>F5/'General variables'!$B$5</f>
        <v>0</v>
      </c>
    </row>
    <row r="6" spans="1:9" x14ac:dyDescent="0.25">
      <c r="A6" s="135" t="s">
        <v>603</v>
      </c>
      <c r="B6" s="135">
        <v>5452</v>
      </c>
      <c r="C6" s="135">
        <f>B6/'General variables'!$B$6</f>
        <v>48.247787610619469</v>
      </c>
      <c r="D6" s="135">
        <f>B6/'General variables'!$B$15</f>
        <v>35.402597402597401</v>
      </c>
      <c r="E6" s="135">
        <f>B6/'General variables'!$B$5</f>
        <v>1363</v>
      </c>
      <c r="F6" s="136">
        <v>382189</v>
      </c>
      <c r="G6" s="136">
        <f>F6/'General variables'!$B$6</f>
        <v>3382.2035398230087</v>
      </c>
      <c r="H6" s="136">
        <f>F6/'General variables'!$B$15</f>
        <v>2481.7467532467531</v>
      </c>
      <c r="I6" s="136">
        <f>F6/'General variables'!$B$5</f>
        <v>95547.25</v>
      </c>
    </row>
    <row r="7" spans="1:9" x14ac:dyDescent="0.25">
      <c r="A7" s="135" t="s">
        <v>604</v>
      </c>
      <c r="B7" s="135">
        <f>B4+B6</f>
        <v>7534.8</v>
      </c>
      <c r="C7" s="135">
        <f>SUM(C2:C6)</f>
        <v>103.21150442477875</v>
      </c>
      <c r="D7" s="135">
        <f>B7/'General variables'!$B$15</f>
        <v>48.927272727272729</v>
      </c>
      <c r="E7" s="135">
        <f>SUM(E2:E6)</f>
        <v>2915.7250000000004</v>
      </c>
      <c r="F7" s="136">
        <f>F4+F6</f>
        <v>528095</v>
      </c>
      <c r="G7" s="136">
        <f>F7/'General variables'!$B$6</f>
        <v>4673.4070796460173</v>
      </c>
      <c r="H7" s="136">
        <f>F7/'General variables'!$B$15</f>
        <v>3429.1883116883118</v>
      </c>
      <c r="I7" s="136">
        <f>F7/'General variables'!$B$5</f>
        <v>132023.75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39997558519241921"/>
  </sheetPr>
  <dimension ref="A1:D7"/>
  <sheetViews>
    <sheetView workbookViewId="0"/>
  </sheetViews>
  <sheetFormatPr defaultRowHeight="15" x14ac:dyDescent="0.25"/>
  <cols>
    <col min="1" max="1" width="77.7109375" bestFit="1" customWidth="1"/>
    <col min="2" max="2" width="35.28515625" bestFit="1" customWidth="1"/>
    <col min="3" max="3" width="56" bestFit="1" customWidth="1"/>
  </cols>
  <sheetData>
    <row r="1" spans="1:4" x14ac:dyDescent="0.25">
      <c r="A1" t="s">
        <v>847</v>
      </c>
      <c r="B1" t="s">
        <v>848</v>
      </c>
      <c r="C1" t="s">
        <v>841</v>
      </c>
      <c r="D1" t="s">
        <v>846</v>
      </c>
    </row>
    <row r="2" spans="1:4" x14ac:dyDescent="0.25">
      <c r="A2" t="s">
        <v>835</v>
      </c>
      <c r="B2" s="152">
        <f>'BC performance summary'!D2</f>
        <v>9.8311688311688314</v>
      </c>
      <c r="C2" s="152">
        <f>'NZLCPEGHGB SUMMARY'!D2</f>
        <v>11.823171823368822</v>
      </c>
      <c r="D2" s="153">
        <f>(C2-B2)/B2</f>
        <v>0.20262117622113512</v>
      </c>
    </row>
    <row r="3" spans="1:4" x14ac:dyDescent="0.25">
      <c r="A3" t="s">
        <v>836</v>
      </c>
      <c r="B3" s="152">
        <f>'BC performance summary'!D3</f>
        <v>3.6935064935064932</v>
      </c>
      <c r="C3" s="152">
        <f>'NZLCPEGHGB SUMMARY'!D3</f>
        <v>6.5507909591865312</v>
      </c>
      <c r="D3" s="153">
        <f t="shared" ref="D3:D7" si="0">(C3-B3)/B3</f>
        <v>0.77359670835922278</v>
      </c>
    </row>
    <row r="4" spans="1:4" x14ac:dyDescent="0.25">
      <c r="A4" t="s">
        <v>840</v>
      </c>
      <c r="B4" s="152">
        <f>'BC performance summary'!D4</f>
        <v>13.524675324675325</v>
      </c>
      <c r="C4" s="152">
        <f>'NZLCPEGHGB SUMMARY'!D4</f>
        <v>18.373962782555353</v>
      </c>
      <c r="D4" s="153">
        <f t="shared" si="0"/>
        <v>0.35855111797269262</v>
      </c>
    </row>
    <row r="5" spans="1:4" x14ac:dyDescent="0.25">
      <c r="A5" t="s">
        <v>837</v>
      </c>
      <c r="B5" s="43">
        <f>'BC performance summary'!H2</f>
        <v>754.87662337662334</v>
      </c>
      <c r="C5" s="43">
        <f>'NZLCPEGHGB SUMMARY'!H2</f>
        <v>914.32217493018857</v>
      </c>
      <c r="D5" s="153">
        <f t="shared" si="0"/>
        <v>0.21122067714900555</v>
      </c>
    </row>
    <row r="6" spans="1:4" x14ac:dyDescent="0.25">
      <c r="A6" t="s">
        <v>838</v>
      </c>
      <c r="B6" s="43">
        <f>'BC performance summary'!H3</f>
        <v>192.56493506493507</v>
      </c>
      <c r="C6" s="43">
        <f>'NZLCPEGHGB SUMMARY'!H3</f>
        <v>444.61183982939366</v>
      </c>
      <c r="D6" s="153">
        <f t="shared" si="0"/>
        <v>1.3088930478410596</v>
      </c>
    </row>
    <row r="7" spans="1:4" x14ac:dyDescent="0.25">
      <c r="A7" t="s">
        <v>839</v>
      </c>
      <c r="B7" s="43">
        <f>'BC performance summary'!H4</f>
        <v>947.44155844155841</v>
      </c>
      <c r="C7" s="43">
        <f>'NZLCPEGHGB SUMMARY'!H4</f>
        <v>1358.9340147595822</v>
      </c>
      <c r="D7" s="153">
        <f t="shared" si="0"/>
        <v>0.43431961861044549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33B97-E440-4DD3-8687-058150A9E783}">
  <dimension ref="A1:H48"/>
  <sheetViews>
    <sheetView workbookViewId="0">
      <selection activeCell="C30" sqref="C30"/>
    </sheetView>
  </sheetViews>
  <sheetFormatPr defaultRowHeight="15" x14ac:dyDescent="0.25"/>
  <cols>
    <col min="1" max="1" width="33.28515625" bestFit="1" customWidth="1"/>
    <col min="2" max="2" width="27.42578125" bestFit="1" customWidth="1"/>
    <col min="3" max="3" width="16.28515625" bestFit="1" customWidth="1"/>
    <col min="4" max="4" width="17.5703125" bestFit="1" customWidth="1"/>
    <col min="5" max="5" width="15.85546875" bestFit="1" customWidth="1"/>
    <col min="6" max="6" width="4.42578125" bestFit="1" customWidth="1"/>
    <col min="7" max="7" width="29.28515625" bestFit="1" customWidth="1"/>
    <col min="8" max="8" width="251.85546875" bestFit="1" customWidth="1"/>
  </cols>
  <sheetData>
    <row r="1" spans="1:8" s="8" customFormat="1" x14ac:dyDescent="0.25">
      <c r="A1" s="8" t="s">
        <v>879</v>
      </c>
    </row>
    <row r="2" spans="1:8" x14ac:dyDescent="0.25">
      <c r="A2" t="s">
        <v>880</v>
      </c>
      <c r="B2" t="s">
        <v>881</v>
      </c>
      <c r="C2" t="s">
        <v>882</v>
      </c>
      <c r="D2" t="s">
        <v>883</v>
      </c>
      <c r="E2" t="s">
        <v>884</v>
      </c>
      <c r="F2" t="s">
        <v>8</v>
      </c>
      <c r="G2" t="s">
        <v>885</v>
      </c>
      <c r="H2" t="s">
        <v>886</v>
      </c>
    </row>
    <row r="3" spans="1:8" x14ac:dyDescent="0.25">
      <c r="A3" t="s">
        <v>887</v>
      </c>
    </row>
    <row r="4" spans="1:8" x14ac:dyDescent="0.25">
      <c r="A4" t="s">
        <v>375</v>
      </c>
      <c r="B4" t="s">
        <v>888</v>
      </c>
      <c r="C4">
        <v>9</v>
      </c>
      <c r="D4">
        <v>1.05</v>
      </c>
      <c r="E4">
        <v>9.4499999999999993</v>
      </c>
      <c r="F4" t="s">
        <v>19</v>
      </c>
      <c r="G4">
        <v>2.2000000000000002</v>
      </c>
      <c r="H4" t="s">
        <v>47</v>
      </c>
    </row>
    <row r="5" spans="1:8" x14ac:dyDescent="0.25">
      <c r="A5" t="s">
        <v>375</v>
      </c>
      <c r="B5" t="s">
        <v>889</v>
      </c>
      <c r="C5">
        <v>21.76</v>
      </c>
      <c r="D5">
        <v>1.05</v>
      </c>
      <c r="E5">
        <v>22.847999999999999</v>
      </c>
      <c r="F5" t="s">
        <v>20</v>
      </c>
      <c r="G5">
        <v>7.7</v>
      </c>
      <c r="H5" t="s">
        <v>79</v>
      </c>
    </row>
    <row r="6" spans="1:8" x14ac:dyDescent="0.25">
      <c r="A6" t="s">
        <v>375</v>
      </c>
      <c r="B6" t="s">
        <v>890</v>
      </c>
      <c r="C6">
        <v>65.28</v>
      </c>
      <c r="D6">
        <v>1.05</v>
      </c>
      <c r="E6">
        <v>68.543999999999997</v>
      </c>
      <c r="F6" t="s">
        <v>21</v>
      </c>
      <c r="G6">
        <v>114.3</v>
      </c>
      <c r="H6" t="s">
        <v>79</v>
      </c>
    </row>
    <row r="7" spans="1:8" x14ac:dyDescent="0.25">
      <c r="A7" t="s">
        <v>891</v>
      </c>
    </row>
    <row r="8" spans="1:8" x14ac:dyDescent="0.25">
      <c r="A8" t="s">
        <v>375</v>
      </c>
      <c r="B8" t="s">
        <v>892</v>
      </c>
      <c r="C8">
        <v>11.0064935065</v>
      </c>
      <c r="D8">
        <v>1.03</v>
      </c>
      <c r="E8">
        <v>11.3366883117</v>
      </c>
      <c r="F8" t="s">
        <v>19</v>
      </c>
      <c r="G8">
        <v>158.69999999999999</v>
      </c>
      <c r="H8" t="s">
        <v>61</v>
      </c>
    </row>
    <row r="9" spans="1:8" x14ac:dyDescent="0.25">
      <c r="A9" t="s">
        <v>375</v>
      </c>
      <c r="B9" t="s">
        <v>893</v>
      </c>
      <c r="C9">
        <v>40.97</v>
      </c>
      <c r="D9">
        <v>1.1000000000000001</v>
      </c>
      <c r="E9">
        <v>45.067</v>
      </c>
      <c r="F9" t="s">
        <v>20</v>
      </c>
      <c r="G9">
        <v>1732.4</v>
      </c>
      <c r="H9" t="s">
        <v>73</v>
      </c>
    </row>
    <row r="10" spans="1:8" x14ac:dyDescent="0.25">
      <c r="A10" t="s">
        <v>375</v>
      </c>
      <c r="B10" t="s">
        <v>894</v>
      </c>
      <c r="C10">
        <v>188.4</v>
      </c>
      <c r="D10">
        <v>1.05</v>
      </c>
      <c r="E10">
        <v>197.82</v>
      </c>
      <c r="F10" t="s">
        <v>20</v>
      </c>
      <c r="G10">
        <v>4589.3999999999996</v>
      </c>
      <c r="H10" t="s">
        <v>49</v>
      </c>
    </row>
    <row r="11" spans="1:8" x14ac:dyDescent="0.25">
      <c r="A11" t="s">
        <v>375</v>
      </c>
      <c r="B11" t="s">
        <v>895</v>
      </c>
      <c r="C11">
        <v>2.2012987012999998</v>
      </c>
      <c r="D11">
        <v>1.03</v>
      </c>
      <c r="E11">
        <v>2.2673376623400001</v>
      </c>
      <c r="F11" t="s">
        <v>19</v>
      </c>
      <c r="G11">
        <v>136</v>
      </c>
      <c r="H11" t="s">
        <v>61</v>
      </c>
    </row>
    <row r="12" spans="1:8" x14ac:dyDescent="0.25">
      <c r="A12" t="s">
        <v>896</v>
      </c>
    </row>
    <row r="13" spans="1:8" x14ac:dyDescent="0.25">
      <c r="A13" t="s">
        <v>375</v>
      </c>
      <c r="B13" t="s">
        <v>897</v>
      </c>
      <c r="C13">
        <v>30.068165584399999</v>
      </c>
      <c r="D13">
        <v>1.1000000000000001</v>
      </c>
      <c r="E13">
        <v>33.074982142800003</v>
      </c>
      <c r="F13" t="s">
        <v>18</v>
      </c>
      <c r="G13">
        <v>79380</v>
      </c>
      <c r="H13" t="s">
        <v>898</v>
      </c>
    </row>
    <row r="14" spans="1:8" x14ac:dyDescent="0.25">
      <c r="A14" t="s">
        <v>375</v>
      </c>
      <c r="B14" t="s">
        <v>899</v>
      </c>
      <c r="C14">
        <v>63.759960345499998</v>
      </c>
      <c r="D14">
        <v>1.1000000000000001</v>
      </c>
      <c r="E14">
        <v>70.135956379999996</v>
      </c>
      <c r="F14" t="s">
        <v>18</v>
      </c>
      <c r="G14">
        <v>168326.3</v>
      </c>
      <c r="H14" t="s">
        <v>900</v>
      </c>
    </row>
    <row r="15" spans="1:8" x14ac:dyDescent="0.25">
      <c r="A15" t="s">
        <v>375</v>
      </c>
      <c r="B15" t="s">
        <v>901</v>
      </c>
      <c r="C15">
        <v>169.67923636399999</v>
      </c>
      <c r="D15">
        <v>1.05</v>
      </c>
      <c r="E15">
        <v>178.163198182</v>
      </c>
      <c r="F15" t="s">
        <v>20</v>
      </c>
      <c r="G15">
        <v>23811.5</v>
      </c>
      <c r="H15" t="s">
        <v>902</v>
      </c>
    </row>
    <row r="16" spans="1:8" x14ac:dyDescent="0.25">
      <c r="A16" t="s">
        <v>375</v>
      </c>
      <c r="B16" t="s">
        <v>903</v>
      </c>
      <c r="C16">
        <v>10.636089805199999</v>
      </c>
      <c r="D16">
        <v>1.3</v>
      </c>
      <c r="E16">
        <v>13.8269167468</v>
      </c>
      <c r="F16" t="s">
        <v>18</v>
      </c>
      <c r="G16">
        <v>22123.1</v>
      </c>
      <c r="H16" t="s">
        <v>904</v>
      </c>
    </row>
    <row r="17" spans="1:8" x14ac:dyDescent="0.25">
      <c r="A17" t="s">
        <v>375</v>
      </c>
      <c r="B17" t="s">
        <v>905</v>
      </c>
      <c r="C17">
        <v>0.18</v>
      </c>
      <c r="D17">
        <v>1.01</v>
      </c>
      <c r="E17">
        <v>0.18179999999999999</v>
      </c>
      <c r="F17" t="s">
        <v>18</v>
      </c>
      <c r="G17">
        <v>436.3</v>
      </c>
      <c r="H17" t="s">
        <v>47</v>
      </c>
    </row>
    <row r="18" spans="1:8" x14ac:dyDescent="0.25">
      <c r="A18" t="s">
        <v>906</v>
      </c>
    </row>
    <row r="19" spans="1:8" x14ac:dyDescent="0.25">
      <c r="A19" t="s">
        <v>375</v>
      </c>
      <c r="B19" t="s">
        <v>907</v>
      </c>
      <c r="C19">
        <v>10</v>
      </c>
      <c r="D19">
        <v>1.05</v>
      </c>
      <c r="E19">
        <v>10.5</v>
      </c>
      <c r="F19" t="s">
        <v>21</v>
      </c>
      <c r="G19">
        <v>0.9</v>
      </c>
      <c r="H19" t="s">
        <v>45</v>
      </c>
    </row>
    <row r="20" spans="1:8" x14ac:dyDescent="0.25">
      <c r="A20" t="s">
        <v>375</v>
      </c>
      <c r="B20" t="s">
        <v>908</v>
      </c>
      <c r="C20">
        <v>1.084175631E-3</v>
      </c>
      <c r="D20">
        <v>1.03</v>
      </c>
      <c r="E20">
        <v>1.1167008999300001E-3</v>
      </c>
      <c r="F20" t="s">
        <v>22</v>
      </c>
      <c r="G20">
        <v>1.1000000000000001</v>
      </c>
      <c r="H20" t="s">
        <v>81</v>
      </c>
    </row>
    <row r="21" spans="1:8" x14ac:dyDescent="0.25">
      <c r="A21" t="s">
        <v>909</v>
      </c>
    </row>
    <row r="22" spans="1:8" x14ac:dyDescent="0.25">
      <c r="A22" t="s">
        <v>375</v>
      </c>
      <c r="B22" t="s">
        <v>910</v>
      </c>
      <c r="C22">
        <v>43.52</v>
      </c>
      <c r="D22">
        <v>1.03</v>
      </c>
      <c r="E22">
        <v>44.825600000000001</v>
      </c>
      <c r="F22" t="s">
        <v>20</v>
      </c>
      <c r="G22">
        <v>448.3</v>
      </c>
      <c r="H22" t="s">
        <v>79</v>
      </c>
    </row>
    <row r="23" spans="1:8" x14ac:dyDescent="0.25">
      <c r="A23" t="s">
        <v>911</v>
      </c>
    </row>
    <row r="24" spans="1:8" x14ac:dyDescent="0.25">
      <c r="A24" t="s">
        <v>375</v>
      </c>
      <c r="B24" t="s">
        <v>912</v>
      </c>
      <c r="C24">
        <v>0.15232000000000001</v>
      </c>
      <c r="D24">
        <v>1.1000000000000001</v>
      </c>
      <c r="E24">
        <v>0.16755200000000001</v>
      </c>
      <c r="F24" t="s">
        <v>18</v>
      </c>
      <c r="G24">
        <v>4</v>
      </c>
      <c r="H24" t="s">
        <v>79</v>
      </c>
    </row>
    <row r="25" spans="1:8" x14ac:dyDescent="0.25">
      <c r="A25" t="s">
        <v>23</v>
      </c>
    </row>
    <row r="26" spans="1:8" x14ac:dyDescent="0.25">
      <c r="A26" t="s">
        <v>375</v>
      </c>
      <c r="B26" t="s">
        <v>913</v>
      </c>
      <c r="C26">
        <v>1</v>
      </c>
      <c r="D26">
        <v>1.05</v>
      </c>
      <c r="E26">
        <v>1.05</v>
      </c>
      <c r="F26" t="s">
        <v>19</v>
      </c>
      <c r="G26">
        <v>1.1000000000000001</v>
      </c>
      <c r="H26" t="s">
        <v>58</v>
      </c>
    </row>
    <row r="27" spans="1:8" x14ac:dyDescent="0.25">
      <c r="A27" t="s">
        <v>914</v>
      </c>
    </row>
    <row r="28" spans="1:8" x14ac:dyDescent="0.25">
      <c r="A28" t="s">
        <v>375</v>
      </c>
      <c r="B28" t="s">
        <v>915</v>
      </c>
      <c r="C28">
        <v>611.25599999999997</v>
      </c>
      <c r="D28">
        <v>1.05</v>
      </c>
      <c r="E28">
        <v>641.81880000000001</v>
      </c>
      <c r="F28" t="s">
        <v>20</v>
      </c>
      <c r="G28">
        <v>48.1</v>
      </c>
      <c r="H28" t="s">
        <v>916</v>
      </c>
    </row>
    <row r="29" spans="1:8" x14ac:dyDescent="0.25">
      <c r="A29" t="s">
        <v>375</v>
      </c>
      <c r="B29" t="s">
        <v>917</v>
      </c>
      <c r="C29">
        <v>150.78651298599999</v>
      </c>
      <c r="D29">
        <v>1.05</v>
      </c>
      <c r="E29">
        <v>158.32583863599999</v>
      </c>
      <c r="F29" t="s">
        <v>20</v>
      </c>
      <c r="G29">
        <v>12.2</v>
      </c>
      <c r="H29" t="s">
        <v>918</v>
      </c>
    </row>
    <row r="30" spans="1:8" x14ac:dyDescent="0.25">
      <c r="A30" t="s">
        <v>919</v>
      </c>
    </row>
    <row r="31" spans="1:8" x14ac:dyDescent="0.25">
      <c r="A31" t="s">
        <v>375</v>
      </c>
      <c r="B31" t="s">
        <v>920</v>
      </c>
      <c r="C31">
        <v>2.176E-3</v>
      </c>
      <c r="D31">
        <v>1.05</v>
      </c>
      <c r="E31">
        <v>2.2848E-3</v>
      </c>
      <c r="F31" t="s">
        <v>22</v>
      </c>
      <c r="G31">
        <v>2.2999999999999998</v>
      </c>
      <c r="H31" t="s">
        <v>79</v>
      </c>
    </row>
    <row r="32" spans="1:8" x14ac:dyDescent="0.25">
      <c r="A32" t="s">
        <v>375</v>
      </c>
      <c r="B32" t="s">
        <v>921</v>
      </c>
      <c r="C32">
        <v>76.23</v>
      </c>
      <c r="D32">
        <v>1.05</v>
      </c>
      <c r="E32">
        <v>80.041499999999999</v>
      </c>
      <c r="F32" t="s">
        <v>21</v>
      </c>
      <c r="G32">
        <v>4</v>
      </c>
      <c r="H32" t="s">
        <v>67</v>
      </c>
    </row>
    <row r="33" spans="1:8" x14ac:dyDescent="0.25">
      <c r="A33" t="s">
        <v>375</v>
      </c>
      <c r="B33" t="s">
        <v>922</v>
      </c>
      <c r="C33">
        <v>1.6631999999999999E-4</v>
      </c>
      <c r="D33">
        <v>1.03</v>
      </c>
      <c r="E33">
        <v>1.7130960000000001E-4</v>
      </c>
      <c r="F33" t="s">
        <v>22</v>
      </c>
      <c r="G33">
        <v>0.2</v>
      </c>
      <c r="H33" t="s">
        <v>81</v>
      </c>
    </row>
    <row r="34" spans="1:8" x14ac:dyDescent="0.25">
      <c r="A34" t="s">
        <v>923</v>
      </c>
    </row>
    <row r="35" spans="1:8" x14ac:dyDescent="0.25">
      <c r="A35" t="s">
        <v>375</v>
      </c>
      <c r="B35" t="s">
        <v>924</v>
      </c>
      <c r="C35">
        <v>0.95773051947999999</v>
      </c>
      <c r="D35">
        <v>1.3</v>
      </c>
      <c r="E35">
        <v>1.24504967532</v>
      </c>
      <c r="F35" t="s">
        <v>22</v>
      </c>
      <c r="G35">
        <v>1245</v>
      </c>
      <c r="H35" t="s">
        <v>925</v>
      </c>
    </row>
    <row r="36" spans="1:8" x14ac:dyDescent="0.25">
      <c r="A36" t="s">
        <v>375</v>
      </c>
      <c r="B36" t="s">
        <v>926</v>
      </c>
      <c r="C36">
        <v>2.693568</v>
      </c>
      <c r="D36">
        <v>1.3</v>
      </c>
      <c r="E36">
        <v>3.5016384</v>
      </c>
      <c r="F36" t="s">
        <v>18</v>
      </c>
      <c r="G36">
        <v>8403.9</v>
      </c>
      <c r="H36" t="s">
        <v>927</v>
      </c>
    </row>
    <row r="37" spans="1:8" x14ac:dyDescent="0.25">
      <c r="A37" t="s">
        <v>928</v>
      </c>
    </row>
    <row r="38" spans="1:8" x14ac:dyDescent="0.25">
      <c r="A38" t="s">
        <v>375</v>
      </c>
      <c r="B38" t="s">
        <v>929</v>
      </c>
      <c r="C38">
        <v>3.5999999999999999E-3</v>
      </c>
      <c r="D38">
        <v>1.05</v>
      </c>
      <c r="E38">
        <v>3.7799999999999999E-3</v>
      </c>
      <c r="F38" t="s">
        <v>22</v>
      </c>
      <c r="G38">
        <v>3.8</v>
      </c>
      <c r="H38" t="s">
        <v>47</v>
      </c>
    </row>
    <row r="39" spans="1:8" x14ac:dyDescent="0.25">
      <c r="A39" t="s">
        <v>375</v>
      </c>
      <c r="B39" t="s">
        <v>930</v>
      </c>
      <c r="C39">
        <v>5.5170000000000002E-3</v>
      </c>
      <c r="D39">
        <v>1.02</v>
      </c>
      <c r="E39">
        <v>5.6273399999999998E-3</v>
      </c>
      <c r="F39" t="s">
        <v>22</v>
      </c>
      <c r="G39">
        <v>5.6</v>
      </c>
      <c r="H39" t="s">
        <v>47</v>
      </c>
    </row>
    <row r="40" spans="1:8" x14ac:dyDescent="0.25">
      <c r="A40" t="s">
        <v>375</v>
      </c>
      <c r="B40" t="s">
        <v>931</v>
      </c>
      <c r="C40">
        <v>3.0091385259700001</v>
      </c>
      <c r="D40">
        <v>1.05</v>
      </c>
      <c r="E40">
        <v>3.15959545227</v>
      </c>
      <c r="F40" t="s">
        <v>22</v>
      </c>
      <c r="G40">
        <v>3159.6</v>
      </c>
      <c r="H40" t="s">
        <v>932</v>
      </c>
    </row>
    <row r="41" spans="1:8" x14ac:dyDescent="0.25">
      <c r="A41" t="s">
        <v>375</v>
      </c>
      <c r="B41" t="s">
        <v>933</v>
      </c>
      <c r="C41">
        <v>0.73376623376700001</v>
      </c>
      <c r="D41">
        <v>1</v>
      </c>
      <c r="E41">
        <v>0.73376623376700001</v>
      </c>
      <c r="F41" t="s">
        <v>19</v>
      </c>
      <c r="G41">
        <v>5.3</v>
      </c>
      <c r="H41" t="s">
        <v>61</v>
      </c>
    </row>
    <row r="42" spans="1:8" x14ac:dyDescent="0.25">
      <c r="A42" t="s">
        <v>375</v>
      </c>
      <c r="B42" t="s">
        <v>934</v>
      </c>
      <c r="C42">
        <v>1.4835499999999999</v>
      </c>
      <c r="D42">
        <v>1.05</v>
      </c>
      <c r="E42">
        <v>1.5577274999999999</v>
      </c>
      <c r="F42" t="s">
        <v>22</v>
      </c>
      <c r="G42">
        <v>1557.7</v>
      </c>
      <c r="H42" t="s">
        <v>935</v>
      </c>
    </row>
    <row r="43" spans="1:8" x14ac:dyDescent="0.25">
      <c r="A43" t="s">
        <v>375</v>
      </c>
      <c r="B43" t="s">
        <v>936</v>
      </c>
      <c r="C43">
        <v>0.25406319999999999</v>
      </c>
      <c r="D43">
        <v>1.03</v>
      </c>
      <c r="E43">
        <v>0.26168509600000001</v>
      </c>
      <c r="F43" t="s">
        <v>22</v>
      </c>
      <c r="G43">
        <v>261.7</v>
      </c>
      <c r="H43" t="s">
        <v>937</v>
      </c>
    </row>
    <row r="44" spans="1:8" x14ac:dyDescent="0.25">
      <c r="A44" t="s">
        <v>375</v>
      </c>
      <c r="B44" t="s">
        <v>938</v>
      </c>
      <c r="C44">
        <v>6.3E-2</v>
      </c>
      <c r="D44">
        <v>1.03</v>
      </c>
      <c r="E44">
        <v>6.4890000000000003E-2</v>
      </c>
      <c r="F44" t="s">
        <v>22</v>
      </c>
      <c r="G44">
        <v>64.900000000000006</v>
      </c>
      <c r="H44" t="s">
        <v>45</v>
      </c>
    </row>
    <row r="45" spans="1:8" x14ac:dyDescent="0.25">
      <c r="A45" t="s">
        <v>939</v>
      </c>
    </row>
    <row r="46" spans="1:8" x14ac:dyDescent="0.25">
      <c r="A46" t="s">
        <v>375</v>
      </c>
      <c r="B46" t="s">
        <v>940</v>
      </c>
      <c r="C46">
        <v>0.54464400000000002</v>
      </c>
      <c r="D46">
        <v>1.05</v>
      </c>
      <c r="E46">
        <v>0.57187619999999995</v>
      </c>
      <c r="F46" t="s">
        <v>18</v>
      </c>
      <c r="G46">
        <v>428.9</v>
      </c>
      <c r="H46" t="s">
        <v>47</v>
      </c>
    </row>
    <row r="47" spans="1:8" x14ac:dyDescent="0.25">
      <c r="A47" t="s">
        <v>375</v>
      </c>
      <c r="B47" t="s">
        <v>941</v>
      </c>
      <c r="C47">
        <v>0.14458499999999999</v>
      </c>
      <c r="D47">
        <v>1.02</v>
      </c>
      <c r="E47">
        <v>0.14747669999999999</v>
      </c>
      <c r="F47" t="s">
        <v>18</v>
      </c>
      <c r="G47">
        <v>118</v>
      </c>
      <c r="H47" t="s">
        <v>47</v>
      </c>
    </row>
    <row r="48" spans="1:8" x14ac:dyDescent="0.25">
      <c r="A48" t="s">
        <v>375</v>
      </c>
      <c r="B48" t="s">
        <v>942</v>
      </c>
      <c r="C48">
        <v>0.25681818181799998</v>
      </c>
      <c r="D48">
        <v>1.02</v>
      </c>
      <c r="E48">
        <v>0.26195454545500002</v>
      </c>
      <c r="F48" t="s">
        <v>18</v>
      </c>
      <c r="G48">
        <v>209.6</v>
      </c>
      <c r="H48"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tint="-0.499984740745262"/>
  </sheetPr>
  <dimension ref="A1:D24"/>
  <sheetViews>
    <sheetView workbookViewId="0">
      <selection activeCell="A25" sqref="A25"/>
    </sheetView>
  </sheetViews>
  <sheetFormatPr defaultRowHeight="15" x14ac:dyDescent="0.25"/>
  <cols>
    <col min="1" max="1" width="25.7109375" bestFit="1" customWidth="1"/>
    <col min="2" max="2" width="83.5703125" bestFit="1" customWidth="1"/>
    <col min="3" max="3" width="10.85546875" customWidth="1"/>
  </cols>
  <sheetData>
    <row r="1" spans="1:4" x14ac:dyDescent="0.25">
      <c r="A1" t="s">
        <v>38</v>
      </c>
      <c r="B1" t="s">
        <v>39</v>
      </c>
      <c r="C1" t="s">
        <v>9</v>
      </c>
      <c r="D1" t="s">
        <v>8</v>
      </c>
    </row>
    <row r="2" spans="1:4" x14ac:dyDescent="0.25">
      <c r="A2" t="s">
        <v>40</v>
      </c>
      <c r="B2" t="s">
        <v>41</v>
      </c>
      <c r="C2">
        <v>86.07</v>
      </c>
      <c r="D2" t="s">
        <v>21</v>
      </c>
    </row>
    <row r="3" spans="1:4" x14ac:dyDescent="0.25">
      <c r="A3" t="s">
        <v>42</v>
      </c>
      <c r="B3" t="s">
        <v>43</v>
      </c>
      <c r="C3">
        <v>47.25</v>
      </c>
      <c r="D3" t="s">
        <v>21</v>
      </c>
    </row>
    <row r="4" spans="1:4" x14ac:dyDescent="0.25">
      <c r="A4" t="s">
        <v>44</v>
      </c>
      <c r="B4" t="s">
        <v>45</v>
      </c>
      <c r="C4">
        <v>1</v>
      </c>
      <c r="D4" t="s">
        <v>19</v>
      </c>
    </row>
    <row r="5" spans="1:4" x14ac:dyDescent="0.25">
      <c r="A5" t="s">
        <v>46</v>
      </c>
      <c r="B5" t="s">
        <v>47</v>
      </c>
      <c r="C5">
        <v>9</v>
      </c>
      <c r="D5" t="s">
        <v>19</v>
      </c>
    </row>
    <row r="6" spans="1:4" x14ac:dyDescent="0.25">
      <c r="A6" t="s">
        <v>48</v>
      </c>
      <c r="B6" t="s">
        <v>49</v>
      </c>
      <c r="C6">
        <v>110</v>
      </c>
      <c r="D6" t="s">
        <v>20</v>
      </c>
    </row>
    <row r="7" spans="1:4" x14ac:dyDescent="0.25">
      <c r="A7" t="s">
        <v>50</v>
      </c>
      <c r="B7" t="s">
        <v>51</v>
      </c>
      <c r="C7">
        <v>10.5</v>
      </c>
      <c r="D7" t="s">
        <v>20</v>
      </c>
    </row>
    <row r="8" spans="1:4" x14ac:dyDescent="0.25">
      <c r="A8" t="s">
        <v>52</v>
      </c>
      <c r="B8" t="s">
        <v>49</v>
      </c>
      <c r="C8">
        <v>78.400000000000006</v>
      </c>
      <c r="D8" t="s">
        <v>20</v>
      </c>
    </row>
    <row r="9" spans="1:4" x14ac:dyDescent="0.25">
      <c r="A9" t="s">
        <v>53</v>
      </c>
      <c r="B9" t="s">
        <v>54</v>
      </c>
      <c r="C9">
        <v>5.35</v>
      </c>
      <c r="D9" t="s">
        <v>18</v>
      </c>
    </row>
    <row r="10" spans="1:4" x14ac:dyDescent="0.25">
      <c r="A10" t="s">
        <v>55</v>
      </c>
      <c r="B10" t="s">
        <v>55</v>
      </c>
      <c r="C10">
        <v>0.7</v>
      </c>
      <c r="D10" t="s">
        <v>22</v>
      </c>
    </row>
    <row r="11" spans="1:4" x14ac:dyDescent="0.25">
      <c r="A11" t="s">
        <v>56</v>
      </c>
      <c r="B11" t="s">
        <v>57</v>
      </c>
      <c r="C11">
        <v>38.5</v>
      </c>
      <c r="D11" t="s">
        <v>20</v>
      </c>
    </row>
    <row r="12" spans="1:4" x14ac:dyDescent="0.25">
      <c r="A12" t="s">
        <v>5</v>
      </c>
      <c r="B12" t="s">
        <v>58</v>
      </c>
      <c r="C12">
        <v>1</v>
      </c>
      <c r="D12" t="s">
        <v>19</v>
      </c>
    </row>
    <row r="13" spans="1:4" x14ac:dyDescent="0.25">
      <c r="A13" t="s">
        <v>59</v>
      </c>
      <c r="B13" t="s">
        <v>60</v>
      </c>
      <c r="C13">
        <v>8</v>
      </c>
      <c r="D13" t="s">
        <v>19</v>
      </c>
    </row>
    <row r="14" spans="1:4" x14ac:dyDescent="0.25">
      <c r="A14" t="s">
        <v>23</v>
      </c>
      <c r="B14" t="s">
        <v>61</v>
      </c>
      <c r="C14">
        <v>113</v>
      </c>
      <c r="D14" t="s">
        <v>20</v>
      </c>
    </row>
    <row r="15" spans="1:4" x14ac:dyDescent="0.25">
      <c r="A15" t="s">
        <v>62</v>
      </c>
      <c r="B15" t="s">
        <v>63</v>
      </c>
      <c r="C15">
        <v>116.4</v>
      </c>
      <c r="D15" t="s">
        <v>20</v>
      </c>
    </row>
    <row r="16" spans="1:4" x14ac:dyDescent="0.25">
      <c r="A16" t="s">
        <v>64</v>
      </c>
      <c r="B16" t="s">
        <v>65</v>
      </c>
      <c r="C16">
        <v>126.45</v>
      </c>
      <c r="D16" t="s">
        <v>20</v>
      </c>
    </row>
    <row r="17" spans="1:4" x14ac:dyDescent="0.25">
      <c r="A17" t="s">
        <v>66</v>
      </c>
      <c r="B17" t="s">
        <v>67</v>
      </c>
      <c r="C17">
        <v>76.23</v>
      </c>
      <c r="D17" t="s">
        <v>21</v>
      </c>
    </row>
    <row r="18" spans="1:4" x14ac:dyDescent="0.25">
      <c r="A18" t="s">
        <v>68</v>
      </c>
      <c r="B18" t="s">
        <v>69</v>
      </c>
      <c r="C18">
        <v>8.17</v>
      </c>
      <c r="D18" t="s">
        <v>21</v>
      </c>
    </row>
    <row r="19" spans="1:4" x14ac:dyDescent="0.25">
      <c r="A19" t="s">
        <v>70</v>
      </c>
      <c r="B19" t="s">
        <v>71</v>
      </c>
      <c r="C19">
        <v>8.17</v>
      </c>
      <c r="D19" t="s">
        <v>21</v>
      </c>
    </row>
    <row r="20" spans="1:4" x14ac:dyDescent="0.25">
      <c r="A20" t="s">
        <v>72</v>
      </c>
      <c r="B20" t="s">
        <v>73</v>
      </c>
      <c r="C20">
        <v>40.97</v>
      </c>
      <c r="D20" t="s">
        <v>20</v>
      </c>
    </row>
    <row r="21" spans="1:4" x14ac:dyDescent="0.25">
      <c r="A21" t="s">
        <v>74</v>
      </c>
      <c r="B21" t="s">
        <v>75</v>
      </c>
      <c r="C21">
        <v>154</v>
      </c>
      <c r="D21" t="s">
        <v>20</v>
      </c>
    </row>
    <row r="22" spans="1:4" x14ac:dyDescent="0.25">
      <c r="A22" t="s">
        <v>76</v>
      </c>
      <c r="B22" t="s">
        <v>77</v>
      </c>
      <c r="C22">
        <v>8.17</v>
      </c>
      <c r="D22" t="s">
        <v>21</v>
      </c>
    </row>
    <row r="23" spans="1:4" x14ac:dyDescent="0.25">
      <c r="A23" t="s">
        <v>78</v>
      </c>
      <c r="B23" t="s">
        <v>79</v>
      </c>
      <c r="C23">
        <v>21.76</v>
      </c>
      <c r="D23" t="s">
        <v>20</v>
      </c>
    </row>
    <row r="24" spans="1:4" x14ac:dyDescent="0.25">
      <c r="A24" t="s">
        <v>80</v>
      </c>
      <c r="B24" t="s">
        <v>81</v>
      </c>
      <c r="C24">
        <v>83.16</v>
      </c>
      <c r="D24" t="s">
        <v>21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workbookViewId="0">
      <selection activeCell="E25" sqref="E25"/>
    </sheetView>
  </sheetViews>
  <sheetFormatPr defaultRowHeight="15" x14ac:dyDescent="0.25"/>
  <cols>
    <col min="1" max="1" width="63.5703125" bestFit="1" customWidth="1"/>
    <col min="3" max="3" width="20.7109375" bestFit="1" customWidth="1"/>
    <col min="4" max="4" width="23.85546875" bestFit="1" customWidth="1"/>
  </cols>
  <sheetData>
    <row r="1" spans="1:11" x14ac:dyDescent="0.25">
      <c r="A1" s="22" t="s">
        <v>790</v>
      </c>
    </row>
    <row r="2" spans="1:11" x14ac:dyDescent="0.25">
      <c r="A2" t="s">
        <v>784</v>
      </c>
      <c r="B2" t="s">
        <v>13</v>
      </c>
      <c r="C2" t="s">
        <v>8</v>
      </c>
      <c r="D2" t="s">
        <v>785</v>
      </c>
      <c r="E2" t="s">
        <v>14</v>
      </c>
    </row>
    <row r="3" spans="1:11" x14ac:dyDescent="0.25">
      <c r="A3" t="s">
        <v>782</v>
      </c>
      <c r="B3">
        <v>0.75</v>
      </c>
      <c r="D3" t="s">
        <v>794</v>
      </c>
    </row>
    <row r="4" spans="1:11" x14ac:dyDescent="0.25">
      <c r="A4" t="s">
        <v>783</v>
      </c>
      <c r="B4">
        <v>73.13</v>
      </c>
      <c r="C4" s="22" t="s">
        <v>810</v>
      </c>
      <c r="D4" t="s">
        <v>811</v>
      </c>
    </row>
    <row r="5" spans="1:11" x14ac:dyDescent="0.25">
      <c r="A5" t="s">
        <v>787</v>
      </c>
      <c r="B5">
        <v>0.25</v>
      </c>
      <c r="D5" t="s">
        <v>794</v>
      </c>
    </row>
    <row r="6" spans="1:11" x14ac:dyDescent="0.25">
      <c r="A6" t="s">
        <v>788</v>
      </c>
      <c r="B6">
        <v>69.5</v>
      </c>
      <c r="C6" s="22" t="s">
        <v>810</v>
      </c>
      <c r="D6" t="s">
        <v>811</v>
      </c>
    </row>
    <row r="7" spans="1:11" x14ac:dyDescent="0.25">
      <c r="A7" s="22" t="s">
        <v>789</v>
      </c>
      <c r="B7" s="22">
        <f>B5*B6+B3*B4</f>
        <v>72.222499999999997</v>
      </c>
      <c r="C7" s="22" t="s">
        <v>810</v>
      </c>
    </row>
    <row r="8" spans="1:11" x14ac:dyDescent="0.25">
      <c r="A8" s="22" t="s">
        <v>789</v>
      </c>
      <c r="B8" s="22">
        <f>((B4*B12)*B3+(B6*B18)*B5)/277.778</f>
        <v>0.99737119210304626</v>
      </c>
      <c r="C8" s="22" t="s">
        <v>813</v>
      </c>
      <c r="E8" t="s">
        <v>814</v>
      </c>
    </row>
    <row r="10" spans="1:11" x14ac:dyDescent="0.25">
      <c r="A10" s="22" t="s">
        <v>791</v>
      </c>
      <c r="B10" t="s">
        <v>795</v>
      </c>
    </row>
    <row r="11" spans="1:11" x14ac:dyDescent="0.25">
      <c r="A11" t="s">
        <v>784</v>
      </c>
      <c r="B11" t="s">
        <v>13</v>
      </c>
      <c r="D11" t="s">
        <v>785</v>
      </c>
    </row>
    <row r="12" spans="1:11" x14ac:dyDescent="0.25">
      <c r="A12" t="s">
        <v>781</v>
      </c>
      <c r="B12">
        <v>3.99</v>
      </c>
      <c r="D12" t="s">
        <v>794</v>
      </c>
    </row>
    <row r="13" spans="1:11" x14ac:dyDescent="0.25">
      <c r="A13" t="s">
        <v>793</v>
      </c>
      <c r="B13">
        <v>3.5752999999999999</v>
      </c>
      <c r="D13" t="s">
        <v>794</v>
      </c>
      <c r="K13">
        <v>1.28</v>
      </c>
    </row>
    <row r="14" spans="1:11" x14ac:dyDescent="0.25">
      <c r="A14" t="s">
        <v>797</v>
      </c>
      <c r="B14">
        <f>847/3.6</f>
        <v>235.27777777777777</v>
      </c>
      <c r="C14" t="s">
        <v>812</v>
      </c>
      <c r="D14" t="s">
        <v>796</v>
      </c>
      <c r="E14" t="s">
        <v>804</v>
      </c>
    </row>
    <row r="15" spans="1:11" x14ac:dyDescent="0.25">
      <c r="A15" t="s">
        <v>801</v>
      </c>
      <c r="B15">
        <f>3.99/B13</f>
        <v>1.1159902665510588</v>
      </c>
      <c r="D15" t="s">
        <v>794</v>
      </c>
      <c r="E15" t="s">
        <v>802</v>
      </c>
    </row>
    <row r="16" spans="1:11" x14ac:dyDescent="0.25">
      <c r="A16" t="s">
        <v>806</v>
      </c>
      <c r="B16">
        <f>B14*B15</f>
        <v>262.56770993576299</v>
      </c>
      <c r="C16" t="s">
        <v>809</v>
      </c>
    </row>
    <row r="17" spans="1:12" x14ac:dyDescent="0.25">
      <c r="A17" s="22" t="s">
        <v>807</v>
      </c>
      <c r="B17" s="22">
        <f>B16/B12</f>
        <v>65.806443592923046</v>
      </c>
      <c r="C17" s="22" t="s">
        <v>810</v>
      </c>
      <c r="J17">
        <v>277.77800000000002</v>
      </c>
      <c r="K17">
        <f>B16/J17</f>
        <v>0.94524299957434699</v>
      </c>
    </row>
    <row r="18" spans="1:12" x14ac:dyDescent="0.25">
      <c r="A18" s="140" t="s">
        <v>786</v>
      </c>
      <c r="B18" s="140">
        <v>3.35</v>
      </c>
      <c r="C18" s="22"/>
      <c r="D18" t="s">
        <v>794</v>
      </c>
      <c r="K18">
        <f>K17/B12</f>
        <v>0.23690300741211703</v>
      </c>
      <c r="L18">
        <f>K18/3.6*1000</f>
        <v>65.806390947810286</v>
      </c>
    </row>
    <row r="19" spans="1:12" x14ac:dyDescent="0.25">
      <c r="A19" t="s">
        <v>792</v>
      </c>
      <c r="B19">
        <v>2.68</v>
      </c>
      <c r="D19" t="s">
        <v>794</v>
      </c>
    </row>
    <row r="20" spans="1:12" x14ac:dyDescent="0.25">
      <c r="A20" t="s">
        <v>805</v>
      </c>
      <c r="B20">
        <f>713/3.6</f>
        <v>198.05555555555554</v>
      </c>
    </row>
    <row r="21" spans="1:12" x14ac:dyDescent="0.25">
      <c r="A21" t="s">
        <v>799</v>
      </c>
      <c r="B21">
        <f>3.35416666666666/B19</f>
        <v>1.2515547263681566</v>
      </c>
      <c r="D21" t="s">
        <v>794</v>
      </c>
      <c r="E21" t="s">
        <v>800</v>
      </c>
    </row>
    <row r="22" spans="1:12" ht="13.9" customHeight="1" x14ac:dyDescent="0.25">
      <c r="A22" t="s">
        <v>858</v>
      </c>
      <c r="B22">
        <f>B20*B21</f>
        <v>247.87736663902655</v>
      </c>
      <c r="C22" t="s">
        <v>809</v>
      </c>
      <c r="D22" t="s">
        <v>796</v>
      </c>
      <c r="E22" t="s">
        <v>803</v>
      </c>
    </row>
    <row r="23" spans="1:12" ht="13.9" customHeight="1" x14ac:dyDescent="0.25">
      <c r="A23" s="22" t="s">
        <v>808</v>
      </c>
      <c r="B23" s="22">
        <f>B22/B18</f>
        <v>73.993243772843741</v>
      </c>
      <c r="C23" s="22" t="s">
        <v>810</v>
      </c>
    </row>
    <row r="24" spans="1:12" ht="13.9" customHeight="1" x14ac:dyDescent="0.25">
      <c r="A24" t="s">
        <v>782</v>
      </c>
      <c r="B24">
        <v>0.76</v>
      </c>
      <c r="D24" t="s">
        <v>796</v>
      </c>
    </row>
    <row r="25" spans="1:12" ht="13.9" customHeight="1" x14ac:dyDescent="0.25">
      <c r="A25" t="s">
        <v>787</v>
      </c>
      <c r="B25">
        <v>0.24</v>
      </c>
      <c r="D25" t="s">
        <v>796</v>
      </c>
    </row>
    <row r="26" spans="1:12" x14ac:dyDescent="0.25">
      <c r="A26" s="22" t="s">
        <v>789</v>
      </c>
      <c r="B26" s="22">
        <f>B24*B17+B23*B25</f>
        <v>67.771275636104008</v>
      </c>
      <c r="C26" s="22" t="s">
        <v>798</v>
      </c>
    </row>
    <row r="27" spans="1:12" x14ac:dyDescent="0.25">
      <c r="A27" s="22" t="s">
        <v>859</v>
      </c>
      <c r="B27" s="141">
        <f>(72.2225-B26)/B26</f>
        <v>6.5680102995208697E-2</v>
      </c>
      <c r="C27"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7"/>
  <sheetViews>
    <sheetView workbookViewId="0">
      <selection activeCell="B14" sqref="B14"/>
    </sheetView>
  </sheetViews>
  <sheetFormatPr defaultRowHeight="15" x14ac:dyDescent="0.25"/>
  <cols>
    <col min="1" max="1" width="26.140625" customWidth="1"/>
    <col min="2" max="2" width="11.5703125" customWidth="1"/>
    <col min="3" max="4" width="10.5703125" customWidth="1"/>
    <col min="5" max="5" width="13.7109375" customWidth="1"/>
    <col min="6" max="6" width="13.5703125" customWidth="1"/>
    <col min="7" max="7" width="10.5703125" customWidth="1"/>
    <col min="8" max="8" width="11.7109375" customWidth="1"/>
    <col min="9" max="9" width="14.28515625" customWidth="1"/>
    <col min="10" max="17" width="9.7109375" customWidth="1"/>
  </cols>
  <sheetData>
    <row r="1" spans="1:17" ht="21" x14ac:dyDescent="0.35">
      <c r="A1" s="60" t="s">
        <v>344</v>
      </c>
    </row>
    <row r="3" spans="1:17" ht="45" customHeight="1" x14ac:dyDescent="0.25">
      <c r="A3" s="176" t="s">
        <v>248</v>
      </c>
      <c r="B3" s="178" t="s">
        <v>141</v>
      </c>
      <c r="C3" s="178"/>
      <c r="D3" s="178"/>
      <c r="E3" s="178"/>
      <c r="F3" s="178"/>
      <c r="G3" s="178"/>
      <c r="H3" s="178"/>
      <c r="I3" s="177" t="s">
        <v>250</v>
      </c>
      <c r="J3" s="177" t="s">
        <v>251</v>
      </c>
      <c r="K3" s="177" t="s">
        <v>252</v>
      </c>
      <c r="L3" s="177" t="s">
        <v>255</v>
      </c>
      <c r="M3" s="177" t="s">
        <v>253</v>
      </c>
      <c r="N3" s="177" t="s">
        <v>254</v>
      </c>
      <c r="O3" s="177" t="s">
        <v>349</v>
      </c>
      <c r="P3" s="177" t="s">
        <v>350</v>
      </c>
      <c r="Q3" s="177" t="s">
        <v>351</v>
      </c>
    </row>
    <row r="4" spans="1:17" ht="45" customHeight="1" x14ac:dyDescent="0.25">
      <c r="A4" s="176"/>
      <c r="B4" s="62" t="s">
        <v>815</v>
      </c>
      <c r="C4" s="62" t="s">
        <v>287</v>
      </c>
      <c r="D4" s="62" t="s">
        <v>122</v>
      </c>
      <c r="E4" s="62" t="s">
        <v>346</v>
      </c>
      <c r="F4" s="62" t="s">
        <v>212</v>
      </c>
      <c r="G4" s="57" t="s">
        <v>347</v>
      </c>
      <c r="H4" s="62" t="s">
        <v>348</v>
      </c>
      <c r="I4" s="177"/>
      <c r="J4" s="177"/>
      <c r="K4" s="177"/>
      <c r="L4" s="177"/>
      <c r="M4" s="177"/>
      <c r="N4" s="177"/>
      <c r="O4" s="177"/>
      <c r="P4" s="177"/>
      <c r="Q4" s="177"/>
    </row>
    <row r="5" spans="1:17" x14ac:dyDescent="0.25">
      <c r="A5" t="s">
        <v>1</v>
      </c>
      <c r="B5">
        <v>534.74</v>
      </c>
      <c r="C5">
        <v>47.29</v>
      </c>
      <c r="D5">
        <v>302.89</v>
      </c>
      <c r="E5">
        <v>297.11</v>
      </c>
      <c r="F5">
        <f t="shared" ref="F5:F14" si="0">SUM(B5:E5)</f>
        <v>1182.03</v>
      </c>
      <c r="G5">
        <v>0</v>
      </c>
      <c r="H5">
        <f>F5-G5</f>
        <v>1182.03</v>
      </c>
      <c r="I5" s="58">
        <f>H5/600</f>
        <v>1.9700499999999999</v>
      </c>
      <c r="J5" s="58">
        <f>(I5/3.6)*1000</f>
        <v>547.23611111111109</v>
      </c>
      <c r="K5" s="59">
        <f>J5/4</f>
        <v>136.80902777777777</v>
      </c>
      <c r="L5" s="59">
        <f t="shared" ref="L5:L22" si="1">K5*$B$80</f>
        <v>24.24099355826786</v>
      </c>
      <c r="M5" s="59">
        <f>J5*0.75</f>
        <v>410.42708333333331</v>
      </c>
      <c r="N5" s="59">
        <f t="shared" ref="N5:N22" si="2">IF(M5&lt;=100,M5*$B$54,IF(M5&lt;=300,100*$B$54+(M5-100)*$B$55,IF(M5&lt;=400,100*$B$54+200*$B$55+(M5-300)*$B$56,IF(M5&lt;=500,100*$B$54+200*$B$55+100*$B$56+(M5-400)*$B$57,100*$B$54+200*$B$55+100*$B$56+100*$B$57+(M5-500)*$B$58))))+7.33</f>
        <v>24.666678832116787</v>
      </c>
      <c r="O5" s="59">
        <f>L5+N5</f>
        <v>48.907672390384647</v>
      </c>
      <c r="P5" s="59">
        <f>O5*12</f>
        <v>586.89206868461577</v>
      </c>
      <c r="Q5" s="59">
        <f>P5-$P$5</f>
        <v>0</v>
      </c>
    </row>
    <row r="6" spans="1:17" x14ac:dyDescent="0.25">
      <c r="A6" t="s">
        <v>35</v>
      </c>
      <c r="B6">
        <v>8.2200000000000006</v>
      </c>
      <c r="C6">
        <v>47.29</v>
      </c>
      <c r="D6">
        <v>302.89</v>
      </c>
      <c r="E6">
        <v>297.11</v>
      </c>
      <c r="F6">
        <f t="shared" si="0"/>
        <v>655.51</v>
      </c>
      <c r="G6">
        <v>0</v>
      </c>
      <c r="H6">
        <f t="shared" ref="H6:H11" si="3">F6-G6</f>
        <v>655.51</v>
      </c>
      <c r="I6" s="58">
        <f t="shared" ref="I6:I11" si="4">H6/600</f>
        <v>1.0925166666666666</v>
      </c>
      <c r="J6" s="58">
        <f t="shared" ref="J6:J11" si="5">(I6/3.6)*1000</f>
        <v>303.47685185185179</v>
      </c>
      <c r="K6" s="59">
        <f t="shared" ref="K6:K11" si="6">J6/4</f>
        <v>75.869212962962948</v>
      </c>
      <c r="L6" s="59">
        <f t="shared" si="1"/>
        <v>13.443156000592339</v>
      </c>
      <c r="M6" s="59">
        <f t="shared" ref="M6:M11" si="7">J6*0.75</f>
        <v>227.60763888888886</v>
      </c>
      <c r="N6" s="59">
        <f t="shared" si="2"/>
        <v>15.007678933495539</v>
      </c>
      <c r="O6" s="59">
        <f t="shared" ref="O6:O11" si="8">L6+N6</f>
        <v>28.450834934087879</v>
      </c>
      <c r="P6" s="59">
        <f t="shared" ref="P6:P11" si="9">O6*12</f>
        <v>341.41001920905455</v>
      </c>
      <c r="Q6" s="59">
        <f t="shared" ref="Q6:Q11" si="10">P6-$P$5</f>
        <v>-245.48204947556121</v>
      </c>
    </row>
    <row r="7" spans="1:17" x14ac:dyDescent="0.25">
      <c r="A7" t="s">
        <v>2</v>
      </c>
      <c r="B7">
        <v>534.74</v>
      </c>
      <c r="C7">
        <v>27.58</v>
      </c>
      <c r="D7">
        <v>302.89</v>
      </c>
      <c r="E7">
        <v>297.11</v>
      </c>
      <c r="F7">
        <f t="shared" si="0"/>
        <v>1162.3200000000002</v>
      </c>
      <c r="G7">
        <v>0</v>
      </c>
      <c r="H7">
        <f t="shared" si="3"/>
        <v>1162.3200000000002</v>
      </c>
      <c r="I7" s="58">
        <f t="shared" si="4"/>
        <v>1.9372000000000003</v>
      </c>
      <c r="J7" s="58">
        <f t="shared" si="5"/>
        <v>538.1111111111112</v>
      </c>
      <c r="K7" s="59">
        <f t="shared" si="6"/>
        <v>134.5277777777778</v>
      </c>
      <c r="L7" s="59">
        <f t="shared" si="1"/>
        <v>23.836782173587732</v>
      </c>
      <c r="M7" s="59">
        <f t="shared" si="7"/>
        <v>403.58333333333337</v>
      </c>
      <c r="N7" s="59">
        <f t="shared" si="2"/>
        <v>24.067226277372271</v>
      </c>
      <c r="O7" s="59">
        <f t="shared" si="8"/>
        <v>47.904008450960006</v>
      </c>
      <c r="P7" s="59">
        <f t="shared" si="9"/>
        <v>574.84810141152002</v>
      </c>
      <c r="Q7" s="59">
        <f t="shared" si="10"/>
        <v>-12.043967273095745</v>
      </c>
    </row>
    <row r="8" spans="1:17" x14ac:dyDescent="0.25">
      <c r="A8" t="s">
        <v>3</v>
      </c>
      <c r="B8">
        <v>534.74</v>
      </c>
      <c r="C8">
        <v>47.29</v>
      </c>
      <c r="D8">
        <v>128.21</v>
      </c>
      <c r="E8">
        <v>297.11</v>
      </c>
      <c r="F8">
        <f t="shared" si="0"/>
        <v>1007.35</v>
      </c>
      <c r="G8">
        <v>0</v>
      </c>
      <c r="H8">
        <f t="shared" si="3"/>
        <v>1007.35</v>
      </c>
      <c r="I8" s="58">
        <f t="shared" si="4"/>
        <v>1.6789166666666666</v>
      </c>
      <c r="J8" s="58">
        <f t="shared" si="5"/>
        <v>466.3657407407407</v>
      </c>
      <c r="K8" s="59">
        <f t="shared" si="6"/>
        <v>116.59143518518518</v>
      </c>
      <c r="L8" s="59">
        <f t="shared" si="1"/>
        <v>20.658667598048382</v>
      </c>
      <c r="M8" s="59">
        <f t="shared" si="7"/>
        <v>349.77430555555554</v>
      </c>
      <c r="N8" s="59">
        <f t="shared" si="2"/>
        <v>20.820470397404705</v>
      </c>
      <c r="O8" s="59">
        <f t="shared" si="8"/>
        <v>41.479137995453087</v>
      </c>
      <c r="P8" s="59">
        <f t="shared" si="9"/>
        <v>497.74965594543704</v>
      </c>
      <c r="Q8" s="59">
        <f t="shared" si="10"/>
        <v>-89.142412739178724</v>
      </c>
    </row>
    <row r="9" spans="1:17" x14ac:dyDescent="0.25">
      <c r="A9" t="s">
        <v>4</v>
      </c>
      <c r="B9">
        <v>534.74</v>
      </c>
      <c r="C9">
        <v>47.29</v>
      </c>
      <c r="D9">
        <v>302.89</v>
      </c>
      <c r="E9">
        <v>124.79</v>
      </c>
      <c r="F9">
        <f t="shared" si="0"/>
        <v>1009.7099999999999</v>
      </c>
      <c r="G9">
        <v>0</v>
      </c>
      <c r="H9">
        <f t="shared" si="3"/>
        <v>1009.7099999999999</v>
      </c>
      <c r="I9" s="58">
        <f t="shared" si="4"/>
        <v>1.68285</v>
      </c>
      <c r="J9" s="58">
        <f t="shared" si="5"/>
        <v>467.45833333333331</v>
      </c>
      <c r="K9" s="59">
        <f t="shared" si="6"/>
        <v>116.86458333333333</v>
      </c>
      <c r="L9" s="59">
        <f t="shared" si="1"/>
        <v>20.707066322951736</v>
      </c>
      <c r="M9" s="59">
        <f t="shared" si="7"/>
        <v>350.59375</v>
      </c>
      <c r="N9" s="59">
        <f t="shared" si="2"/>
        <v>20.868321167883213</v>
      </c>
      <c r="O9" s="59">
        <f t="shared" si="8"/>
        <v>41.575387490834949</v>
      </c>
      <c r="P9" s="59">
        <f t="shared" si="9"/>
        <v>498.90464989001941</v>
      </c>
      <c r="Q9" s="59">
        <f t="shared" si="10"/>
        <v>-87.987418794596351</v>
      </c>
    </row>
    <row r="10" spans="1:17" x14ac:dyDescent="0.25">
      <c r="A10" t="s">
        <v>6</v>
      </c>
      <c r="B10">
        <v>534.74</v>
      </c>
      <c r="C10">
        <v>47.29</v>
      </c>
      <c r="D10">
        <v>302.89</v>
      </c>
      <c r="E10">
        <v>255.11</v>
      </c>
      <c r="F10">
        <f t="shared" si="0"/>
        <v>1140.03</v>
      </c>
      <c r="G10">
        <v>0</v>
      </c>
      <c r="H10">
        <f t="shared" si="3"/>
        <v>1140.03</v>
      </c>
      <c r="I10" s="58">
        <f t="shared" si="4"/>
        <v>1.90005</v>
      </c>
      <c r="J10" s="58">
        <f t="shared" si="5"/>
        <v>527.79166666666663</v>
      </c>
      <c r="K10" s="59">
        <f t="shared" si="6"/>
        <v>131.94791666666666</v>
      </c>
      <c r="L10" s="59">
        <f t="shared" si="1"/>
        <v>23.379660318462399</v>
      </c>
      <c r="M10" s="59">
        <f t="shared" si="7"/>
        <v>395.84375</v>
      </c>
      <c r="N10" s="59">
        <f t="shared" si="2"/>
        <v>23.510656934306567</v>
      </c>
      <c r="O10" s="59">
        <f t="shared" si="8"/>
        <v>46.890317252768966</v>
      </c>
      <c r="P10" s="59">
        <f t="shared" si="9"/>
        <v>562.68380703322759</v>
      </c>
      <c r="Q10" s="59">
        <f t="shared" si="10"/>
        <v>-24.20826165138817</v>
      </c>
    </row>
    <row r="11" spans="1:17" x14ac:dyDescent="0.25">
      <c r="A11" t="s">
        <v>556</v>
      </c>
      <c r="B11">
        <v>534.74</v>
      </c>
      <c r="C11">
        <v>47.29</v>
      </c>
      <c r="D11">
        <v>302.89</v>
      </c>
      <c r="E11">
        <v>297.11</v>
      </c>
      <c r="F11">
        <f t="shared" si="0"/>
        <v>1182.03</v>
      </c>
      <c r="G11" s="40">
        <f>MIN(((PV!$B$88/South_Facade_PV!$B$7)/PV!$B$98)*F11,F11)</f>
        <v>1117.7022337105104</v>
      </c>
      <c r="H11">
        <f t="shared" si="3"/>
        <v>64.327766289489546</v>
      </c>
      <c r="I11" s="58">
        <f t="shared" si="4"/>
        <v>0.10721294381581591</v>
      </c>
      <c r="J11" s="58">
        <f t="shared" si="5"/>
        <v>29.781373282171085</v>
      </c>
      <c r="K11" s="59">
        <f t="shared" si="6"/>
        <v>7.4453433205427713</v>
      </c>
      <c r="L11" s="59">
        <f t="shared" si="1"/>
        <v>1.3192296035136812</v>
      </c>
      <c r="M11" s="59">
        <f t="shared" si="7"/>
        <v>22.336029961628313</v>
      </c>
      <c r="N11" s="59">
        <f t="shared" si="2"/>
        <v>7.9006285026693366</v>
      </c>
      <c r="O11" s="59">
        <f t="shared" si="8"/>
        <v>9.2198581061830183</v>
      </c>
      <c r="P11" s="59">
        <f t="shared" si="9"/>
        <v>110.63829727419622</v>
      </c>
      <c r="Q11" s="59">
        <f t="shared" si="10"/>
        <v>-476.25377141041952</v>
      </c>
    </row>
    <row r="12" spans="1:17" x14ac:dyDescent="0.25">
      <c r="A12" t="s">
        <v>715</v>
      </c>
      <c r="B12">
        <v>534.74</v>
      </c>
      <c r="C12">
        <v>47.29</v>
      </c>
      <c r="D12">
        <v>302.89</v>
      </c>
      <c r="E12">
        <v>297.11</v>
      </c>
      <c r="F12">
        <f t="shared" ref="F12:F13" si="11">SUM(B12:E12)</f>
        <v>1182.03</v>
      </c>
      <c r="G12" s="40">
        <f>MIN(((PV!$B$88/South_Facade_PV_5S!$B$7)/PV!$B$98)*F12,F12)</f>
        <v>894.16178696840848</v>
      </c>
      <c r="H12" s="40">
        <f t="shared" ref="H12:H13" si="12">F12-G12</f>
        <v>287.86821303159149</v>
      </c>
      <c r="I12" s="58">
        <f t="shared" ref="I12:I13" si="13">H12/600</f>
        <v>0.47978035505265249</v>
      </c>
      <c r="J12" s="58">
        <f t="shared" ref="J12:J13" si="14">(I12/3.6)*1000</f>
        <v>133.27232084795901</v>
      </c>
      <c r="K12" s="59">
        <f t="shared" ref="K12:K13" si="15">J12/4</f>
        <v>33.318080211989752</v>
      </c>
      <c r="L12" s="59">
        <f t="shared" si="1"/>
        <v>5.9035823944645136</v>
      </c>
      <c r="M12" s="59">
        <f t="shared" ref="M12:M13" si="16">J12*0.75</f>
        <v>99.954240635969256</v>
      </c>
      <c r="N12" s="59">
        <f t="shared" si="2"/>
        <v>9.8835754906999451</v>
      </c>
      <c r="O12" s="59">
        <f t="shared" ref="O12:O13" si="17">L12+N12</f>
        <v>15.787157885164458</v>
      </c>
      <c r="P12" s="59">
        <f t="shared" ref="P12:P13" si="18">O12*12</f>
        <v>189.44589462197348</v>
      </c>
      <c r="Q12" s="59">
        <f t="shared" ref="Q12:Q13" si="19">P12-$P$5</f>
        <v>-397.44617406264229</v>
      </c>
    </row>
    <row r="13" spans="1:17" x14ac:dyDescent="0.25">
      <c r="A13" t="s">
        <v>716</v>
      </c>
      <c r="B13">
        <v>534.74</v>
      </c>
      <c r="C13">
        <v>47.29</v>
      </c>
      <c r="D13">
        <v>302.89</v>
      </c>
      <c r="E13">
        <v>297.11</v>
      </c>
      <c r="F13">
        <f t="shared" si="11"/>
        <v>1182.03</v>
      </c>
      <c r="G13" s="40">
        <f>MIN(((PV!$B$88/South_Facade_PV_10S!$B$7)/PV!$B$98)*F13,F13)</f>
        <v>447.08089348420424</v>
      </c>
      <c r="H13" s="40">
        <f t="shared" si="12"/>
        <v>734.94910651579573</v>
      </c>
      <c r="I13" s="58">
        <f t="shared" si="13"/>
        <v>1.2249151775263263</v>
      </c>
      <c r="J13" s="58">
        <f t="shared" si="14"/>
        <v>340.2542159795351</v>
      </c>
      <c r="K13" s="59">
        <f t="shared" si="15"/>
        <v>85.063553994883776</v>
      </c>
      <c r="L13" s="59">
        <f t="shared" si="1"/>
        <v>15.072287976366189</v>
      </c>
      <c r="M13" s="59">
        <f t="shared" si="16"/>
        <v>255.19066198465134</v>
      </c>
      <c r="N13" s="59">
        <f t="shared" si="2"/>
        <v>16.11502657602615</v>
      </c>
      <c r="O13" s="59">
        <f t="shared" si="17"/>
        <v>31.187314552392337</v>
      </c>
      <c r="P13" s="59">
        <f t="shared" si="18"/>
        <v>374.24777462870804</v>
      </c>
      <c r="Q13" s="59">
        <f t="shared" si="19"/>
        <v>-212.64429405590772</v>
      </c>
    </row>
    <row r="14" spans="1:17" s="83" customFormat="1" x14ac:dyDescent="0.25">
      <c r="A14" s="83" t="s">
        <v>537</v>
      </c>
      <c r="B14" s="83">
        <f>B5</f>
        <v>534.74</v>
      </c>
      <c r="C14" s="83">
        <f>C5</f>
        <v>47.29</v>
      </c>
      <c r="D14" s="83">
        <f>D5</f>
        <v>302.89</v>
      </c>
      <c r="E14" s="83">
        <f>E5</f>
        <v>297.11</v>
      </c>
      <c r="F14" s="83">
        <f t="shared" si="0"/>
        <v>1182.03</v>
      </c>
      <c r="G14" s="86">
        <f>MIN(((PV!$B$89/South_Facade_PV!$B$7)/PV!$B$98)*F14,F14)</f>
        <v>232.34760419269318</v>
      </c>
      <c r="H14" s="86">
        <f>F14-G14</f>
        <v>949.68239580730676</v>
      </c>
      <c r="I14" s="157">
        <f t="shared" ref="I14" si="20">H14/600</f>
        <v>1.582803993012178</v>
      </c>
      <c r="J14" s="157">
        <f t="shared" ref="J14" si="21">(I14/3.6)*1000</f>
        <v>439.66777583671615</v>
      </c>
      <c r="K14" s="157">
        <f t="shared" ref="K14" si="22">J14/4</f>
        <v>109.91694395917904</v>
      </c>
      <c r="L14" s="157">
        <f t="shared" si="1"/>
        <v>19.476024161117159</v>
      </c>
      <c r="M14" s="157">
        <f t="shared" ref="M14" si="23">J14*0.75</f>
        <v>329.75083187753711</v>
      </c>
      <c r="N14" s="157">
        <f t="shared" si="2"/>
        <v>19.651216460002168</v>
      </c>
      <c r="O14" s="157">
        <f t="shared" ref="O14" si="24">L14+N14</f>
        <v>39.127240621119327</v>
      </c>
      <c r="P14" s="157">
        <f t="shared" ref="P14" si="25">O14*12</f>
        <v>469.52688745343193</v>
      </c>
      <c r="Q14" s="157">
        <f t="shared" ref="Q14" si="26">P14-$P$5</f>
        <v>-117.36518123118384</v>
      </c>
    </row>
    <row r="15" spans="1:17" s="83" customFormat="1" x14ac:dyDescent="0.25">
      <c r="A15" s="83" t="s">
        <v>673</v>
      </c>
      <c r="B15" s="83">
        <f>B5</f>
        <v>534.74</v>
      </c>
      <c r="C15" s="83">
        <f>C5</f>
        <v>47.29</v>
      </c>
      <c r="D15" s="83">
        <f>D5</f>
        <v>302.89</v>
      </c>
      <c r="E15" s="83">
        <f>E5</f>
        <v>297.11</v>
      </c>
      <c r="F15" s="83">
        <f>SUM(B15:E15)</f>
        <v>1182.03</v>
      </c>
      <c r="G15" s="86">
        <f>MIN(((PV!$B$90/South_Facade_PV_5S!$B$7)/PV!$B$98)*F15,F15)</f>
        <v>232.34760419269318</v>
      </c>
      <c r="H15" s="86">
        <f>F15-G15</f>
        <v>949.68239580730676</v>
      </c>
      <c r="I15" s="157">
        <f t="shared" ref="I15" si="27">H15/600</f>
        <v>1.582803993012178</v>
      </c>
      <c r="J15" s="157">
        <f t="shared" ref="J15" si="28">(I15/3.6)*1000</f>
        <v>439.66777583671615</v>
      </c>
      <c r="K15" s="157">
        <f t="shared" ref="K15" si="29">J15/4</f>
        <v>109.91694395917904</v>
      </c>
      <c r="L15" s="157">
        <f t="shared" si="1"/>
        <v>19.476024161117159</v>
      </c>
      <c r="M15" s="157">
        <f t="shared" ref="M15" si="30">J15*0.75</f>
        <v>329.75083187753711</v>
      </c>
      <c r="N15" s="157">
        <f t="shared" si="2"/>
        <v>19.651216460002168</v>
      </c>
      <c r="O15" s="157">
        <f t="shared" ref="O15" si="31">L15+N15</f>
        <v>39.127240621119327</v>
      </c>
      <c r="P15" s="157">
        <f t="shared" ref="P15" si="32">O15*12</f>
        <v>469.52688745343193</v>
      </c>
      <c r="Q15" s="157">
        <f t="shared" ref="Q15" si="33">P15-$P$5</f>
        <v>-117.36518123118384</v>
      </c>
    </row>
    <row r="16" spans="1:17" s="83" customFormat="1" x14ac:dyDescent="0.25">
      <c r="A16" s="83" t="s">
        <v>674</v>
      </c>
      <c r="B16" s="83">
        <f>B5</f>
        <v>534.74</v>
      </c>
      <c r="C16" s="83">
        <f>C5</f>
        <v>47.29</v>
      </c>
      <c r="D16" s="83">
        <f>D5</f>
        <v>302.89</v>
      </c>
      <c r="E16" s="83">
        <f>E5</f>
        <v>297.11</v>
      </c>
      <c r="F16" s="83">
        <f>SUM(B16:E16)</f>
        <v>1182.03</v>
      </c>
      <c r="G16" s="86">
        <f>MIN(((PV!$B$91/South_Facade_PV_10S!$B$7)/PV!$B$98)*F16,F16)</f>
        <v>232.34760419269318</v>
      </c>
      <c r="H16" s="86">
        <f>F16-G16</f>
        <v>949.68239580730676</v>
      </c>
      <c r="I16" s="157">
        <f t="shared" ref="I16" si="34">H16/600</f>
        <v>1.582803993012178</v>
      </c>
      <c r="J16" s="157">
        <f t="shared" ref="J16" si="35">(I16/3.6)*1000</f>
        <v>439.66777583671615</v>
      </c>
      <c r="K16" s="157">
        <f t="shared" ref="K16" si="36">J16/4</f>
        <v>109.91694395917904</v>
      </c>
      <c r="L16" s="157">
        <f t="shared" si="1"/>
        <v>19.476024161117159</v>
      </c>
      <c r="M16" s="157">
        <f t="shared" ref="M16" si="37">J16*0.75</f>
        <v>329.75083187753711</v>
      </c>
      <c r="N16" s="157">
        <f t="shared" si="2"/>
        <v>19.651216460002168</v>
      </c>
      <c r="O16" s="157">
        <f t="shared" ref="O16" si="38">L16+N16</f>
        <v>39.127240621119327</v>
      </c>
      <c r="P16" s="157">
        <f t="shared" ref="P16" si="39">O16*12</f>
        <v>469.52688745343193</v>
      </c>
      <c r="Q16" s="157">
        <f t="shared" ref="Q16" si="40">P16-$P$5</f>
        <v>-117.36518123118384</v>
      </c>
    </row>
    <row r="17" spans="1:17" s="83" customFormat="1" x14ac:dyDescent="0.25">
      <c r="A17" s="83" t="s">
        <v>578</v>
      </c>
      <c r="B17" s="83">
        <f>B5</f>
        <v>534.74</v>
      </c>
      <c r="C17" s="83">
        <f>C5</f>
        <v>47.29</v>
      </c>
      <c r="D17" s="83">
        <f>D5</f>
        <v>302.89</v>
      </c>
      <c r="E17" s="83">
        <f>297.11+(0.9*C28)/2.5</f>
        <v>532.54999999999995</v>
      </c>
      <c r="F17" s="83">
        <f t="shared" ref="F17:F18" si="41">SUM(B17:E17)</f>
        <v>1417.4699999999998</v>
      </c>
      <c r="G17" s="86">
        <v>0</v>
      </c>
      <c r="H17" s="86">
        <f>F17-G17</f>
        <v>1417.4699999999998</v>
      </c>
      <c r="I17" s="157">
        <f t="shared" ref="I17" si="42">H17/600</f>
        <v>2.3624499999999995</v>
      </c>
      <c r="J17" s="157">
        <f t="shared" ref="J17" si="43">(I17/3.6)*1000</f>
        <v>656.23611111111086</v>
      </c>
      <c r="K17" s="157">
        <f t="shared" ref="K17" si="44">J17/4</f>
        <v>164.05902777777771</v>
      </c>
      <c r="L17" s="157">
        <f t="shared" si="1"/>
        <v>29.069381605405898</v>
      </c>
      <c r="M17" s="157">
        <f t="shared" ref="M17" si="45">J17*0.75</f>
        <v>492.17708333333314</v>
      </c>
      <c r="N17" s="157">
        <f t="shared" si="2"/>
        <v>31.827262773722609</v>
      </c>
      <c r="O17" s="157">
        <f t="shared" ref="O17" si="46">L17+N17</f>
        <v>60.896644379128503</v>
      </c>
      <c r="P17" s="157">
        <f t="shared" ref="P17" si="47">O17*12</f>
        <v>730.75973254954204</v>
      </c>
      <c r="Q17" s="157">
        <f t="shared" ref="Q17" si="48">P17-$P$5</f>
        <v>143.86766386492627</v>
      </c>
    </row>
    <row r="18" spans="1:17" s="83" customFormat="1" x14ac:dyDescent="0.25">
      <c r="A18" s="83" t="s">
        <v>579</v>
      </c>
      <c r="B18" s="83">
        <f>NZLCPEGHGB!$K$39+NZLCPEGHGB!$K$40</f>
        <v>67.672670454545454</v>
      </c>
      <c r="C18" s="83">
        <v>27.58</v>
      </c>
      <c r="D18" s="83">
        <f>128.21+D30</f>
        <v>303.39</v>
      </c>
      <c r="E18" s="86">
        <f>E9+0.9*C28/5.9</f>
        <v>224.55271186440677</v>
      </c>
      <c r="F18" s="86">
        <f t="shared" si="41"/>
        <v>623.19538231895217</v>
      </c>
      <c r="G18" s="86">
        <f>MIN(PV!B100*F18,F18)</f>
        <v>623.19538231895217</v>
      </c>
      <c r="H18" s="86">
        <f>F18-G18</f>
        <v>0</v>
      </c>
      <c r="I18" s="157">
        <f t="shared" ref="I18" si="49">H18/600</f>
        <v>0</v>
      </c>
      <c r="J18" s="157">
        <f>(I18/3.6)*1000</f>
        <v>0</v>
      </c>
      <c r="K18" s="157">
        <f>J18/4</f>
        <v>0</v>
      </c>
      <c r="L18" s="157">
        <f t="shared" si="1"/>
        <v>0</v>
      </c>
      <c r="M18" s="157">
        <f>J18*0.75</f>
        <v>0</v>
      </c>
      <c r="N18" s="157">
        <f t="shared" si="2"/>
        <v>7.33</v>
      </c>
      <c r="O18" s="157">
        <f>L18+N18</f>
        <v>7.33</v>
      </c>
      <c r="P18" s="157">
        <f t="shared" ref="P18" si="50">O18*12</f>
        <v>87.960000000000008</v>
      </c>
      <c r="Q18" s="157">
        <f t="shared" ref="Q18" si="51">P18-$P$5</f>
        <v>-498.93206868461573</v>
      </c>
    </row>
    <row r="19" spans="1:17" s="83" customFormat="1" x14ac:dyDescent="0.25">
      <c r="A19" s="83" t="s">
        <v>717</v>
      </c>
      <c r="B19" s="83">
        <f>B18</f>
        <v>67.672670454545454</v>
      </c>
      <c r="C19" s="83">
        <v>27.58</v>
      </c>
      <c r="D19" s="83">
        <f>128.21+D30</f>
        <v>303.39</v>
      </c>
      <c r="E19" s="86">
        <f>E9+0.9*C28/5.9</f>
        <v>224.55271186440677</v>
      </c>
      <c r="F19" s="86">
        <f t="shared" ref="F19:F20" si="52">SUM(B19:E19)</f>
        <v>623.19538231895217</v>
      </c>
      <c r="G19" s="86">
        <f>MIN(PV!B101*F19,F19)</f>
        <v>592.03561320300457</v>
      </c>
      <c r="H19" s="86">
        <f t="shared" ref="H19:H20" si="53">F19-G19</f>
        <v>31.159769115947597</v>
      </c>
      <c r="I19" s="157">
        <f t="shared" ref="I19:I21" si="54">H19/600</f>
        <v>5.1932948526579328E-2</v>
      </c>
      <c r="J19" s="157">
        <f t="shared" ref="J19:J20" si="55">(I19/3.6)*1000</f>
        <v>14.425819035160924</v>
      </c>
      <c r="K19" s="157">
        <f t="shared" ref="K19:K20" si="56">J19/4</f>
        <v>3.6064547587902309</v>
      </c>
      <c r="L19" s="157">
        <f t="shared" si="1"/>
        <v>0.6390224972435552</v>
      </c>
      <c r="M19" s="157">
        <f t="shared" ref="M19:M20" si="57">J19*0.75</f>
        <v>10.819364276370692</v>
      </c>
      <c r="N19" s="157">
        <f t="shared" si="2"/>
        <v>7.6064071165496161</v>
      </c>
      <c r="O19" s="157">
        <f t="shared" ref="O19:O20" si="58">L19+N19</f>
        <v>8.2454296137931706</v>
      </c>
      <c r="P19" s="157">
        <f t="shared" ref="P19:P21" si="59">O19*12</f>
        <v>98.945155365518048</v>
      </c>
      <c r="Q19" s="157">
        <f t="shared" ref="Q19:Q21" si="60">P19-$P$5</f>
        <v>-487.94691331909769</v>
      </c>
    </row>
    <row r="20" spans="1:17" s="83" customFormat="1" x14ac:dyDescent="0.25">
      <c r="A20" s="83" t="s">
        <v>718</v>
      </c>
      <c r="B20" s="83">
        <f>((-NZLCPEGHGB!$K$33-NZLCPEGHGB!$K$39)-NZLCPEGHGB!$K$39)/2+NZLCPEGHGB!$K$40</f>
        <v>216.13200059808617</v>
      </c>
      <c r="C20" s="83">
        <v>27.58</v>
      </c>
      <c r="D20" s="83">
        <f>128.21+D30</f>
        <v>303.39</v>
      </c>
      <c r="E20" s="86">
        <f>E9+0.9*C28/5.9</f>
        <v>224.55271186440677</v>
      </c>
      <c r="F20" s="86">
        <f t="shared" si="52"/>
        <v>771.65471246249285</v>
      </c>
      <c r="G20" s="86">
        <f>MIN(PV!B102*F20,F20)</f>
        <v>439.84318610362089</v>
      </c>
      <c r="H20" s="86">
        <f t="shared" si="53"/>
        <v>331.81152635887196</v>
      </c>
      <c r="I20" s="157">
        <f t="shared" si="54"/>
        <v>0.55301921059811998</v>
      </c>
      <c r="J20" s="157">
        <f t="shared" si="55"/>
        <v>153.61644738836665</v>
      </c>
      <c r="K20" s="157">
        <f t="shared" si="56"/>
        <v>38.404111847091663</v>
      </c>
      <c r="L20" s="157">
        <f t="shared" si="1"/>
        <v>6.8047689762733956</v>
      </c>
      <c r="M20" s="157">
        <f t="shared" si="57"/>
        <v>115.212335541275</v>
      </c>
      <c r="N20" s="157">
        <f t="shared" si="2"/>
        <v>10.495458726109581</v>
      </c>
      <c r="O20" s="157">
        <f t="shared" si="58"/>
        <v>17.300227702382976</v>
      </c>
      <c r="P20" s="157">
        <f t="shared" si="59"/>
        <v>207.60273242859571</v>
      </c>
      <c r="Q20" s="157">
        <f t="shared" si="60"/>
        <v>-379.28933625602008</v>
      </c>
    </row>
    <row r="21" spans="1:17" s="83" customFormat="1" x14ac:dyDescent="0.25">
      <c r="A21" s="83" t="s">
        <v>778</v>
      </c>
      <c r="B21" s="83">
        <f>B18*0.8</f>
        <v>54.138136363636363</v>
      </c>
      <c r="C21" s="83">
        <f t="shared" ref="C21:F21" si="61">C18*0.8</f>
        <v>22.064</v>
      </c>
      <c r="D21" s="83">
        <f t="shared" si="61"/>
        <v>242.71199999999999</v>
      </c>
      <c r="E21" s="83">
        <f t="shared" si="61"/>
        <v>179.64216949152544</v>
      </c>
      <c r="F21" s="83">
        <f t="shared" si="61"/>
        <v>498.55630585516178</v>
      </c>
      <c r="G21" s="86">
        <f>MIN(PV!B100*F21,F21)</f>
        <v>498.55630585516178</v>
      </c>
      <c r="H21" s="86">
        <f>F21-G21</f>
        <v>0</v>
      </c>
      <c r="I21" s="157">
        <f t="shared" si="54"/>
        <v>0</v>
      </c>
      <c r="J21" s="157">
        <f>(I21/3.6)*1000</f>
        <v>0</v>
      </c>
      <c r="K21" s="157">
        <f>J21/4</f>
        <v>0</v>
      </c>
      <c r="L21" s="157">
        <f t="shared" si="1"/>
        <v>0</v>
      </c>
      <c r="M21" s="157">
        <f>J21*0.75</f>
        <v>0</v>
      </c>
      <c r="N21" s="157">
        <f t="shared" si="2"/>
        <v>7.33</v>
      </c>
      <c r="O21" s="157">
        <f>L21+N21</f>
        <v>7.33</v>
      </c>
      <c r="P21" s="157">
        <f t="shared" si="59"/>
        <v>87.960000000000008</v>
      </c>
      <c r="Q21" s="157">
        <f t="shared" si="60"/>
        <v>-498.93206868461573</v>
      </c>
    </row>
    <row r="22" spans="1:17" s="83" customFormat="1" x14ac:dyDescent="0.25">
      <c r="A22" s="83" t="s">
        <v>779</v>
      </c>
      <c r="B22" s="83">
        <f>B18*1.2</f>
        <v>81.207204545454545</v>
      </c>
      <c r="C22" s="83">
        <f t="shared" ref="C22:F22" si="62">C18*1.2</f>
        <v>33.095999999999997</v>
      </c>
      <c r="D22" s="83">
        <f t="shared" si="62"/>
        <v>364.06799999999998</v>
      </c>
      <c r="E22" s="83">
        <f t="shared" si="62"/>
        <v>269.46325423728814</v>
      </c>
      <c r="F22" s="83">
        <f t="shared" si="62"/>
        <v>747.83445878274256</v>
      </c>
      <c r="G22" s="83">
        <f>MIN(PV!B103*F22,F22)</f>
        <v>710.44273584360542</v>
      </c>
      <c r="H22" s="86">
        <f>F22-G22</f>
        <v>37.391722939137139</v>
      </c>
      <c r="I22" s="157">
        <f t="shared" ref="I22" si="63">H22/600</f>
        <v>6.2319538231895233E-2</v>
      </c>
      <c r="J22" s="157">
        <f>(I22/3.6)*1000</f>
        <v>17.31098284219312</v>
      </c>
      <c r="K22" s="157">
        <f>J22/4</f>
        <v>4.3277457105482799</v>
      </c>
      <c r="L22" s="157">
        <f t="shared" si="1"/>
        <v>0.76682699669226673</v>
      </c>
      <c r="M22" s="157">
        <f>J22*0.75</f>
        <v>12.98323713164484</v>
      </c>
      <c r="N22" s="157">
        <f t="shared" si="2"/>
        <v>7.66168853985954</v>
      </c>
      <c r="O22" s="157">
        <f>L22+N22</f>
        <v>8.4285155365518065</v>
      </c>
      <c r="P22" s="157">
        <f t="shared" ref="P22" si="64">O22*12</f>
        <v>101.14218643862168</v>
      </c>
      <c r="Q22" s="157">
        <f t="shared" ref="Q22" si="65">P22-$P$5</f>
        <v>-485.74988224599406</v>
      </c>
    </row>
    <row r="24" spans="1:17" ht="21" x14ac:dyDescent="0.35">
      <c r="A24" s="60" t="s">
        <v>352</v>
      </c>
    </row>
    <row r="26" spans="1:17" ht="45" customHeight="1" x14ac:dyDescent="0.25">
      <c r="A26" s="176" t="s">
        <v>248</v>
      </c>
      <c r="B26" s="177" t="s">
        <v>141</v>
      </c>
      <c r="C26" s="177"/>
      <c r="D26" s="177"/>
      <c r="E26" s="177"/>
      <c r="F26" s="177" t="s">
        <v>250</v>
      </c>
      <c r="G26" s="177" t="s">
        <v>251</v>
      </c>
      <c r="H26" s="177" t="s">
        <v>331</v>
      </c>
      <c r="I26" s="177" t="s">
        <v>339</v>
      </c>
      <c r="J26" s="177" t="s">
        <v>335</v>
      </c>
      <c r="K26" s="177" t="s">
        <v>350</v>
      </c>
      <c r="L26" s="177" t="s">
        <v>351</v>
      </c>
    </row>
    <row r="27" spans="1:17" ht="45" customHeight="1" x14ac:dyDescent="0.25">
      <c r="A27" s="176"/>
      <c r="B27" s="57" t="s">
        <v>345</v>
      </c>
      <c r="C27" s="57" t="s">
        <v>5</v>
      </c>
      <c r="D27" s="62" t="s">
        <v>123</v>
      </c>
      <c r="E27" s="57" t="s">
        <v>212</v>
      </c>
      <c r="F27" s="177"/>
      <c r="G27" s="177"/>
      <c r="H27" s="177"/>
      <c r="I27" s="177"/>
      <c r="J27" s="177"/>
      <c r="K27" s="177"/>
      <c r="L27" s="177"/>
    </row>
    <row r="28" spans="1:17" x14ac:dyDescent="0.25">
      <c r="A28" t="s">
        <v>1</v>
      </c>
      <c r="B28" s="62">
        <v>0</v>
      </c>
      <c r="C28" s="62">
        <v>654</v>
      </c>
      <c r="D28" s="62">
        <v>219</v>
      </c>
      <c r="E28" s="62">
        <f>SUM(B28:D28)</f>
        <v>873</v>
      </c>
      <c r="F28" s="58">
        <f>E28/600</f>
        <v>1.4550000000000001</v>
      </c>
      <c r="G28" s="58">
        <f>(F28/3.6)*1000</f>
        <v>404.16666666666669</v>
      </c>
      <c r="H28" s="59">
        <f t="shared" ref="H28:H33" si="66">G28*$H$83</f>
        <v>14.145833333333336</v>
      </c>
      <c r="I28" s="59">
        <f t="shared" ref="I28:I33" si="67">(H28*1000)/$H$84</f>
        <v>52.391975308641982</v>
      </c>
      <c r="J28" s="59">
        <f t="shared" ref="J28:J33" si="68">I28*$H$85</f>
        <v>48.268726851851859</v>
      </c>
      <c r="K28" s="59">
        <f>J28*12</f>
        <v>579.22472222222234</v>
      </c>
      <c r="L28" s="59">
        <f t="shared" ref="L28:L33" si="69">K28-$K$28</f>
        <v>0</v>
      </c>
    </row>
    <row r="29" spans="1:17" x14ac:dyDescent="0.25">
      <c r="A29" t="s">
        <v>35</v>
      </c>
      <c r="B29" s="62">
        <v>58.55</v>
      </c>
      <c r="C29" s="62">
        <v>523.16</v>
      </c>
      <c r="D29" s="62">
        <v>219</v>
      </c>
      <c r="E29" s="62">
        <f t="shared" ref="E29:E31" si="70">SUM(B29:D29)</f>
        <v>800.70999999999992</v>
      </c>
      <c r="F29" s="58">
        <f t="shared" ref="F29:F31" si="71">E29/600</f>
        <v>1.3345166666666666</v>
      </c>
      <c r="G29" s="58">
        <f t="shared" ref="G29:G31" si="72">(F29/3.6)*1000</f>
        <v>370.69907407407402</v>
      </c>
      <c r="H29" s="59">
        <f t="shared" si="66"/>
        <v>12.974467592592593</v>
      </c>
      <c r="I29" s="59">
        <f t="shared" si="67"/>
        <v>48.053583676268865</v>
      </c>
      <c r="J29" s="59">
        <f t="shared" si="68"/>
        <v>44.271766640946502</v>
      </c>
      <c r="K29" s="59">
        <f t="shared" ref="K29:K31" si="73">J29*12</f>
        <v>531.261199691358</v>
      </c>
      <c r="L29" s="59">
        <f t="shared" si="69"/>
        <v>-47.963522530864338</v>
      </c>
    </row>
    <row r="30" spans="1:17" x14ac:dyDescent="0.25">
      <c r="A30" t="s">
        <v>3</v>
      </c>
      <c r="B30" s="62">
        <v>0</v>
      </c>
      <c r="C30" s="62">
        <v>654</v>
      </c>
      <c r="D30" s="62">
        <v>175.18</v>
      </c>
      <c r="E30" s="62">
        <f t="shared" si="70"/>
        <v>829.18000000000006</v>
      </c>
      <c r="F30" s="58">
        <f t="shared" si="71"/>
        <v>1.3819666666666668</v>
      </c>
      <c r="G30" s="58">
        <f t="shared" si="72"/>
        <v>383.87962962962962</v>
      </c>
      <c r="H30" s="59">
        <f t="shared" si="66"/>
        <v>13.435787037037038</v>
      </c>
      <c r="I30" s="59">
        <f t="shared" si="67"/>
        <v>49.762174211248293</v>
      </c>
      <c r="J30" s="59">
        <f t="shared" si="68"/>
        <v>45.845891100823053</v>
      </c>
      <c r="K30" s="59">
        <f t="shared" si="73"/>
        <v>550.15069320987664</v>
      </c>
      <c r="L30" s="59">
        <f t="shared" si="69"/>
        <v>-29.074029012345704</v>
      </c>
    </row>
    <row r="31" spans="1:17" x14ac:dyDescent="0.25">
      <c r="A31" t="s">
        <v>6</v>
      </c>
      <c r="B31" s="62">
        <v>0</v>
      </c>
      <c r="C31" s="62">
        <v>567.09</v>
      </c>
      <c r="D31" s="62">
        <v>219</v>
      </c>
      <c r="E31" s="62">
        <f t="shared" si="70"/>
        <v>786.09</v>
      </c>
      <c r="F31" s="58">
        <f t="shared" si="71"/>
        <v>1.3101500000000001</v>
      </c>
      <c r="G31" s="58">
        <f t="shared" si="72"/>
        <v>363.9305555555556</v>
      </c>
      <c r="H31" s="59">
        <f t="shared" si="66"/>
        <v>12.737569444444448</v>
      </c>
      <c r="I31" s="59">
        <f t="shared" si="67"/>
        <v>47.176183127572031</v>
      </c>
      <c r="J31" s="59">
        <f t="shared" si="68"/>
        <v>43.463417515432113</v>
      </c>
      <c r="K31" s="59">
        <f t="shared" si="73"/>
        <v>521.5610101851853</v>
      </c>
      <c r="L31" s="59">
        <f t="shared" si="69"/>
        <v>-57.663712037037044</v>
      </c>
    </row>
    <row r="32" spans="1:17" s="83" customFormat="1" ht="15" customHeight="1" x14ac:dyDescent="0.25">
      <c r="A32" s="83" t="s">
        <v>578</v>
      </c>
      <c r="B32" s="155">
        <v>0</v>
      </c>
      <c r="C32" s="155">
        <v>0</v>
      </c>
      <c r="D32" s="155">
        <v>219</v>
      </c>
      <c r="E32" s="155">
        <f>SUM(B32:D32)</f>
        <v>219</v>
      </c>
      <c r="F32" s="156">
        <f>E32/600</f>
        <v>0.36499999999999999</v>
      </c>
      <c r="G32" s="156">
        <f>(F32/3.6)*1000</f>
        <v>101.38888888888889</v>
      </c>
      <c r="H32" s="157">
        <f t="shared" si="66"/>
        <v>3.5486111111111112</v>
      </c>
      <c r="I32" s="157">
        <f t="shared" si="67"/>
        <v>13.143004115226338</v>
      </c>
      <c r="J32" s="157">
        <f t="shared" si="68"/>
        <v>12.108649691358025</v>
      </c>
      <c r="K32" s="157">
        <f>J32*12</f>
        <v>145.3037962962963</v>
      </c>
      <c r="L32" s="157">
        <f t="shared" si="69"/>
        <v>-433.92092592592604</v>
      </c>
    </row>
    <row r="33" spans="1:12" s="83" customFormat="1" x14ac:dyDescent="0.25">
      <c r="A33" s="83" t="s">
        <v>579</v>
      </c>
      <c r="B33" s="155">
        <v>0</v>
      </c>
      <c r="C33" s="155">
        <v>0</v>
      </c>
      <c r="D33" s="155">
        <v>0</v>
      </c>
      <c r="E33" s="155">
        <f>SUM(B33:D33)</f>
        <v>0</v>
      </c>
      <c r="F33" s="156">
        <f>E33/600</f>
        <v>0</v>
      </c>
      <c r="G33" s="156">
        <f>(F33/3.6)*1000</f>
        <v>0</v>
      </c>
      <c r="H33" s="157">
        <f t="shared" si="66"/>
        <v>0</v>
      </c>
      <c r="I33" s="157">
        <f t="shared" si="67"/>
        <v>0</v>
      </c>
      <c r="J33" s="157">
        <f t="shared" si="68"/>
        <v>0</v>
      </c>
      <c r="K33" s="157">
        <f>J33*12</f>
        <v>0</v>
      </c>
      <c r="L33" s="157">
        <f t="shared" si="69"/>
        <v>-579.22472222222234</v>
      </c>
    </row>
    <row r="36" spans="1:12" ht="15" customHeight="1" x14ac:dyDescent="0.35">
      <c r="A36" s="60"/>
    </row>
    <row r="38" spans="1:12" ht="45" customHeight="1" x14ac:dyDescent="0.25">
      <c r="A38" s="176"/>
      <c r="B38" s="177"/>
      <c r="C38" s="177"/>
      <c r="D38" s="177"/>
      <c r="E38" s="177"/>
      <c r="F38" s="177"/>
      <c r="G38" s="177"/>
    </row>
    <row r="39" spans="1:12" ht="45" customHeight="1" x14ac:dyDescent="0.25">
      <c r="A39" s="176"/>
      <c r="B39" s="177"/>
      <c r="C39" s="177"/>
      <c r="D39" s="177"/>
      <c r="E39" s="177"/>
      <c r="F39" s="177"/>
      <c r="G39" s="177"/>
    </row>
    <row r="40" spans="1:12" x14ac:dyDescent="0.25">
      <c r="B40" s="90"/>
      <c r="C40" s="59"/>
      <c r="D40" s="59"/>
      <c r="E40" s="59"/>
      <c r="F40" s="59"/>
      <c r="G40" s="59"/>
    </row>
    <row r="41" spans="1:12" x14ac:dyDescent="0.25">
      <c r="B41" s="90"/>
      <c r="C41" s="59"/>
      <c r="D41" s="59"/>
      <c r="E41" s="59"/>
      <c r="F41" s="59"/>
      <c r="G41" s="59"/>
    </row>
    <row r="42" spans="1:12" x14ac:dyDescent="0.25">
      <c r="B42" s="90"/>
      <c r="C42" s="59"/>
      <c r="D42" s="59"/>
      <c r="E42" s="59"/>
      <c r="F42" s="59"/>
      <c r="G42" s="59"/>
    </row>
    <row r="43" spans="1:12" x14ac:dyDescent="0.25">
      <c r="B43" s="90"/>
      <c r="C43" s="59"/>
      <c r="D43" s="59"/>
      <c r="E43" s="59"/>
      <c r="F43" s="59"/>
      <c r="G43" s="59"/>
    </row>
    <row r="44" spans="1:12" x14ac:dyDescent="0.25">
      <c r="B44" s="90"/>
      <c r="C44" s="59"/>
      <c r="D44" s="59"/>
      <c r="E44" s="59"/>
      <c r="F44" s="59"/>
      <c r="G44" s="59"/>
    </row>
    <row r="45" spans="1:12" x14ac:dyDescent="0.25">
      <c r="B45" s="90"/>
      <c r="C45" s="59"/>
      <c r="D45" s="59"/>
      <c r="E45" s="59"/>
      <c r="F45" s="59"/>
      <c r="G45" s="59"/>
    </row>
    <row r="46" spans="1:12" x14ac:dyDescent="0.25">
      <c r="B46" s="90"/>
      <c r="C46" s="59"/>
      <c r="D46" s="59"/>
      <c r="E46" s="59"/>
      <c r="F46" s="59"/>
      <c r="G46" s="59"/>
    </row>
    <row r="47" spans="1:12" x14ac:dyDescent="0.25">
      <c r="B47" s="90"/>
      <c r="C47" s="59"/>
      <c r="D47" s="59"/>
      <c r="E47" s="59"/>
      <c r="F47" s="59"/>
      <c r="G47" s="59"/>
    </row>
    <row r="48" spans="1:12" x14ac:dyDescent="0.25">
      <c r="B48" s="90"/>
      <c r="C48" s="59"/>
      <c r="D48" s="59"/>
      <c r="E48" s="59"/>
      <c r="F48" s="59"/>
      <c r="G48" s="59"/>
    </row>
    <row r="52" spans="1:14" x14ac:dyDescent="0.25">
      <c r="A52" s="63" t="s">
        <v>343</v>
      </c>
      <c r="B52" s="64"/>
      <c r="C52" s="64"/>
      <c r="D52" s="64"/>
      <c r="E52" s="64"/>
      <c r="F52" s="64"/>
      <c r="G52" s="64"/>
      <c r="H52" s="64"/>
      <c r="I52" s="64"/>
      <c r="J52" s="64"/>
      <c r="K52" s="64"/>
      <c r="L52" s="64"/>
      <c r="M52" s="64"/>
      <c r="N52" s="64"/>
    </row>
    <row r="53" spans="1:14" x14ac:dyDescent="0.25">
      <c r="A53" s="64" t="s">
        <v>241</v>
      </c>
      <c r="B53" s="64"/>
      <c r="C53" s="64"/>
      <c r="D53" s="64"/>
      <c r="E53" s="64"/>
      <c r="F53" s="64"/>
      <c r="G53" s="64"/>
      <c r="H53" s="64"/>
      <c r="I53" s="64"/>
      <c r="J53" s="64"/>
      <c r="K53" s="64"/>
      <c r="L53" s="64"/>
      <c r="M53" s="64"/>
      <c r="N53" s="64"/>
    </row>
    <row r="54" spans="1:14" x14ac:dyDescent="0.25">
      <c r="A54" s="64" t="s">
        <v>222</v>
      </c>
      <c r="B54" s="65">
        <v>2.5547445255474453E-2</v>
      </c>
      <c r="C54" s="65"/>
      <c r="D54" s="64"/>
      <c r="E54" s="64"/>
      <c r="F54" s="64"/>
      <c r="G54" s="64"/>
      <c r="H54" s="64"/>
      <c r="I54" s="64"/>
      <c r="J54" s="64"/>
      <c r="K54" s="64"/>
      <c r="L54" s="64"/>
      <c r="M54" s="64"/>
      <c r="N54" s="64"/>
    </row>
    <row r="55" spans="1:14" x14ac:dyDescent="0.25">
      <c r="A55" s="64" t="s">
        <v>223</v>
      </c>
      <c r="B55" s="65">
        <v>4.014598540145986E-2</v>
      </c>
      <c r="C55" s="65"/>
      <c r="D55" s="64"/>
      <c r="E55" s="64"/>
      <c r="F55" s="64"/>
      <c r="G55" s="64"/>
      <c r="H55" s="64"/>
      <c r="I55" s="64"/>
      <c r="J55" s="64"/>
      <c r="K55" s="64"/>
      <c r="L55" s="64"/>
      <c r="M55" s="64"/>
      <c r="N55" s="64"/>
    </row>
    <row r="56" spans="1:14" x14ac:dyDescent="0.25">
      <c r="A56" s="64" t="s">
        <v>224</v>
      </c>
      <c r="B56" s="65">
        <v>5.8394160583941604E-2</v>
      </c>
      <c r="C56" s="65"/>
      <c r="D56" s="64"/>
      <c r="E56" s="64"/>
      <c r="F56" s="64"/>
      <c r="G56" s="64"/>
      <c r="H56" s="64"/>
      <c r="I56" s="64"/>
      <c r="J56" s="64"/>
      <c r="K56" s="64"/>
      <c r="L56" s="64"/>
      <c r="M56" s="64"/>
      <c r="N56" s="64"/>
    </row>
    <row r="57" spans="1:14" x14ac:dyDescent="0.25">
      <c r="A57" s="64" t="s">
        <v>225</v>
      </c>
      <c r="B57" s="65">
        <v>8.7591240875912413E-2</v>
      </c>
      <c r="C57" s="65"/>
      <c r="D57" s="64"/>
      <c r="E57" s="64"/>
      <c r="F57" s="64"/>
      <c r="G57" s="64"/>
      <c r="H57" s="64"/>
      <c r="I57" s="64"/>
      <c r="J57" s="64"/>
      <c r="K57" s="64"/>
      <c r="L57" s="64"/>
      <c r="M57" s="64"/>
      <c r="N57" s="64"/>
    </row>
    <row r="58" spans="1:14" x14ac:dyDescent="0.25">
      <c r="A58" s="64" t="s">
        <v>226</v>
      </c>
      <c r="B58" s="65">
        <v>0.14598540145985403</v>
      </c>
      <c r="C58" s="65"/>
      <c r="D58" s="64"/>
      <c r="E58" s="64"/>
      <c r="F58" s="64"/>
      <c r="G58" s="64"/>
      <c r="H58" s="64"/>
      <c r="I58" s="64"/>
      <c r="J58" s="64"/>
      <c r="K58" s="64"/>
      <c r="L58" s="64"/>
      <c r="M58" s="64"/>
      <c r="N58" s="64"/>
    </row>
    <row r="59" spans="1:14" x14ac:dyDescent="0.25">
      <c r="A59" s="64" t="s">
        <v>257</v>
      </c>
      <c r="B59" s="64"/>
      <c r="C59" s="64"/>
      <c r="D59" s="64"/>
      <c r="E59" s="64"/>
      <c r="F59" s="64"/>
      <c r="G59" s="64"/>
      <c r="H59" s="64"/>
      <c r="I59" s="64"/>
      <c r="J59" s="64"/>
      <c r="K59" s="64"/>
      <c r="L59" s="64"/>
      <c r="M59" s="64"/>
      <c r="N59" s="64"/>
    </row>
    <row r="60" spans="1:14" x14ac:dyDescent="0.25">
      <c r="A60" s="64"/>
      <c r="B60" s="64"/>
      <c r="C60" s="64"/>
      <c r="D60" s="64"/>
      <c r="E60" s="64"/>
      <c r="F60" s="64"/>
      <c r="G60" s="64"/>
      <c r="H60" s="64"/>
      <c r="I60" s="64"/>
      <c r="J60" s="64"/>
      <c r="K60" s="64"/>
      <c r="L60" s="64"/>
      <c r="M60" s="64"/>
      <c r="N60" s="64"/>
    </row>
    <row r="61" spans="1:14" x14ac:dyDescent="0.25">
      <c r="A61" s="64" t="s">
        <v>242</v>
      </c>
      <c r="B61" s="64"/>
      <c r="C61" s="64"/>
      <c r="D61" s="64"/>
      <c r="E61" s="64"/>
      <c r="F61" s="64"/>
      <c r="G61" s="64"/>
      <c r="H61" s="64"/>
      <c r="I61" s="64"/>
      <c r="J61" s="64"/>
      <c r="K61" s="64"/>
      <c r="L61" s="64"/>
      <c r="M61" s="64"/>
      <c r="N61" s="64"/>
    </row>
    <row r="62" spans="1:14" x14ac:dyDescent="0.25">
      <c r="A62" s="64" t="s">
        <v>243</v>
      </c>
      <c r="B62" s="64"/>
      <c r="C62" s="64"/>
      <c r="D62" s="64"/>
      <c r="E62" s="64"/>
      <c r="F62" s="64"/>
      <c r="G62" s="64"/>
      <c r="H62" s="64"/>
      <c r="I62" s="64"/>
      <c r="J62" s="64"/>
      <c r="K62" s="64"/>
      <c r="L62" s="64"/>
      <c r="M62" s="64"/>
      <c r="N62" s="64"/>
    </row>
    <row r="63" spans="1:14" x14ac:dyDescent="0.25">
      <c r="A63" s="64" t="s">
        <v>244</v>
      </c>
      <c r="B63" s="64"/>
      <c r="C63" s="64"/>
      <c r="D63" s="64"/>
      <c r="E63" s="64"/>
      <c r="F63" s="64"/>
      <c r="G63" s="64"/>
      <c r="H63" s="64"/>
      <c r="I63" s="64"/>
      <c r="J63" s="64"/>
      <c r="K63" s="64"/>
      <c r="L63" s="64"/>
      <c r="M63" s="64"/>
      <c r="N63" s="64"/>
    </row>
    <row r="64" spans="1:14" x14ac:dyDescent="0.25">
      <c r="A64" s="64"/>
      <c r="B64" s="64"/>
      <c r="C64" s="64"/>
      <c r="D64" s="64"/>
      <c r="E64" s="64"/>
      <c r="F64" s="64"/>
      <c r="G64" s="64"/>
      <c r="H64" s="64"/>
      <c r="I64" s="64"/>
      <c r="J64" s="64"/>
      <c r="K64" s="64"/>
      <c r="L64" s="64"/>
      <c r="M64" s="64"/>
      <c r="N64" s="64"/>
    </row>
    <row r="65" spans="1:14" x14ac:dyDescent="0.25">
      <c r="A65" s="64"/>
      <c r="B65" s="64">
        <v>2014</v>
      </c>
      <c r="C65" s="64">
        <v>2015</v>
      </c>
      <c r="D65" s="64">
        <v>2016</v>
      </c>
      <c r="E65" s="64">
        <v>2017</v>
      </c>
      <c r="F65" s="64">
        <v>2018</v>
      </c>
      <c r="G65" s="64">
        <v>2019</v>
      </c>
      <c r="H65" s="64"/>
      <c r="I65" s="64"/>
      <c r="J65" s="64"/>
      <c r="K65" s="64"/>
      <c r="L65" s="64"/>
      <c r="M65" s="64"/>
      <c r="N65" s="64"/>
    </row>
    <row r="66" spans="1:14" x14ac:dyDescent="0.25">
      <c r="A66" s="102" t="s">
        <v>401</v>
      </c>
      <c r="B66" s="64">
        <v>66</v>
      </c>
      <c r="C66" s="64">
        <v>62</v>
      </c>
      <c r="D66" s="64">
        <v>53</v>
      </c>
      <c r="E66" s="64">
        <v>46</v>
      </c>
      <c r="F66" s="64">
        <v>70</v>
      </c>
      <c r="G66" s="64">
        <v>25</v>
      </c>
      <c r="H66" s="64"/>
      <c r="I66" s="64"/>
      <c r="J66" s="64"/>
      <c r="K66" s="64"/>
      <c r="L66" s="64"/>
      <c r="M66" s="64"/>
      <c r="N66" s="64"/>
    </row>
    <row r="67" spans="1:14" x14ac:dyDescent="0.25">
      <c r="A67" s="102" t="s">
        <v>402</v>
      </c>
      <c r="B67" s="64">
        <v>67</v>
      </c>
      <c r="C67" s="64">
        <v>62</v>
      </c>
      <c r="D67" s="64">
        <v>37</v>
      </c>
      <c r="E67" s="64">
        <v>42</v>
      </c>
      <c r="F67" s="64">
        <v>33</v>
      </c>
      <c r="G67" s="64">
        <v>46</v>
      </c>
      <c r="H67" s="64"/>
      <c r="I67" s="64"/>
      <c r="J67" s="64"/>
      <c r="K67" s="64"/>
      <c r="L67" s="64"/>
      <c r="M67" s="64"/>
      <c r="N67" s="64"/>
    </row>
    <row r="68" spans="1:14" x14ac:dyDescent="0.25">
      <c r="A68" s="102" t="s">
        <v>403</v>
      </c>
      <c r="B68" s="64">
        <v>67</v>
      </c>
      <c r="C68" s="64">
        <v>45</v>
      </c>
      <c r="D68" s="64">
        <v>33</v>
      </c>
      <c r="E68" s="64">
        <v>16</v>
      </c>
      <c r="F68" s="64">
        <v>27</v>
      </c>
      <c r="G68" s="64">
        <v>27</v>
      </c>
      <c r="H68" s="64"/>
      <c r="I68" s="64"/>
      <c r="J68" s="64"/>
      <c r="K68" s="64"/>
      <c r="L68" s="64"/>
      <c r="M68" s="64"/>
      <c r="N68" s="64"/>
    </row>
    <row r="69" spans="1:14" x14ac:dyDescent="0.25">
      <c r="A69" s="102" t="s">
        <v>404</v>
      </c>
      <c r="B69" s="64">
        <v>47</v>
      </c>
      <c r="C69" s="64">
        <v>45</v>
      </c>
      <c r="D69" s="64">
        <v>30</v>
      </c>
      <c r="E69" s="64">
        <v>17</v>
      </c>
      <c r="F69" s="64">
        <v>30</v>
      </c>
      <c r="G69" s="64">
        <v>24</v>
      </c>
      <c r="H69" s="64"/>
      <c r="I69" s="64"/>
      <c r="J69" s="64"/>
      <c r="K69" s="64"/>
      <c r="L69" s="64"/>
      <c r="M69" s="64"/>
      <c r="N69" s="64"/>
    </row>
    <row r="70" spans="1:14" x14ac:dyDescent="0.25">
      <c r="A70" s="102" t="s">
        <v>405</v>
      </c>
      <c r="B70" s="64">
        <v>47</v>
      </c>
      <c r="C70" s="64">
        <v>50</v>
      </c>
      <c r="D70" s="64">
        <v>30</v>
      </c>
      <c r="E70" s="64">
        <v>25</v>
      </c>
      <c r="F70" s="64">
        <v>63</v>
      </c>
      <c r="G70" s="64">
        <v>47</v>
      </c>
      <c r="H70" s="64"/>
      <c r="I70" s="64"/>
      <c r="J70" s="64"/>
      <c r="K70" s="64"/>
      <c r="L70" s="64"/>
      <c r="M70" s="64"/>
      <c r="N70" s="64"/>
    </row>
    <row r="71" spans="1:14" x14ac:dyDescent="0.25">
      <c r="A71" s="102" t="s">
        <v>406</v>
      </c>
      <c r="B71" s="64">
        <v>84</v>
      </c>
      <c r="C71" s="64">
        <v>50</v>
      </c>
      <c r="D71" s="64">
        <v>44</v>
      </c>
      <c r="E71" s="64">
        <v>20</v>
      </c>
      <c r="F71" s="64">
        <v>61</v>
      </c>
      <c r="G71" s="64">
        <v>50</v>
      </c>
      <c r="H71" s="64"/>
      <c r="I71" s="64"/>
      <c r="J71" s="64"/>
      <c r="K71" s="64"/>
      <c r="L71" s="64"/>
      <c r="M71" s="64"/>
      <c r="N71" s="64"/>
    </row>
    <row r="72" spans="1:14" x14ac:dyDescent="0.25">
      <c r="A72" s="102" t="s">
        <v>407</v>
      </c>
      <c r="B72" s="64">
        <v>93</v>
      </c>
      <c r="C72" s="64">
        <v>73</v>
      </c>
      <c r="D72" s="64">
        <v>54</v>
      </c>
      <c r="E72" s="64">
        <v>28</v>
      </c>
      <c r="F72" s="64">
        <v>64</v>
      </c>
      <c r="G72" s="64">
        <v>47</v>
      </c>
      <c r="H72" s="64"/>
      <c r="I72" s="64"/>
      <c r="J72" s="64"/>
      <c r="K72" s="64"/>
      <c r="L72" s="64"/>
      <c r="M72" s="64"/>
      <c r="N72" s="64"/>
    </row>
    <row r="73" spans="1:14" x14ac:dyDescent="0.25">
      <c r="A73" s="102" t="s">
        <v>408</v>
      </c>
      <c r="B73" s="64">
        <v>97</v>
      </c>
      <c r="C73" s="64">
        <v>70</v>
      </c>
      <c r="D73" s="64">
        <v>63</v>
      </c>
      <c r="E73" s="64">
        <v>30</v>
      </c>
      <c r="F73" s="64">
        <v>50</v>
      </c>
      <c r="G73" s="64">
        <v>53</v>
      </c>
      <c r="H73" s="64"/>
      <c r="I73" s="64"/>
      <c r="J73" s="64"/>
      <c r="K73" s="64"/>
      <c r="L73" s="64"/>
      <c r="M73" s="64"/>
      <c r="N73" s="64"/>
    </row>
    <row r="74" spans="1:14" x14ac:dyDescent="0.25">
      <c r="A74" s="102" t="s">
        <v>409</v>
      </c>
      <c r="B74" s="64">
        <v>90</v>
      </c>
      <c r="C74" s="64">
        <v>79</v>
      </c>
      <c r="D74" s="64">
        <v>43</v>
      </c>
      <c r="E74" s="64">
        <v>20</v>
      </c>
      <c r="F74" s="64">
        <v>30</v>
      </c>
      <c r="G74" s="64">
        <v>26</v>
      </c>
      <c r="H74" s="64"/>
      <c r="I74" s="64"/>
      <c r="J74" s="64"/>
      <c r="K74" s="64"/>
      <c r="L74" s="64"/>
      <c r="M74" s="64"/>
      <c r="N74" s="64"/>
    </row>
    <row r="75" spans="1:14" x14ac:dyDescent="0.25">
      <c r="A75" s="102" t="s">
        <v>410</v>
      </c>
      <c r="B75" s="64">
        <v>90</v>
      </c>
      <c r="C75" s="64">
        <v>54</v>
      </c>
      <c r="D75" s="64">
        <v>40</v>
      </c>
      <c r="E75" s="64">
        <v>23</v>
      </c>
      <c r="F75" s="64">
        <v>25</v>
      </c>
      <c r="G75" s="64">
        <v>22</v>
      </c>
      <c r="H75" s="64"/>
      <c r="I75" s="64"/>
      <c r="J75" s="64"/>
      <c r="K75" s="64"/>
      <c r="L75" s="64"/>
      <c r="M75" s="64"/>
      <c r="N75" s="64"/>
    </row>
    <row r="76" spans="1:14" x14ac:dyDescent="0.25">
      <c r="A76" s="102" t="s">
        <v>411</v>
      </c>
      <c r="B76" s="64">
        <v>66</v>
      </c>
      <c r="C76" s="64">
        <v>40</v>
      </c>
      <c r="D76" s="64">
        <v>40</v>
      </c>
      <c r="E76" s="64">
        <v>40</v>
      </c>
      <c r="F76" s="64">
        <v>22</v>
      </c>
      <c r="G76" s="64">
        <v>30</v>
      </c>
      <c r="H76" s="64"/>
      <c r="I76" s="64"/>
      <c r="J76" s="64"/>
      <c r="K76" s="64"/>
      <c r="L76" s="64"/>
      <c r="M76" s="64"/>
      <c r="N76" s="64"/>
    </row>
    <row r="77" spans="1:14" x14ac:dyDescent="0.25">
      <c r="A77" s="102" t="s">
        <v>412</v>
      </c>
      <c r="B77" s="64">
        <v>57</v>
      </c>
      <c r="C77" s="64">
        <v>46</v>
      </c>
      <c r="D77" s="64">
        <v>57</v>
      </c>
      <c r="E77" s="64">
        <v>40</v>
      </c>
      <c r="F77" s="64">
        <v>25</v>
      </c>
      <c r="G77" s="64">
        <v>53</v>
      </c>
      <c r="H77" s="64"/>
      <c r="I77" s="64"/>
      <c r="J77" s="64"/>
      <c r="K77" s="64"/>
      <c r="L77" s="64"/>
      <c r="M77" s="64"/>
      <c r="N77" s="64"/>
    </row>
    <row r="78" spans="1:14" x14ac:dyDescent="0.25">
      <c r="A78" s="66" t="s">
        <v>238</v>
      </c>
      <c r="B78" s="67">
        <f>AVERAGE(B66:B77)</f>
        <v>72.583333333333329</v>
      </c>
      <c r="C78" s="67">
        <f t="shared" ref="C78:D78" si="74">AVERAGE(C66:C77)</f>
        <v>56.333333333333336</v>
      </c>
      <c r="D78" s="67">
        <f t="shared" si="74"/>
        <v>43.666666666666664</v>
      </c>
      <c r="E78" s="67">
        <f t="shared" ref="E78" si="75">AVERAGE(E66:E77)</f>
        <v>28.916666666666668</v>
      </c>
      <c r="F78" s="67">
        <f t="shared" ref="F78" si="76">AVERAGE(F66:F77)</f>
        <v>41.666666666666664</v>
      </c>
      <c r="G78" s="67">
        <f t="shared" ref="G78" si="77">AVERAGE(G66:G77)</f>
        <v>37.5</v>
      </c>
      <c r="H78" s="64"/>
      <c r="I78" s="64"/>
      <c r="J78" s="64"/>
      <c r="K78" s="64"/>
      <c r="L78" s="64"/>
      <c r="M78" s="64"/>
      <c r="N78" s="64"/>
    </row>
    <row r="79" spans="1:14" x14ac:dyDescent="0.25">
      <c r="A79" s="66" t="s">
        <v>413</v>
      </c>
      <c r="B79" s="128">
        <f>AVERAGE(B78:G78)</f>
        <v>46.777777777777771</v>
      </c>
      <c r="C79" s="64"/>
      <c r="D79" s="64"/>
      <c r="E79" s="64"/>
      <c r="F79" s="64"/>
      <c r="G79" s="64"/>
      <c r="H79" s="64"/>
      <c r="I79" s="64"/>
      <c r="J79" s="64"/>
      <c r="K79" s="64"/>
      <c r="L79" s="64"/>
      <c r="M79" s="64"/>
      <c r="N79" s="64"/>
    </row>
    <row r="80" spans="1:14" x14ac:dyDescent="0.25">
      <c r="A80" s="66" t="s">
        <v>239</v>
      </c>
      <c r="B80" s="65">
        <f>B79/264</f>
        <v>0.17718855218855217</v>
      </c>
      <c r="C80" s="64"/>
      <c r="D80" s="64"/>
      <c r="E80" s="64"/>
      <c r="F80" s="64"/>
      <c r="G80" s="64"/>
      <c r="H80" s="64"/>
      <c r="I80" s="64"/>
      <c r="J80" s="64"/>
      <c r="K80" s="64"/>
      <c r="L80" s="64"/>
      <c r="M80" s="64"/>
      <c r="N80" s="64"/>
    </row>
    <row r="82" spans="1:18" x14ac:dyDescent="0.25">
      <c r="A82" s="68" t="s">
        <v>353</v>
      </c>
      <c r="B82" s="69"/>
      <c r="C82" s="69"/>
      <c r="D82" s="69"/>
      <c r="E82" s="69"/>
      <c r="F82" s="69"/>
      <c r="G82" s="69"/>
      <c r="H82" s="69"/>
      <c r="I82" s="69"/>
      <c r="J82" s="69"/>
      <c r="K82" s="69"/>
      <c r="L82" s="69"/>
      <c r="M82" s="69"/>
      <c r="N82" s="69"/>
    </row>
    <row r="83" spans="1:18" x14ac:dyDescent="0.25">
      <c r="A83" s="69" t="s">
        <v>333</v>
      </c>
      <c r="B83" s="69"/>
      <c r="C83" s="69"/>
      <c r="D83" s="69"/>
      <c r="E83" s="69"/>
      <c r="F83" s="69"/>
      <c r="G83" s="69"/>
      <c r="H83" s="69">
        <v>3.5000000000000003E-2</v>
      </c>
      <c r="I83" s="69" t="s">
        <v>332</v>
      </c>
      <c r="J83" s="69" t="s">
        <v>334</v>
      </c>
      <c r="K83" s="69"/>
      <c r="L83" s="69"/>
      <c r="M83" s="69"/>
      <c r="N83" s="69"/>
    </row>
    <row r="84" spans="1:18" x14ac:dyDescent="0.25">
      <c r="A84" s="69" t="s">
        <v>336</v>
      </c>
      <c r="B84" s="69"/>
      <c r="C84" s="69"/>
      <c r="D84" s="69"/>
      <c r="E84" s="69"/>
      <c r="F84" s="69"/>
      <c r="G84" s="69"/>
      <c r="H84" s="69">
        <v>270</v>
      </c>
      <c r="I84" s="69" t="s">
        <v>338</v>
      </c>
      <c r="J84" s="69" t="s">
        <v>337</v>
      </c>
      <c r="K84" s="69"/>
      <c r="L84" s="69"/>
      <c r="M84" s="69"/>
      <c r="N84" s="69"/>
    </row>
    <row r="85" spans="1:18" x14ac:dyDescent="0.25">
      <c r="A85" s="69" t="s">
        <v>217</v>
      </c>
      <c r="B85" s="69"/>
      <c r="C85" s="69"/>
      <c r="D85" s="69"/>
      <c r="E85" s="69"/>
      <c r="F85" s="69"/>
      <c r="G85" s="69"/>
      <c r="H85" s="69">
        <f>0.83*1.11</f>
        <v>0.92130000000000001</v>
      </c>
      <c r="I85" s="69" t="s">
        <v>218</v>
      </c>
      <c r="J85" s="69"/>
      <c r="K85" s="69"/>
      <c r="L85" s="69"/>
      <c r="M85" s="69"/>
      <c r="N85" s="69"/>
    </row>
    <row r="87" spans="1:18" x14ac:dyDescent="0.25">
      <c r="A87" s="89" t="s">
        <v>368</v>
      </c>
      <c r="B87" s="82"/>
      <c r="C87" s="82"/>
      <c r="D87" s="82"/>
      <c r="E87" s="82"/>
      <c r="F87" s="82"/>
      <c r="G87" s="82"/>
      <c r="H87" s="82"/>
      <c r="I87" s="82"/>
      <c r="J87" s="82"/>
      <c r="K87" s="82"/>
      <c r="L87" s="82"/>
      <c r="M87" s="82"/>
      <c r="N87" s="82"/>
      <c r="O87" s="82"/>
      <c r="P87" s="82"/>
      <c r="Q87" s="82"/>
      <c r="R87" s="82"/>
    </row>
    <row r="88" spans="1:18" x14ac:dyDescent="0.25">
      <c r="A88" s="82" t="s">
        <v>369</v>
      </c>
      <c r="B88" s="82"/>
      <c r="C88" s="82"/>
      <c r="D88" s="82"/>
      <c r="E88" s="82"/>
      <c r="F88" s="82"/>
      <c r="G88" s="82"/>
      <c r="H88" s="82"/>
      <c r="I88" s="82"/>
      <c r="J88" s="82"/>
      <c r="K88" s="82"/>
      <c r="L88" s="82">
        <v>3.4200000000000001E-2</v>
      </c>
      <c r="M88" s="82" t="s">
        <v>372</v>
      </c>
      <c r="N88" s="82"/>
      <c r="O88" s="82"/>
      <c r="P88" s="82"/>
      <c r="Q88" s="82"/>
      <c r="R88" s="82"/>
    </row>
    <row r="89" spans="1:18" x14ac:dyDescent="0.25">
      <c r="A89" s="82" t="s">
        <v>370</v>
      </c>
      <c r="B89" s="82"/>
      <c r="C89" s="82"/>
      <c r="D89" s="82"/>
      <c r="E89" s="82"/>
      <c r="F89" s="82"/>
      <c r="G89" s="82"/>
      <c r="H89" s="82"/>
      <c r="I89" s="82"/>
      <c r="J89" s="82"/>
      <c r="K89" s="82"/>
      <c r="L89" s="82">
        <v>0.89</v>
      </c>
      <c r="M89" s="82" t="s">
        <v>218</v>
      </c>
      <c r="N89" s="82" t="s">
        <v>371</v>
      </c>
      <c r="O89" s="82"/>
      <c r="P89" s="82"/>
      <c r="Q89" s="82"/>
      <c r="R89" s="82"/>
    </row>
    <row r="90" spans="1:18" ht="15" customHeight="1" x14ac:dyDescent="0.25"/>
    <row r="92" spans="1:18" x14ac:dyDescent="0.25">
      <c r="A92" s="98" t="s">
        <v>386</v>
      </c>
      <c r="B92" s="94"/>
      <c r="C92" s="94"/>
      <c r="D92" s="94"/>
      <c r="E92" s="94"/>
      <c r="F92" s="94"/>
    </row>
    <row r="93" spans="1:18" ht="105" x14ac:dyDescent="0.25">
      <c r="A93" s="99" t="s">
        <v>85</v>
      </c>
      <c r="B93" s="99" t="s">
        <v>17</v>
      </c>
      <c r="C93" s="99" t="s">
        <v>394</v>
      </c>
      <c r="D93" s="99" t="s">
        <v>397</v>
      </c>
      <c r="E93" s="99" t="s">
        <v>387</v>
      </c>
      <c r="F93" s="99" t="s">
        <v>388</v>
      </c>
    </row>
    <row r="94" spans="1:18" ht="90" x14ac:dyDescent="0.25">
      <c r="A94" s="100">
        <v>1</v>
      </c>
      <c r="B94" s="99" t="s">
        <v>389</v>
      </c>
      <c r="C94" s="100">
        <v>1.4</v>
      </c>
      <c r="D94" s="100">
        <f>C94*100</f>
        <v>140</v>
      </c>
      <c r="E94" s="100">
        <v>3.5999999999999997E-2</v>
      </c>
      <c r="F94" s="99" t="s">
        <v>393</v>
      </c>
    </row>
    <row r="95" spans="1:18" ht="60" x14ac:dyDescent="0.25">
      <c r="A95" s="100">
        <v>2</v>
      </c>
      <c r="B95" s="100" t="s">
        <v>390</v>
      </c>
      <c r="C95" s="100">
        <v>1</v>
      </c>
      <c r="D95" s="100">
        <f t="shared" ref="D95:D97" si="78">C95*100</f>
        <v>100</v>
      </c>
      <c r="E95" s="100">
        <v>3.5999999999999997E-2</v>
      </c>
      <c r="F95" s="99" t="s">
        <v>395</v>
      </c>
    </row>
    <row r="96" spans="1:18" ht="90" x14ac:dyDescent="0.25">
      <c r="A96" s="100">
        <v>3</v>
      </c>
      <c r="B96" s="100" t="s">
        <v>391</v>
      </c>
      <c r="C96" s="100">
        <v>7.3</v>
      </c>
      <c r="D96" s="100">
        <f t="shared" si="78"/>
        <v>730</v>
      </c>
      <c r="E96" s="100">
        <v>3.6999999999999998E-2</v>
      </c>
      <c r="F96" s="99" t="s">
        <v>396</v>
      </c>
    </row>
    <row r="97" spans="1:6" x14ac:dyDescent="0.25">
      <c r="A97" s="100">
        <v>4</v>
      </c>
      <c r="B97" s="100" t="s">
        <v>392</v>
      </c>
      <c r="C97" s="100">
        <v>12.95</v>
      </c>
      <c r="D97" s="100">
        <f t="shared" si="78"/>
        <v>1295</v>
      </c>
      <c r="E97" s="100">
        <v>0.08</v>
      </c>
      <c r="F97" s="100"/>
    </row>
  </sheetData>
  <mergeCells count="27">
    <mergeCell ref="A3:A4"/>
    <mergeCell ref="B3:H3"/>
    <mergeCell ref="I3:I4"/>
    <mergeCell ref="J3:J4"/>
    <mergeCell ref="K3:K4"/>
    <mergeCell ref="A26:A27"/>
    <mergeCell ref="F26:F27"/>
    <mergeCell ref="G26:G27"/>
    <mergeCell ref="B26:E26"/>
    <mergeCell ref="H26:H27"/>
    <mergeCell ref="G38:G39"/>
    <mergeCell ref="B38:B39"/>
    <mergeCell ref="P3:P4"/>
    <mergeCell ref="Q3:Q4"/>
    <mergeCell ref="I26:I27"/>
    <mergeCell ref="J26:J27"/>
    <mergeCell ref="K26:K27"/>
    <mergeCell ref="L26:L27"/>
    <mergeCell ref="L3:L4"/>
    <mergeCell ref="M3:M4"/>
    <mergeCell ref="N3:N4"/>
    <mergeCell ref="O3:O4"/>
    <mergeCell ref="A38:A39"/>
    <mergeCell ref="C38:C39"/>
    <mergeCell ref="D38:D39"/>
    <mergeCell ref="E38:E39"/>
    <mergeCell ref="F38:F39"/>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BB194"/>
  <sheetViews>
    <sheetView zoomScale="89" zoomScaleNormal="89" workbookViewId="0">
      <selection activeCell="A31" sqref="A31:A38"/>
    </sheetView>
  </sheetViews>
  <sheetFormatPr defaultRowHeight="15" x14ac:dyDescent="0.25"/>
  <cols>
    <col min="1" max="1" width="25.42578125" style="61" customWidth="1"/>
    <col min="2" max="2" width="41.42578125" bestFit="1" customWidth="1"/>
    <col min="3" max="3" width="14.28515625" style="56" bestFit="1" customWidth="1"/>
    <col min="4" max="54" width="8.7109375" customWidth="1"/>
  </cols>
  <sheetData>
    <row r="1" spans="1:54" x14ac:dyDescent="0.25">
      <c r="A1" t="s">
        <v>15</v>
      </c>
      <c r="C1" s="70">
        <v>3.9E-2</v>
      </c>
      <c r="D1" s="71"/>
      <c r="E1" s="71"/>
    </row>
    <row r="2" spans="1:54" x14ac:dyDescent="0.25">
      <c r="A2" t="s">
        <v>354</v>
      </c>
      <c r="C2" s="70">
        <v>0.122</v>
      </c>
      <c r="E2" s="71"/>
    </row>
    <row r="3" spans="1:54" x14ac:dyDescent="0.25">
      <c r="A3" t="s">
        <v>376</v>
      </c>
      <c r="C3" s="70">
        <v>3.9E-2</v>
      </c>
      <c r="E3" s="71"/>
    </row>
    <row r="4" spans="1:54" x14ac:dyDescent="0.25">
      <c r="A4"/>
      <c r="C4" s="70"/>
      <c r="E4" s="71"/>
    </row>
    <row r="5" spans="1:54" x14ac:dyDescent="0.25">
      <c r="A5" s="44" t="s">
        <v>555</v>
      </c>
      <c r="C5" s="70"/>
      <c r="E5" s="71"/>
    </row>
    <row r="6" spans="1:54" x14ac:dyDescent="0.25">
      <c r="A6" s="61" t="s">
        <v>248</v>
      </c>
      <c r="B6" t="s">
        <v>355</v>
      </c>
      <c r="C6" s="119"/>
      <c r="D6">
        <v>0</v>
      </c>
      <c r="E6">
        <v>1</v>
      </c>
      <c r="F6">
        <v>2</v>
      </c>
      <c r="G6">
        <v>3</v>
      </c>
      <c r="H6">
        <v>4</v>
      </c>
      <c r="I6">
        <v>5</v>
      </c>
      <c r="J6">
        <v>6</v>
      </c>
      <c r="K6">
        <v>7</v>
      </c>
      <c r="L6">
        <v>8</v>
      </c>
      <c r="M6">
        <v>9</v>
      </c>
      <c r="N6">
        <v>10</v>
      </c>
      <c r="O6">
        <v>11</v>
      </c>
      <c r="P6">
        <v>12</v>
      </c>
      <c r="Q6">
        <v>13</v>
      </c>
      <c r="R6">
        <v>14</v>
      </c>
      <c r="S6">
        <v>15</v>
      </c>
      <c r="T6">
        <v>16</v>
      </c>
      <c r="U6">
        <v>17</v>
      </c>
      <c r="V6">
        <v>18</v>
      </c>
      <c r="W6">
        <v>19</v>
      </c>
      <c r="X6">
        <v>20</v>
      </c>
      <c r="Y6">
        <v>21</v>
      </c>
      <c r="Z6">
        <v>22</v>
      </c>
      <c r="AA6">
        <v>23</v>
      </c>
      <c r="AB6">
        <v>24</v>
      </c>
      <c r="AC6">
        <v>25</v>
      </c>
      <c r="AD6">
        <v>26</v>
      </c>
      <c r="AE6">
        <v>27</v>
      </c>
      <c r="AF6">
        <v>28</v>
      </c>
      <c r="AG6">
        <v>29</v>
      </c>
      <c r="AH6">
        <v>30</v>
      </c>
      <c r="AI6">
        <v>31</v>
      </c>
      <c r="AJ6">
        <v>32</v>
      </c>
      <c r="AK6">
        <v>33</v>
      </c>
      <c r="AL6">
        <v>34</v>
      </c>
      <c r="AM6">
        <v>35</v>
      </c>
      <c r="AN6">
        <v>36</v>
      </c>
      <c r="AO6">
        <v>37</v>
      </c>
      <c r="AP6">
        <v>38</v>
      </c>
      <c r="AQ6">
        <v>39</v>
      </c>
      <c r="AR6">
        <v>40</v>
      </c>
      <c r="AS6">
        <v>41</v>
      </c>
      <c r="AT6">
        <v>42</v>
      </c>
      <c r="AU6">
        <v>43</v>
      </c>
      <c r="AV6">
        <v>44</v>
      </c>
      <c r="AW6">
        <v>45</v>
      </c>
      <c r="AX6">
        <v>46</v>
      </c>
      <c r="AY6">
        <v>47</v>
      </c>
      <c r="AZ6">
        <v>48</v>
      </c>
      <c r="BA6">
        <v>49</v>
      </c>
      <c r="BB6">
        <v>50</v>
      </c>
    </row>
    <row r="7" spans="1:54" s="76" customFormat="1" x14ac:dyDescent="0.25">
      <c r="A7" s="180" t="s">
        <v>35</v>
      </c>
      <c r="B7" s="76" t="s">
        <v>363</v>
      </c>
      <c r="C7" s="77" t="s">
        <v>362</v>
      </c>
      <c r="D7" s="76">
        <f>-SOLAR_COLL!$B$25</f>
        <v>-2050</v>
      </c>
      <c r="E7" s="76">
        <v>0</v>
      </c>
      <c r="F7" s="76">
        <v>0</v>
      </c>
      <c r="G7" s="76">
        <v>0</v>
      </c>
      <c r="H7" s="76">
        <v>0</v>
      </c>
      <c r="I7" s="76">
        <v>0</v>
      </c>
      <c r="J7" s="76">
        <v>0</v>
      </c>
      <c r="K7" s="76">
        <v>0</v>
      </c>
      <c r="L7" s="76">
        <v>0</v>
      </c>
      <c r="M7" s="76">
        <v>0</v>
      </c>
      <c r="N7" s="76">
        <v>0</v>
      </c>
      <c r="O7" s="76">
        <v>0</v>
      </c>
      <c r="P7" s="76">
        <v>0</v>
      </c>
      <c r="Q7" s="76">
        <v>0</v>
      </c>
      <c r="R7" s="76">
        <v>0</v>
      </c>
      <c r="S7" s="76">
        <v>0</v>
      </c>
      <c r="T7" s="76">
        <v>0</v>
      </c>
      <c r="U7" s="76">
        <v>0</v>
      </c>
      <c r="V7" s="76">
        <v>0</v>
      </c>
      <c r="W7" s="76">
        <v>0</v>
      </c>
      <c r="X7" s="76">
        <v>0</v>
      </c>
      <c r="Y7" s="76">
        <v>0</v>
      </c>
      <c r="Z7" s="76">
        <v>0</v>
      </c>
      <c r="AA7" s="76">
        <v>0</v>
      </c>
      <c r="AB7" s="76">
        <v>0</v>
      </c>
      <c r="AC7" s="76">
        <f>-SOLAR_COLL!$B$36*(1+$C$1)^AC6</f>
        <v>-4814.6022818616584</v>
      </c>
      <c r="AD7" s="76">
        <v>0</v>
      </c>
      <c r="AE7" s="76">
        <v>0</v>
      </c>
      <c r="AF7" s="76">
        <v>0</v>
      </c>
      <c r="AG7" s="76">
        <v>0</v>
      </c>
      <c r="AH7" s="76">
        <v>0</v>
      </c>
      <c r="AI7" s="76">
        <v>0</v>
      </c>
      <c r="AJ7" s="76">
        <v>0</v>
      </c>
      <c r="AK7" s="76">
        <v>0</v>
      </c>
      <c r="AL7" s="76">
        <v>0</v>
      </c>
      <c r="AM7" s="76">
        <v>0</v>
      </c>
      <c r="AN7" s="76">
        <v>0</v>
      </c>
      <c r="AO7" s="76">
        <v>0</v>
      </c>
      <c r="AP7" s="76">
        <v>0</v>
      </c>
      <c r="AQ7" s="76">
        <v>0</v>
      </c>
      <c r="AR7" s="76">
        <v>0</v>
      </c>
      <c r="AS7" s="76">
        <v>0</v>
      </c>
      <c r="AT7" s="76">
        <v>0</v>
      </c>
      <c r="AU7" s="76">
        <v>0</v>
      </c>
      <c r="AV7" s="76">
        <v>0</v>
      </c>
      <c r="AW7" s="76">
        <v>0</v>
      </c>
      <c r="AX7" s="76">
        <v>0</v>
      </c>
      <c r="AY7" s="76">
        <v>0</v>
      </c>
      <c r="AZ7" s="76">
        <v>0</v>
      </c>
      <c r="BA7" s="76">
        <v>0</v>
      </c>
      <c r="BB7" s="76">
        <v>0</v>
      </c>
    </row>
    <row r="8" spans="1:54" s="76" customFormat="1" x14ac:dyDescent="0.25">
      <c r="A8" s="180"/>
      <c r="B8" s="76" t="s">
        <v>356</v>
      </c>
      <c r="C8" s="77" t="s">
        <v>362</v>
      </c>
      <c r="D8" s="76">
        <v>0</v>
      </c>
      <c r="E8" s="78">
        <f>ABS('Annual Calculations'!$Q$6)*(1+$C$3)^E$6</f>
        <v>255.05584940510809</v>
      </c>
      <c r="F8" s="78">
        <f>ABS('Annual Calculations'!$Q$6)*(1+$C$3)^F$6</f>
        <v>265.00302753190726</v>
      </c>
      <c r="G8" s="78">
        <f>ABS('Annual Calculations'!$Q$6)*(1+$C$3)^G$6</f>
        <v>275.33814560565162</v>
      </c>
      <c r="H8" s="78">
        <f>ABS('Annual Calculations'!$Q$6)*(1+$C$3)^H$6</f>
        <v>286.07633328427193</v>
      </c>
      <c r="I8" s="78">
        <f>ABS('Annual Calculations'!$Q$6)*(1+$C$3)^I$6</f>
        <v>297.23331028235856</v>
      </c>
      <c r="J8" s="78">
        <f>ABS('Annual Calculations'!$Q$6)*(1+$C$3)^J$6</f>
        <v>308.82540938337047</v>
      </c>
      <c r="K8" s="78">
        <f>ABS('Annual Calculations'!$Q$6)*(1+$C$3)^K$6</f>
        <v>320.8696003493219</v>
      </c>
      <c r="L8" s="78">
        <f>ABS('Annual Calculations'!$Q$6)*(1+$C$3)^L$6</f>
        <v>333.38351476294537</v>
      </c>
      <c r="M8" s="78">
        <f>ABS('Annual Calculations'!$Q$6)*(1+$C$3)^M$6</f>
        <v>346.38547183870025</v>
      </c>
      <c r="N8" s="78">
        <f>ABS('Annual Calculations'!$Q$6)*(1+$C$3)^N$6</f>
        <v>359.89450524040944</v>
      </c>
      <c r="O8" s="78">
        <f>ABS('Annual Calculations'!$Q$6)*(1+$C$3)^O$6</f>
        <v>373.93039094478542</v>
      </c>
      <c r="P8" s="78">
        <f>ABS('Annual Calculations'!$Q$6)*(1+$C$3)^P$6</f>
        <v>388.51367619163193</v>
      </c>
      <c r="Q8" s="78">
        <f>ABS('Annual Calculations'!$Q$6)*(1+$C$3)^Q$6</f>
        <v>403.66570956310557</v>
      </c>
      <c r="R8" s="78">
        <f>ABS('Annual Calculations'!$Q$6)*(1+$C$3)^R$6</f>
        <v>419.40867223606654</v>
      </c>
      <c r="S8" s="78">
        <f>ABS('Annual Calculations'!$Q$6)*(1+$C$3)^S$6</f>
        <v>435.76561045327315</v>
      </c>
      <c r="T8" s="78">
        <f>ABS('Annual Calculations'!$Q$6)*(1+$C$3)^T$6</f>
        <v>452.76046926095074</v>
      </c>
      <c r="U8" s="78">
        <f>ABS('Annual Calculations'!$Q$6)*(1+$C$3)^U$6</f>
        <v>470.41812756212784</v>
      </c>
      <c r="V8" s="78">
        <f>ABS('Annual Calculations'!$Q$6)*(1+$C$3)^V$6</f>
        <v>488.7644345370507</v>
      </c>
      <c r="W8" s="78">
        <f>ABS('Annual Calculations'!$Q$6)*(1+$C$3)^W$6</f>
        <v>507.82624748399559</v>
      </c>
      <c r="X8" s="78">
        <f>ABS('Annual Calculations'!$Q$6)*(1+$C$3)^X$6</f>
        <v>527.63147113587138</v>
      </c>
      <c r="Y8" s="78">
        <f>ABS('Annual Calculations'!$Q$6)*(1+$C$3)^Y$6</f>
        <v>548.20909851017029</v>
      </c>
      <c r="Z8" s="78">
        <f>ABS('Annual Calculations'!$Q$6)*(1+$C$3)^Z$6</f>
        <v>569.58925335206675</v>
      </c>
      <c r="AA8" s="78">
        <f>ABS('Annual Calculations'!$Q$6)*(1+$C$3)^AA$6</f>
        <v>591.80323423279742</v>
      </c>
      <c r="AB8" s="78">
        <f>ABS('Annual Calculations'!$Q$6)*(1+$C$3)^AB$6</f>
        <v>614.88356036787638</v>
      </c>
      <c r="AC8" s="78">
        <f>ABS('Annual Calculations'!$Q$6)*(1+$C$3)^AC$6</f>
        <v>638.86401922222353</v>
      </c>
      <c r="AD8" s="78">
        <f>ABS('Annual Calculations'!$Q$6)*(1+$C$3)^AD$6</f>
        <v>663.77971597189003</v>
      </c>
      <c r="AE8" s="78">
        <f>ABS('Annual Calculations'!$Q$6)*(1+$C$3)^AE$6</f>
        <v>689.66712489479369</v>
      </c>
      <c r="AF8" s="78">
        <f>ABS('Annual Calculations'!$Q$6)*(1+$C$3)^AF$6</f>
        <v>716.56414276569046</v>
      </c>
      <c r="AG8" s="78">
        <f>ABS('Annual Calculations'!$Q$6)*(1+$C$3)^AG$6</f>
        <v>744.51014433355249</v>
      </c>
      <c r="AH8" s="78">
        <f>ABS('Annual Calculations'!$Q$6)*(1+$C$3)^AH$6</f>
        <v>773.54603996256071</v>
      </c>
      <c r="AI8" s="78">
        <f>ABS('Annual Calculations'!$Q$6)*(1+$C$3)^AI$6</f>
        <v>803.71433552110057</v>
      </c>
      <c r="AJ8" s="78">
        <f>ABS('Annual Calculations'!$Q$6)*(1+$C$3)^AJ$6</f>
        <v>835.05919460642338</v>
      </c>
      <c r="AK8" s="78">
        <f>ABS('Annual Calculations'!$Q$6)*(1+$C$3)^AK$6</f>
        <v>867.62650319607383</v>
      </c>
      <c r="AL8" s="78">
        <f>ABS('Annual Calculations'!$Q$6)*(1+$C$3)^AL$6</f>
        <v>901.46393682072051</v>
      </c>
      <c r="AM8" s="78">
        <f>ABS('Annual Calculations'!$Q$6)*(1+$C$3)^AM$6</f>
        <v>936.62103035672862</v>
      </c>
      <c r="AN8" s="78">
        <f>ABS('Annual Calculations'!$Q$6)*(1+$C$3)^AN$6</f>
        <v>973.14925054064076</v>
      </c>
      <c r="AO8" s="78">
        <f>ABS('Annual Calculations'!$Q$6)*(1+$C$3)^AO$6</f>
        <v>1011.1020713117257</v>
      </c>
      <c r="AP8" s="78">
        <f>ABS('Annual Calculations'!$Q$6)*(1+$C$3)^AP$6</f>
        <v>1050.5350520928828</v>
      </c>
      <c r="AQ8" s="78">
        <f>ABS('Annual Calculations'!$Q$6)*(1+$C$3)^AQ$6</f>
        <v>1091.5059191245052</v>
      </c>
      <c r="AR8" s="78">
        <f>ABS('Annual Calculations'!$Q$6)*(1+$C$3)^AR$6</f>
        <v>1134.0746499703607</v>
      </c>
      <c r="AS8" s="78">
        <f>ABS('Annual Calculations'!$Q$6)*(1+$C$3)^AS$6</f>
        <v>1178.3035613192048</v>
      </c>
      <c r="AT8" s="78">
        <f>ABS('Annual Calculations'!$Q$6)*(1+$C$3)^AT$6</f>
        <v>1224.2574002106533</v>
      </c>
      <c r="AU8" s="78">
        <f>ABS('Annual Calculations'!$Q$6)*(1+$C$3)^AU$6</f>
        <v>1272.0034388188687</v>
      </c>
      <c r="AV8" s="78">
        <f>ABS('Annual Calculations'!$Q$6)*(1+$C$3)^AV$6</f>
        <v>1321.6115729328044</v>
      </c>
      <c r="AW8" s="78">
        <f>ABS('Annual Calculations'!$Q$6)*(1+$C$3)^AW$6</f>
        <v>1373.1544242771836</v>
      </c>
      <c r="AX8" s="78">
        <f>ABS('Annual Calculations'!$Q$6)*(1+$C$3)^AX$6</f>
        <v>1426.7074468239932</v>
      </c>
      <c r="AY8" s="78">
        <f>ABS('Annual Calculations'!$Q$6)*(1+$C$3)^AY$6</f>
        <v>1482.3490372501292</v>
      </c>
      <c r="AZ8" s="78">
        <f>ABS('Annual Calculations'!$Q$6)*(1+$C$3)^AZ$6</f>
        <v>1540.160649702884</v>
      </c>
      <c r="BA8" s="78">
        <f>ABS('Annual Calculations'!$Q$6)*(1+$C$3)^BA$6</f>
        <v>1600.2269150412963</v>
      </c>
      <c r="BB8" s="78">
        <f>ABS('Annual Calculations'!$Q$6)*(1+$C$3)^BB$6</f>
        <v>1662.6357647279067</v>
      </c>
    </row>
    <row r="9" spans="1:54" s="76" customFormat="1" x14ac:dyDescent="0.25">
      <c r="A9" s="180"/>
      <c r="B9" s="76" t="s">
        <v>357</v>
      </c>
      <c r="C9" s="77" t="s">
        <v>362</v>
      </c>
      <c r="D9" s="76">
        <v>0</v>
      </c>
      <c r="E9" s="78">
        <f>ABS('Annual Calculations'!$L$29)*(1+$C$3)^E$6</f>
        <v>49.834099909568046</v>
      </c>
      <c r="F9" s="78">
        <f>ABS('Annual Calculations'!$L$29)*(1+$C$3)^F$6</f>
        <v>51.77762980604119</v>
      </c>
      <c r="G9" s="78">
        <f>ABS('Annual Calculations'!$L$29)*(1+$C$3)^G$6</f>
        <v>53.796957368476789</v>
      </c>
      <c r="H9" s="78">
        <f>ABS('Annual Calculations'!$L$29)*(1+$C$3)^H$6</f>
        <v>55.895038705847369</v>
      </c>
      <c r="I9" s="78">
        <f>ABS('Annual Calculations'!$L$29)*(1+$C$3)^I$6</f>
        <v>58.074945215375415</v>
      </c>
      <c r="J9" s="78">
        <f>ABS('Annual Calculations'!$L$29)*(1+$C$3)^J$6</f>
        <v>60.339868078775041</v>
      </c>
      <c r="K9" s="78">
        <f>ABS('Annual Calculations'!$L$29)*(1+$C$3)^K$6</f>
        <v>62.69312293384727</v>
      </c>
      <c r="L9" s="78">
        <f>ABS('Annual Calculations'!$L$29)*(1+$C$3)^L$6</f>
        <v>65.138154728267295</v>
      </c>
      <c r="M9" s="78">
        <f>ABS('Annual Calculations'!$L$29)*(1+$C$3)^M$6</f>
        <v>67.678542762669721</v>
      </c>
      <c r="N9" s="78">
        <f>ABS('Annual Calculations'!$L$29)*(1+$C$3)^N$6</f>
        <v>70.318005930413818</v>
      </c>
      <c r="O9" s="78">
        <f>ABS('Annual Calculations'!$L$29)*(1+$C$3)^O$6</f>
        <v>73.060408161699954</v>
      </c>
      <c r="P9" s="78">
        <f>ABS('Annual Calculations'!$L$29)*(1+$C$3)^P$6</f>
        <v>75.909764080006241</v>
      </c>
      <c r="Q9" s="78">
        <f>ABS('Annual Calculations'!$L$29)*(1+$C$3)^Q$6</f>
        <v>78.870244879126474</v>
      </c>
      <c r="R9" s="78">
        <f>ABS('Annual Calculations'!$L$29)*(1+$C$3)^R$6</f>
        <v>81.946184429412384</v>
      </c>
      <c r="S9" s="78">
        <f>ABS('Annual Calculations'!$L$29)*(1+$C$3)^S$6</f>
        <v>85.14208562215947</v>
      </c>
      <c r="T9" s="78">
        <f>ABS('Annual Calculations'!$L$29)*(1+$C$3)^T$6</f>
        <v>88.46262696142368</v>
      </c>
      <c r="U9" s="78">
        <f>ABS('Annual Calculations'!$L$29)*(1+$C$3)^U$6</f>
        <v>91.9126694129192</v>
      </c>
      <c r="V9" s="78">
        <f>ABS('Annual Calculations'!$L$29)*(1+$C$3)^V$6</f>
        <v>95.497263520023026</v>
      </c>
      <c r="W9" s="78">
        <f>ABS('Annual Calculations'!$L$29)*(1+$C$3)^W$6</f>
        <v>99.221656797303908</v>
      </c>
      <c r="X9" s="78">
        <f>ABS('Annual Calculations'!$L$29)*(1+$C$3)^X$6</f>
        <v>103.09130141239875</v>
      </c>
      <c r="Y9" s="78">
        <f>ABS('Annual Calculations'!$L$29)*(1+$C$3)^Y$6</f>
        <v>107.11186216748229</v>
      </c>
      <c r="Z9" s="78">
        <f>ABS('Annual Calculations'!$L$29)*(1+$C$3)^Z$6</f>
        <v>111.28922479201407</v>
      </c>
      <c r="AA9" s="78">
        <f>ABS('Annual Calculations'!$L$29)*(1+$C$3)^AA$6</f>
        <v>115.62950455890262</v>
      </c>
      <c r="AB9" s="78">
        <f>ABS('Annual Calculations'!$L$29)*(1+$C$3)^AB$6</f>
        <v>120.1390552366998</v>
      </c>
      <c r="AC9" s="78">
        <f>ABS('Annual Calculations'!$L$29)*(1+$C$3)^AC$6</f>
        <v>124.82447839093109</v>
      </c>
      <c r="AD9" s="78">
        <f>ABS('Annual Calculations'!$L$29)*(1+$C$3)^AD$6</f>
        <v>129.69263304817736</v>
      </c>
      <c r="AE9" s="78">
        <f>ABS('Annual Calculations'!$L$29)*(1+$C$3)^AE$6</f>
        <v>134.75064573705626</v>
      </c>
      <c r="AF9" s="78">
        <f>ABS('Annual Calculations'!$L$29)*(1+$C$3)^AF$6</f>
        <v>140.00592092080143</v>
      </c>
      <c r="AG9" s="78">
        <f>ABS('Annual Calculations'!$L$29)*(1+$C$3)^AG$6</f>
        <v>145.4661518367127</v>
      </c>
      <c r="AH9" s="78">
        <f>ABS('Annual Calculations'!$L$29)*(1+$C$3)^AH$6</f>
        <v>151.13933175834441</v>
      </c>
      <c r="AI9" s="78">
        <f>ABS('Annual Calculations'!$L$29)*(1+$C$3)^AI$6</f>
        <v>157.03376569691986</v>
      </c>
      <c r="AJ9" s="78">
        <f>ABS('Annual Calculations'!$L$29)*(1+$C$3)^AJ$6</f>
        <v>163.15808255909971</v>
      </c>
      <c r="AK9" s="78">
        <f>ABS('Annual Calculations'!$L$29)*(1+$C$3)^AK$6</f>
        <v>169.52124777890458</v>
      </c>
      <c r="AL9" s="78">
        <f>ABS('Annual Calculations'!$L$29)*(1+$C$3)^AL$6</f>
        <v>176.13257644228185</v>
      </c>
      <c r="AM9" s="78">
        <f>ABS('Annual Calculations'!$L$29)*(1+$C$3)^AM$6</f>
        <v>183.00174692353082</v>
      </c>
      <c r="AN9" s="78">
        <f>ABS('Annual Calculations'!$L$29)*(1+$C$3)^AN$6</f>
        <v>190.13881505354848</v>
      </c>
      <c r="AO9" s="78">
        <f>ABS('Annual Calculations'!$L$29)*(1+$C$3)^AO$6</f>
        <v>197.55422884063685</v>
      </c>
      <c r="AP9" s="78">
        <f>ABS('Annual Calculations'!$L$29)*(1+$C$3)^AP$6</f>
        <v>205.25884376542163</v>
      </c>
      <c r="AQ9" s="78">
        <f>ABS('Annual Calculations'!$L$29)*(1+$C$3)^AQ$6</f>
        <v>213.26393867227307</v>
      </c>
      <c r="AR9" s="78">
        <f>ABS('Annual Calculations'!$L$29)*(1+$C$3)^AR$6</f>
        <v>221.58123228049169</v>
      </c>
      <c r="AS9" s="78">
        <f>ABS('Annual Calculations'!$L$29)*(1+$C$3)^AS$6</f>
        <v>230.22290033943088</v>
      </c>
      <c r="AT9" s="78">
        <f>ABS('Annual Calculations'!$L$29)*(1+$C$3)^AT$6</f>
        <v>239.20159345266859</v>
      </c>
      <c r="AU9" s="78">
        <f>ABS('Annual Calculations'!$L$29)*(1+$C$3)^AU$6</f>
        <v>248.53045559732266</v>
      </c>
      <c r="AV9" s="78">
        <f>ABS('Annual Calculations'!$L$29)*(1+$C$3)^AV$6</f>
        <v>258.22314336561817</v>
      </c>
      <c r="AW9" s="78">
        <f>ABS('Annual Calculations'!$L$29)*(1+$C$3)^AW$6</f>
        <v>268.29384595687731</v>
      </c>
      <c r="AX9" s="78">
        <f>ABS('Annual Calculations'!$L$29)*(1+$C$3)^AX$6</f>
        <v>278.75730594919537</v>
      </c>
      <c r="AY9" s="78">
        <f>ABS('Annual Calculations'!$L$29)*(1+$C$3)^AY$6</f>
        <v>289.62884088121405</v>
      </c>
      <c r="AZ9" s="78">
        <f>ABS('Annual Calculations'!$L$29)*(1+$C$3)^AZ$6</f>
        <v>300.92436567558133</v>
      </c>
      <c r="BA9" s="78">
        <f>ABS('Annual Calculations'!$L$29)*(1+$C$3)^BA$6</f>
        <v>312.66041593692898</v>
      </c>
      <c r="BB9" s="78">
        <f>ABS('Annual Calculations'!$L$29)*(1+$C$3)^BB$6</f>
        <v>324.85417215846917</v>
      </c>
    </row>
    <row r="10" spans="1:54" s="76" customFormat="1" x14ac:dyDescent="0.25">
      <c r="A10" s="180"/>
      <c r="B10" s="76" t="s">
        <v>358</v>
      </c>
      <c r="C10" s="77" t="s">
        <v>362</v>
      </c>
      <c r="D10" s="76">
        <f>SUM(D7:D9)</f>
        <v>-2050</v>
      </c>
      <c r="E10" s="78">
        <f t="shared" ref="E10:BB10" si="0">SUM(E7:E9)</f>
        <v>304.88994931467613</v>
      </c>
      <c r="F10" s="78">
        <f t="shared" si="0"/>
        <v>316.78065733794847</v>
      </c>
      <c r="G10" s="78">
        <f t="shared" si="0"/>
        <v>329.13510297412842</v>
      </c>
      <c r="H10" s="78">
        <f t="shared" si="0"/>
        <v>341.97137199011928</v>
      </c>
      <c r="I10" s="78">
        <f t="shared" si="0"/>
        <v>355.30825549773397</v>
      </c>
      <c r="J10" s="78">
        <f t="shared" si="0"/>
        <v>369.16527746214553</v>
      </c>
      <c r="K10" s="78">
        <f t="shared" si="0"/>
        <v>383.56272328316919</v>
      </c>
      <c r="L10" s="78">
        <f t="shared" si="0"/>
        <v>398.52166949121266</v>
      </c>
      <c r="M10" s="78">
        <f t="shared" si="0"/>
        <v>414.06401460136999</v>
      </c>
      <c r="N10" s="78">
        <f t="shared" si="0"/>
        <v>430.21251117082329</v>
      </c>
      <c r="O10" s="78">
        <f t="shared" si="0"/>
        <v>446.99079910648538</v>
      </c>
      <c r="P10" s="78">
        <f t="shared" si="0"/>
        <v>464.42344027163819</v>
      </c>
      <c r="Q10" s="78">
        <f t="shared" si="0"/>
        <v>482.53595444223203</v>
      </c>
      <c r="R10" s="78">
        <f t="shared" si="0"/>
        <v>501.35485666547891</v>
      </c>
      <c r="S10" s="78">
        <f t="shared" si="0"/>
        <v>520.90769607543257</v>
      </c>
      <c r="T10" s="78">
        <f t="shared" si="0"/>
        <v>541.22309622237447</v>
      </c>
      <c r="U10" s="78">
        <f t="shared" si="0"/>
        <v>562.33079697504706</v>
      </c>
      <c r="V10" s="78">
        <f t="shared" si="0"/>
        <v>584.26169805707377</v>
      </c>
      <c r="W10" s="78">
        <f t="shared" si="0"/>
        <v>607.04790428129945</v>
      </c>
      <c r="X10" s="78">
        <f t="shared" si="0"/>
        <v>630.72277254827009</v>
      </c>
      <c r="Y10" s="78">
        <f t="shared" si="0"/>
        <v>655.32096067765258</v>
      </c>
      <c r="Z10" s="78">
        <f t="shared" si="0"/>
        <v>680.87847814408087</v>
      </c>
      <c r="AA10" s="78">
        <f t="shared" si="0"/>
        <v>707.4327387917001</v>
      </c>
      <c r="AB10" s="78">
        <f t="shared" si="0"/>
        <v>735.02261560457623</v>
      </c>
      <c r="AC10" s="78">
        <f t="shared" si="0"/>
        <v>-4050.9137842485034</v>
      </c>
      <c r="AD10" s="78">
        <f t="shared" si="0"/>
        <v>793.47234902006744</v>
      </c>
      <c r="AE10" s="78">
        <f t="shared" si="0"/>
        <v>824.41777063184998</v>
      </c>
      <c r="AF10" s="78">
        <f t="shared" si="0"/>
        <v>856.57006368649195</v>
      </c>
      <c r="AG10" s="78">
        <f t="shared" si="0"/>
        <v>889.97629617026519</v>
      </c>
      <c r="AH10" s="78">
        <f t="shared" si="0"/>
        <v>924.6853717209051</v>
      </c>
      <c r="AI10" s="78">
        <f t="shared" si="0"/>
        <v>960.74810121802045</v>
      </c>
      <c r="AJ10" s="78">
        <f t="shared" si="0"/>
        <v>998.21727716552311</v>
      </c>
      <c r="AK10" s="78">
        <f t="shared" si="0"/>
        <v>1037.1477509749784</v>
      </c>
      <c r="AL10" s="78">
        <f t="shared" si="0"/>
        <v>1077.5965132630024</v>
      </c>
      <c r="AM10" s="78">
        <f t="shared" si="0"/>
        <v>1119.6227772802595</v>
      </c>
      <c r="AN10" s="78">
        <f t="shared" si="0"/>
        <v>1163.2880655941892</v>
      </c>
      <c r="AO10" s="78">
        <f t="shared" si="0"/>
        <v>1208.6563001523625</v>
      </c>
      <c r="AP10" s="78">
        <f t="shared" si="0"/>
        <v>1255.7938958583045</v>
      </c>
      <c r="AQ10" s="78">
        <f t="shared" si="0"/>
        <v>1304.7698577967783</v>
      </c>
      <c r="AR10" s="78">
        <f t="shared" si="0"/>
        <v>1355.6558822508523</v>
      </c>
      <c r="AS10" s="78">
        <f t="shared" si="0"/>
        <v>1408.5264616586358</v>
      </c>
      <c r="AT10" s="78">
        <f t="shared" si="0"/>
        <v>1463.458993663322</v>
      </c>
      <c r="AU10" s="78">
        <f t="shared" si="0"/>
        <v>1520.5338944161913</v>
      </c>
      <c r="AV10" s="78">
        <f t="shared" si="0"/>
        <v>1579.8347162984226</v>
      </c>
      <c r="AW10" s="78">
        <f t="shared" si="0"/>
        <v>1641.4482702340608</v>
      </c>
      <c r="AX10" s="78">
        <f t="shared" si="0"/>
        <v>1705.4647527731886</v>
      </c>
      <c r="AY10" s="78">
        <f t="shared" si="0"/>
        <v>1771.9778781313432</v>
      </c>
      <c r="AZ10" s="78">
        <f t="shared" si="0"/>
        <v>1841.0850153784654</v>
      </c>
      <c r="BA10" s="78">
        <f t="shared" si="0"/>
        <v>1912.8873309782252</v>
      </c>
      <c r="BB10" s="78">
        <f t="shared" si="0"/>
        <v>1987.4899368863757</v>
      </c>
    </row>
    <row r="11" spans="1:54" s="76" customFormat="1" x14ac:dyDescent="0.25">
      <c r="A11" s="180"/>
      <c r="B11" s="76" t="s">
        <v>359</v>
      </c>
      <c r="C11" s="77"/>
      <c r="D11" s="76">
        <f t="shared" ref="D11:AI11" si="1">(1+$C$2)^D$194</f>
        <v>1</v>
      </c>
      <c r="E11" s="79">
        <f t="shared" si="1"/>
        <v>1.1219999999999999</v>
      </c>
      <c r="F11" s="79">
        <f t="shared" si="1"/>
        <v>1.2588839999999997</v>
      </c>
      <c r="G11" s="79">
        <f t="shared" si="1"/>
        <v>1.4124678479999995</v>
      </c>
      <c r="H11" s="79">
        <f t="shared" si="1"/>
        <v>1.5847889254559993</v>
      </c>
      <c r="I11" s="79">
        <f t="shared" si="1"/>
        <v>1.7781331743616309</v>
      </c>
      <c r="J11" s="79">
        <f t="shared" si="1"/>
        <v>1.9950654216337496</v>
      </c>
      <c r="K11" s="79">
        <f t="shared" si="1"/>
        <v>2.2384634030730668</v>
      </c>
      <c r="L11" s="79">
        <f t="shared" si="1"/>
        <v>2.5115559382479806</v>
      </c>
      <c r="M11" s="79">
        <f t="shared" si="1"/>
        <v>2.817965762714234</v>
      </c>
      <c r="N11" s="79">
        <f t="shared" si="1"/>
        <v>3.1617575857653701</v>
      </c>
      <c r="O11" s="79">
        <f t="shared" si="1"/>
        <v>3.5474920112287447</v>
      </c>
      <c r="P11" s="79">
        <f t="shared" si="1"/>
        <v>3.9802860365986512</v>
      </c>
      <c r="Q11" s="79">
        <f t="shared" si="1"/>
        <v>4.4658809330636862</v>
      </c>
      <c r="R11" s="79">
        <f t="shared" si="1"/>
        <v>5.0107184068974551</v>
      </c>
      <c r="S11" s="79">
        <f t="shared" si="1"/>
        <v>5.6220260525389438</v>
      </c>
      <c r="T11" s="79">
        <f t="shared" si="1"/>
        <v>6.307913230948694</v>
      </c>
      <c r="U11" s="79">
        <f t="shared" si="1"/>
        <v>7.077478645124434</v>
      </c>
      <c r="V11" s="79">
        <f t="shared" si="1"/>
        <v>7.9409310398296133</v>
      </c>
      <c r="W11" s="79">
        <f t="shared" si="1"/>
        <v>8.9097246266888259</v>
      </c>
      <c r="X11" s="79">
        <f t="shared" si="1"/>
        <v>9.9967110311448621</v>
      </c>
      <c r="Y11" s="79">
        <f t="shared" si="1"/>
        <v>11.216309776944533</v>
      </c>
      <c r="Z11" s="79">
        <f t="shared" si="1"/>
        <v>12.584699569731765</v>
      </c>
      <c r="AA11" s="79">
        <f t="shared" si="1"/>
        <v>14.120032917239037</v>
      </c>
      <c r="AB11" s="79">
        <f t="shared" si="1"/>
        <v>15.842676933142199</v>
      </c>
      <c r="AC11" s="79">
        <f t="shared" si="1"/>
        <v>17.775483518985546</v>
      </c>
      <c r="AD11" s="79">
        <f t="shared" si="1"/>
        <v>19.944092508301779</v>
      </c>
      <c r="AE11" s="79">
        <f t="shared" si="1"/>
        <v>22.377271794314591</v>
      </c>
      <c r="AF11" s="79">
        <f t="shared" si="1"/>
        <v>25.107298953220969</v>
      </c>
      <c r="AG11" s="79">
        <f t="shared" si="1"/>
        <v>28.170389425513925</v>
      </c>
      <c r="AH11" s="79">
        <f t="shared" si="1"/>
        <v>31.607176935426619</v>
      </c>
      <c r="AI11" s="79">
        <f t="shared" si="1"/>
        <v>35.463252521548661</v>
      </c>
      <c r="AJ11" s="79">
        <f t="shared" ref="AJ11:BB11" si="2">(1+$C$2)^AJ$194</f>
        <v>39.789769329177595</v>
      </c>
      <c r="AK11" s="79">
        <f t="shared" si="2"/>
        <v>44.644121187337255</v>
      </c>
      <c r="AL11" s="79">
        <f t="shared" si="2"/>
        <v>50.090703972192394</v>
      </c>
      <c r="AM11" s="79">
        <f t="shared" si="2"/>
        <v>56.201769856799864</v>
      </c>
      <c r="AN11" s="79">
        <f t="shared" si="2"/>
        <v>63.058385779329434</v>
      </c>
      <c r="AO11" s="79">
        <f t="shared" si="2"/>
        <v>70.751508844407624</v>
      </c>
      <c r="AP11" s="79">
        <f t="shared" si="2"/>
        <v>79.383192923425341</v>
      </c>
      <c r="AQ11" s="79">
        <f t="shared" si="2"/>
        <v>89.067942460083216</v>
      </c>
      <c r="AR11" s="79">
        <f t="shared" si="2"/>
        <v>99.934231440213352</v>
      </c>
      <c r="AS11" s="79">
        <f t="shared" si="2"/>
        <v>112.12620767591937</v>
      </c>
      <c r="AT11" s="79">
        <f t="shared" si="2"/>
        <v>125.80560501238152</v>
      </c>
      <c r="AU11" s="79">
        <f t="shared" si="2"/>
        <v>141.15388882389203</v>
      </c>
      <c r="AV11" s="79">
        <f t="shared" si="2"/>
        <v>158.37466326040686</v>
      </c>
      <c r="AW11" s="79">
        <f t="shared" si="2"/>
        <v>177.69637217817649</v>
      </c>
      <c r="AX11" s="79">
        <f t="shared" si="2"/>
        <v>199.37532958391398</v>
      </c>
      <c r="AY11" s="79">
        <f t="shared" si="2"/>
        <v>223.69911979315145</v>
      </c>
      <c r="AZ11" s="79">
        <f t="shared" si="2"/>
        <v>250.9904124079159</v>
      </c>
      <c r="BA11" s="79">
        <f t="shared" si="2"/>
        <v>281.61124272168161</v>
      </c>
      <c r="BB11" s="79">
        <f t="shared" si="2"/>
        <v>315.96781433372672</v>
      </c>
    </row>
    <row r="12" spans="1:54" s="76" customFormat="1" x14ac:dyDescent="0.25">
      <c r="A12" s="180"/>
      <c r="B12" s="76" t="s">
        <v>360</v>
      </c>
      <c r="C12" s="77" t="s">
        <v>362</v>
      </c>
      <c r="D12" s="76">
        <f>D10/D11</f>
        <v>-2050</v>
      </c>
      <c r="E12" s="78">
        <f>E10/E11</f>
        <v>271.7379227403531</v>
      </c>
      <c r="F12" s="78">
        <f>F10/F11</f>
        <v>251.63609779610238</v>
      </c>
      <c r="G12" s="78">
        <f t="shared" ref="G12:BB12" si="3">G10/G11</f>
        <v>233.02130624790587</v>
      </c>
      <c r="H12" s="78">
        <f t="shared" si="3"/>
        <v>215.78354473402328</v>
      </c>
      <c r="I12" s="78">
        <f t="shared" si="3"/>
        <v>199.82094739630145</v>
      </c>
      <c r="J12" s="78">
        <f t="shared" si="3"/>
        <v>185.03918390798324</v>
      </c>
      <c r="K12" s="78">
        <f t="shared" si="3"/>
        <v>171.35090203243726</v>
      </c>
      <c r="L12" s="78">
        <f t="shared" si="3"/>
        <v>158.67521141862949</v>
      </c>
      <c r="M12" s="78">
        <f t="shared" si="3"/>
        <v>146.93720558284855</v>
      </c>
      <c r="N12" s="78">
        <f t="shared" si="3"/>
        <v>136.0675192518535</v>
      </c>
      <c r="O12" s="78">
        <f t="shared" si="3"/>
        <v>126.0019184515827</v>
      </c>
      <c r="P12" s="78">
        <f t="shared" si="3"/>
        <v>116.68092091906809</v>
      </c>
      <c r="Q12" s="78">
        <f t="shared" si="3"/>
        <v>108.0494445943955</v>
      </c>
      <c r="R12" s="78">
        <f t="shared" si="3"/>
        <v>100.05648211548744</v>
      </c>
      <c r="S12" s="78">
        <f t="shared" si="3"/>
        <v>92.654799392149243</v>
      </c>
      <c r="T12" s="78">
        <f t="shared" si="3"/>
        <v>85.800656478113268</v>
      </c>
      <c r="U12" s="78">
        <f t="shared" si="3"/>
        <v>79.453549091586183</v>
      </c>
      <c r="V12" s="78">
        <f t="shared" si="3"/>
        <v>73.575969256825346</v>
      </c>
      <c r="W12" s="78">
        <f t="shared" si="3"/>
        <v>68.13318365226516</v>
      </c>
      <c r="X12" s="78">
        <f t="shared" si="3"/>
        <v>63.093028355350718</v>
      </c>
      <c r="Y12" s="78">
        <f t="shared" si="3"/>
        <v>58.425718771131379</v>
      </c>
      <c r="Z12" s="78">
        <f t="shared" si="3"/>
        <v>54.103673621395274</v>
      </c>
      <c r="AA12" s="78">
        <f t="shared" si="3"/>
        <v>50.101351954215424</v>
      </c>
      <c r="AB12" s="78">
        <f t="shared" si="3"/>
        <v>46.39510221072176</v>
      </c>
      <c r="AC12" s="78">
        <f t="shared" si="3"/>
        <v>-227.89331046448467</v>
      </c>
      <c r="AD12" s="78">
        <f t="shared" si="3"/>
        <v>39.78483095632366</v>
      </c>
      <c r="AE12" s="78">
        <f t="shared" si="3"/>
        <v>36.84174631338707</v>
      </c>
      <c r="AF12" s="78">
        <f t="shared" si="3"/>
        <v>34.1163764880652</v>
      </c>
      <c r="AG12" s="78">
        <f t="shared" si="3"/>
        <v>31.592616017022952</v>
      </c>
      <c r="AH12" s="78">
        <f t="shared" si="3"/>
        <v>29.255550839293079</v>
      </c>
      <c r="AI12" s="78">
        <f t="shared" si="3"/>
        <v>27.09137016223308</v>
      </c>
      <c r="AJ12" s="78">
        <f t="shared" si="3"/>
        <v>25.087284847201577</v>
      </c>
      <c r="AK12" s="78">
        <f t="shared" si="3"/>
        <v>23.231451832658145</v>
      </c>
      <c r="AL12" s="78">
        <f t="shared" si="3"/>
        <v>21.51290414806757</v>
      </c>
      <c r="AM12" s="78">
        <f t="shared" si="3"/>
        <v>19.921486105028702</v>
      </c>
      <c r="AN12" s="78">
        <f t="shared" si="3"/>
        <v>18.447793282642444</v>
      </c>
      <c r="AO12" s="78">
        <f t="shared" si="3"/>
        <v>17.083116952464792</v>
      </c>
      <c r="AP12" s="78">
        <f t="shared" si="3"/>
        <v>15.819392614626487</v>
      </c>
      <c r="AQ12" s="78">
        <f t="shared" si="3"/>
        <v>14.649152340995474</v>
      </c>
      <c r="AR12" s="78">
        <f t="shared" si="3"/>
        <v>13.565480643756057</v>
      </c>
      <c r="AS12" s="78">
        <f t="shared" si="3"/>
        <v>12.561973608611895</v>
      </c>
      <c r="AT12" s="78">
        <f t="shared" si="3"/>
        <v>11.632701051112083</v>
      </c>
      <c r="AU12" s="78">
        <f t="shared" si="3"/>
        <v>10.772171472464754</v>
      </c>
      <c r="AV12" s="78">
        <f t="shared" si="3"/>
        <v>9.9752996077458818</v>
      </c>
      <c r="AW12" s="78">
        <f t="shared" si="3"/>
        <v>9.2373763747308111</v>
      </c>
      <c r="AX12" s="78">
        <f t="shared" si="3"/>
        <v>8.5540410457623093</v>
      </c>
      <c r="AY12" s="78">
        <f t="shared" si="3"/>
        <v>7.9212554782059197</v>
      </c>
      <c r="AZ12" s="78">
        <f t="shared" si="3"/>
        <v>7.3352802512085127</v>
      </c>
      <c r="BA12" s="78">
        <f t="shared" si="3"/>
        <v>6.7926525677412153</v>
      </c>
      <c r="BB12" s="78">
        <f t="shared" si="3"/>
        <v>6.2901657913396818</v>
      </c>
    </row>
    <row r="13" spans="1:54" s="76" customFormat="1" x14ac:dyDescent="0.25">
      <c r="A13" s="180"/>
      <c r="B13" s="76" t="s">
        <v>645</v>
      </c>
      <c r="C13" s="77" t="s">
        <v>362</v>
      </c>
      <c r="D13" s="76">
        <f>D12</f>
        <v>-2050</v>
      </c>
      <c r="E13" s="78">
        <f>E12+D13</f>
        <v>-1778.262077259647</v>
      </c>
      <c r="F13" s="78">
        <f t="shared" ref="F13:BB13" si="4">F12+E13</f>
        <v>-1526.6259794635446</v>
      </c>
      <c r="G13" s="78">
        <f t="shared" si="4"/>
        <v>-1293.6046732156387</v>
      </c>
      <c r="H13" s="78">
        <f t="shared" si="4"/>
        <v>-1077.8211284816155</v>
      </c>
      <c r="I13" s="78">
        <f t="shared" si="4"/>
        <v>-878.00018108531401</v>
      </c>
      <c r="J13" s="78">
        <f t="shared" si="4"/>
        <v>-692.9609971773308</v>
      </c>
      <c r="K13" s="78">
        <f t="shared" si="4"/>
        <v>-521.61009514489353</v>
      </c>
      <c r="L13" s="78">
        <f t="shared" si="4"/>
        <v>-362.93488372626405</v>
      </c>
      <c r="M13" s="78">
        <f t="shared" si="4"/>
        <v>-215.9976781434155</v>
      </c>
      <c r="N13" s="78">
        <f t="shared" si="4"/>
        <v>-79.930158891562002</v>
      </c>
      <c r="O13" s="78">
        <f t="shared" si="4"/>
        <v>46.071759560020695</v>
      </c>
      <c r="P13" s="78">
        <f t="shared" si="4"/>
        <v>162.75268047908878</v>
      </c>
      <c r="Q13" s="78">
        <f t="shared" si="4"/>
        <v>270.80212507348426</v>
      </c>
      <c r="R13" s="78">
        <f t="shared" si="4"/>
        <v>370.85860718897169</v>
      </c>
      <c r="S13" s="78">
        <f t="shared" si="4"/>
        <v>463.51340658112093</v>
      </c>
      <c r="T13" s="78">
        <f t="shared" si="4"/>
        <v>549.31406305923417</v>
      </c>
      <c r="U13" s="78">
        <f t="shared" si="4"/>
        <v>628.76761215082036</v>
      </c>
      <c r="V13" s="78">
        <f t="shared" si="4"/>
        <v>702.34358140764573</v>
      </c>
      <c r="W13" s="78">
        <f t="shared" si="4"/>
        <v>770.47676505991092</v>
      </c>
      <c r="X13" s="78">
        <f t="shared" si="4"/>
        <v>833.56979341526164</v>
      </c>
      <c r="Y13" s="78">
        <f t="shared" si="4"/>
        <v>891.99551218639306</v>
      </c>
      <c r="Z13" s="78">
        <f t="shared" si="4"/>
        <v>946.09918580778833</v>
      </c>
      <c r="AA13" s="78">
        <f t="shared" si="4"/>
        <v>996.20053776200371</v>
      </c>
      <c r="AB13" s="78">
        <f t="shared" si="4"/>
        <v>1042.5956399727254</v>
      </c>
      <c r="AC13" s="78">
        <f t="shared" si="4"/>
        <v>814.70232950824072</v>
      </c>
      <c r="AD13" s="78">
        <f t="shared" si="4"/>
        <v>854.48716046456434</v>
      </c>
      <c r="AE13" s="78">
        <f t="shared" si="4"/>
        <v>891.32890677795137</v>
      </c>
      <c r="AF13" s="78">
        <f t="shared" si="4"/>
        <v>925.44528326601653</v>
      </c>
      <c r="AG13" s="78">
        <f t="shared" si="4"/>
        <v>957.03789928303945</v>
      </c>
      <c r="AH13" s="78">
        <f t="shared" si="4"/>
        <v>986.2934501223325</v>
      </c>
      <c r="AI13" s="78">
        <f t="shared" si="4"/>
        <v>1013.3848202845655</v>
      </c>
      <c r="AJ13" s="78">
        <f t="shared" si="4"/>
        <v>1038.4721051317672</v>
      </c>
      <c r="AK13" s="78">
        <f t="shared" si="4"/>
        <v>1061.7035569644254</v>
      </c>
      <c r="AL13" s="78">
        <f t="shared" si="4"/>
        <v>1083.2164611124929</v>
      </c>
      <c r="AM13" s="78">
        <f t="shared" si="4"/>
        <v>1103.1379472175215</v>
      </c>
      <c r="AN13" s="78">
        <f t="shared" si="4"/>
        <v>1121.5857405001639</v>
      </c>
      <c r="AO13" s="78">
        <f t="shared" si="4"/>
        <v>1138.6688574526286</v>
      </c>
      <c r="AP13" s="78">
        <f t="shared" si="4"/>
        <v>1154.488250067255</v>
      </c>
      <c r="AQ13" s="78">
        <f t="shared" si="4"/>
        <v>1169.1374024082504</v>
      </c>
      <c r="AR13" s="78">
        <f t="shared" si="4"/>
        <v>1182.7028830520064</v>
      </c>
      <c r="AS13" s="78">
        <f t="shared" si="4"/>
        <v>1195.2648566606183</v>
      </c>
      <c r="AT13" s="78">
        <f t="shared" si="4"/>
        <v>1206.8975577117303</v>
      </c>
      <c r="AU13" s="78">
        <f t="shared" si="4"/>
        <v>1217.6697291841951</v>
      </c>
      <c r="AV13" s="78">
        <f t="shared" si="4"/>
        <v>1227.6450287919411</v>
      </c>
      <c r="AW13" s="78">
        <f t="shared" si="4"/>
        <v>1236.8824051666718</v>
      </c>
      <c r="AX13" s="78">
        <f t="shared" si="4"/>
        <v>1245.436446212434</v>
      </c>
      <c r="AY13" s="78">
        <f t="shared" si="4"/>
        <v>1253.3577016906399</v>
      </c>
      <c r="AZ13" s="78">
        <f t="shared" si="4"/>
        <v>1260.6929819418485</v>
      </c>
      <c r="BA13" s="78">
        <f t="shared" si="4"/>
        <v>1267.4856345095898</v>
      </c>
      <c r="BB13" s="78">
        <f t="shared" si="4"/>
        <v>1273.7758003009294</v>
      </c>
    </row>
    <row r="14" spans="1:54" s="76" customFormat="1" x14ac:dyDescent="0.25">
      <c r="A14" s="180"/>
      <c r="B14" s="80" t="s">
        <v>361</v>
      </c>
      <c r="C14" s="81" t="s">
        <v>362</v>
      </c>
      <c r="D14" s="92">
        <f>SUM(D12:BB12)</f>
        <v>1273.7758003009294</v>
      </c>
    </row>
    <row r="15" spans="1:54" x14ac:dyDescent="0.25">
      <c r="A15" s="178" t="s">
        <v>2</v>
      </c>
      <c r="B15" t="s">
        <v>363</v>
      </c>
      <c r="C15" s="72" t="s">
        <v>362</v>
      </c>
      <c r="D15">
        <f>-LED!$B$3*(LED!$B$20-LED!$B$18)</f>
        <v>-12.5</v>
      </c>
      <c r="E15">
        <v>0</v>
      </c>
      <c r="F15">
        <v>0</v>
      </c>
      <c r="G15">
        <v>0</v>
      </c>
      <c r="H15">
        <v>0</v>
      </c>
      <c r="I15" s="41">
        <f>-LED!$B$3*(LED!$B$20-LED!$B$18)*(1+$C$1)^I6</f>
        <v>-15.135185592864978</v>
      </c>
      <c r="J15">
        <v>0</v>
      </c>
      <c r="K15">
        <v>0</v>
      </c>
      <c r="L15">
        <v>0</v>
      </c>
      <c r="M15">
        <v>0</v>
      </c>
      <c r="N15" s="41">
        <f>-LED!$B$3*(LED!$B$20-LED!$B$18)*(1+$C$1)^N6</f>
        <v>-18.325907434437404</v>
      </c>
      <c r="O15">
        <v>0</v>
      </c>
      <c r="P15">
        <v>0</v>
      </c>
      <c r="Q15">
        <v>0</v>
      </c>
      <c r="R15">
        <v>0</v>
      </c>
      <c r="S15" s="41">
        <f>-LED!$B$3*(LED!$B$20-LED!$B$18)*(1+$C$1)^S6</f>
        <v>-22.189280814229935</v>
      </c>
      <c r="T15">
        <v>0</v>
      </c>
      <c r="U15">
        <v>0</v>
      </c>
      <c r="V15">
        <v>0</v>
      </c>
      <c r="W15">
        <v>0</v>
      </c>
      <c r="X15" s="41">
        <f>-LED!$B$3*(LED!$B$20-LED!$B$18)*(1+$C$1)^X6</f>
        <v>-26.867110663645455</v>
      </c>
      <c r="Y15">
        <v>0</v>
      </c>
      <c r="Z15">
        <v>0</v>
      </c>
      <c r="AA15">
        <v>0</v>
      </c>
      <c r="AB15">
        <v>0</v>
      </c>
      <c r="AC15" s="41">
        <f>-LED!$B$3*(LED!$B$20-LED!$B$18)*(1+$C$1)^AC6</f>
        <v>-32.531096499065256</v>
      </c>
      <c r="AD15">
        <v>0</v>
      </c>
      <c r="AE15">
        <v>0</v>
      </c>
      <c r="AF15">
        <v>0</v>
      </c>
      <c r="AG15">
        <v>0</v>
      </c>
      <c r="AH15" s="41">
        <f>-LED!$B$3*(LED!$B$20-LED!$B$18)*(1+$C$1)^AH6</f>
        <v>-39.389134644220213</v>
      </c>
      <c r="AI15">
        <v>0</v>
      </c>
      <c r="AJ15">
        <v>0</v>
      </c>
      <c r="AK15">
        <v>0</v>
      </c>
      <c r="AL15">
        <v>0</v>
      </c>
      <c r="AM15" s="41">
        <f>-LED!$B$3*(LED!$B$20-LED!$B$18)*(1+$C$1)^AM6</f>
        <v>-47.692949054609656</v>
      </c>
      <c r="AN15">
        <v>0</v>
      </c>
      <c r="AO15">
        <v>0</v>
      </c>
      <c r="AP15">
        <v>0</v>
      </c>
      <c r="AQ15">
        <v>0</v>
      </c>
      <c r="AR15" s="41">
        <f>-LED!$B$3*(LED!$B$20-LED!$B$18)*(1+$C$1)^AR6</f>
        <v>-57.747330833005705</v>
      </c>
      <c r="AS15">
        <v>0</v>
      </c>
      <c r="AT15">
        <v>0</v>
      </c>
      <c r="AU15">
        <v>0</v>
      </c>
      <c r="AV15">
        <v>0</v>
      </c>
      <c r="AW15" s="41">
        <f>-LED!$B$3*(LED!$B$20-LED!$B$18)*(1+$C$1)^AW6</f>
        <v>-69.921325572009238</v>
      </c>
      <c r="AX15">
        <v>0</v>
      </c>
      <c r="AY15">
        <v>0</v>
      </c>
      <c r="AZ15">
        <v>0</v>
      </c>
      <c r="BA15">
        <v>0</v>
      </c>
      <c r="BB15" s="41">
        <f>-LED!$B$3*(LED!$B$20-LED!$B$18)*(1+$C$1)^BB6</f>
        <v>-84.661779154519664</v>
      </c>
    </row>
    <row r="16" spans="1:54" x14ac:dyDescent="0.25">
      <c r="A16" s="178"/>
      <c r="B16" t="s">
        <v>356</v>
      </c>
      <c r="C16" s="72" t="s">
        <v>362</v>
      </c>
      <c r="D16">
        <v>0</v>
      </c>
      <c r="E16" s="18">
        <f>ABS('Annual Calculations'!$Q$7)*(1+$C$3)^E$6</f>
        <v>12.513681996746479</v>
      </c>
      <c r="F16" s="18">
        <f>ABS('Annual Calculations'!$Q$7)*(1+$C$3)^F$6</f>
        <v>13.001715594619588</v>
      </c>
      <c r="G16" s="18">
        <f>ABS('Annual Calculations'!$Q$7)*(1+$C$3)^G$6</f>
        <v>13.508782502809751</v>
      </c>
      <c r="H16" s="18">
        <f>ABS('Annual Calculations'!$Q$7)*(1+$C$3)^H$6</f>
        <v>14.035625020419328</v>
      </c>
      <c r="I16" s="18">
        <f>ABS('Annual Calculations'!$Q$7)*(1+$C$3)^I$6</f>
        <v>14.583014396215681</v>
      </c>
      <c r="J16" s="18">
        <f>ABS('Annual Calculations'!$Q$7)*(1+$C$3)^J$6</f>
        <v>15.15175195766809</v>
      </c>
      <c r="K16" s="18">
        <f>ABS('Annual Calculations'!$Q$7)*(1+$C$3)^K$6</f>
        <v>15.742670284017144</v>
      </c>
      <c r="L16" s="18">
        <f>ABS('Annual Calculations'!$Q$7)*(1+$C$3)^L$6</f>
        <v>16.356634425093809</v>
      </c>
      <c r="M16" s="18">
        <f>ABS('Annual Calculations'!$Q$7)*(1+$C$3)^M$6</f>
        <v>16.994543167672468</v>
      </c>
      <c r="N16" s="18">
        <f>ABS('Annual Calculations'!$Q$7)*(1+$C$3)^N$6</f>
        <v>17.657330351211691</v>
      </c>
      <c r="O16" s="18">
        <f>ABS('Annual Calculations'!$Q$7)*(1+$C$3)^O$6</f>
        <v>18.345966234908943</v>
      </c>
      <c r="P16" s="18">
        <f>ABS('Annual Calculations'!$Q$7)*(1+$C$3)^P$6</f>
        <v>19.06145891807039</v>
      </c>
      <c r="Q16" s="18">
        <f>ABS('Annual Calculations'!$Q$7)*(1+$C$3)^Q$6</f>
        <v>19.804855815875133</v>
      </c>
      <c r="R16" s="18">
        <f>ABS('Annual Calculations'!$Q$7)*(1+$C$3)^R$6</f>
        <v>20.577245192694257</v>
      </c>
      <c r="S16" s="18">
        <f>ABS('Annual Calculations'!$Q$7)*(1+$C$3)^S$6</f>
        <v>21.379757755209333</v>
      </c>
      <c r="T16" s="18">
        <f>ABS('Annual Calculations'!$Q$7)*(1+$C$3)^T$6</f>
        <v>22.213568307662495</v>
      </c>
      <c r="U16" s="18">
        <f>ABS('Annual Calculations'!$Q$7)*(1+$C$3)^U$6</f>
        <v>23.079897471661333</v>
      </c>
      <c r="V16" s="18">
        <f>ABS('Annual Calculations'!$Q$7)*(1+$C$3)^V$6</f>
        <v>23.980013473056118</v>
      </c>
      <c r="W16" s="18">
        <f>ABS('Annual Calculations'!$Q$7)*(1+$C$3)^W$6</f>
        <v>24.915233998505304</v>
      </c>
      <c r="X16" s="18">
        <f>ABS('Annual Calculations'!$Q$7)*(1+$C$3)^X$6</f>
        <v>25.886928124447007</v>
      </c>
      <c r="Y16" s="18">
        <f>ABS('Annual Calculations'!$Q$7)*(1+$C$3)^Y$6</f>
        <v>26.896518321300437</v>
      </c>
      <c r="Z16" s="18">
        <f>ABS('Annual Calculations'!$Q$7)*(1+$C$3)^Z$6</f>
        <v>27.945482535831147</v>
      </c>
      <c r="AA16" s="18">
        <f>ABS('Annual Calculations'!$Q$7)*(1+$C$3)^AA$6</f>
        <v>29.035356354728563</v>
      </c>
      <c r="AB16" s="18">
        <f>ABS('Annual Calculations'!$Q$7)*(1+$C$3)^AB$6</f>
        <v>30.16773525256297</v>
      </c>
      <c r="AC16" s="18">
        <f>ABS('Annual Calculations'!$Q$7)*(1+$C$3)^AC$6</f>
        <v>31.344276927412924</v>
      </c>
      <c r="AD16" s="18">
        <f>ABS('Annual Calculations'!$Q$7)*(1+$C$3)^AD$6</f>
        <v>32.566703727582023</v>
      </c>
      <c r="AE16" s="18">
        <f>ABS('Annual Calculations'!$Q$7)*(1+$C$3)^AE$6</f>
        <v>33.836805172957718</v>
      </c>
      <c r="AF16" s="18">
        <f>ABS('Annual Calculations'!$Q$7)*(1+$C$3)^AF$6</f>
        <v>35.156440574703055</v>
      </c>
      <c r="AG16" s="18">
        <f>ABS('Annual Calculations'!$Q$7)*(1+$C$3)^AG$6</f>
        <v>36.527541757116481</v>
      </c>
      <c r="AH16" s="18">
        <f>ABS('Annual Calculations'!$Q$7)*(1+$C$3)^AH$6</f>
        <v>37.952115885644005</v>
      </c>
      <c r="AI16" s="18">
        <f>ABS('Annual Calculations'!$Q$7)*(1+$C$3)^AI$6</f>
        <v>39.432248405184126</v>
      </c>
      <c r="AJ16" s="18">
        <f>ABS('Annual Calculations'!$Q$7)*(1+$C$3)^AJ$6</f>
        <v>40.970106092986299</v>
      </c>
      <c r="AK16" s="18">
        <f>ABS('Annual Calculations'!$Q$7)*(1+$C$3)^AK$6</f>
        <v>42.567940230612763</v>
      </c>
      <c r="AL16" s="18">
        <f>ABS('Annual Calculations'!$Q$7)*(1+$C$3)^AL$6</f>
        <v>44.228089899606651</v>
      </c>
      <c r="AM16" s="18">
        <f>ABS('Annual Calculations'!$Q$7)*(1+$C$3)^AM$6</f>
        <v>45.952985405691308</v>
      </c>
      <c r="AN16" s="18">
        <f>ABS('Annual Calculations'!$Q$7)*(1+$C$3)^AN$6</f>
        <v>47.745151836513259</v>
      </c>
      <c r="AO16" s="18">
        <f>ABS('Annual Calculations'!$Q$7)*(1+$C$3)^AO$6</f>
        <v>49.607212758137273</v>
      </c>
      <c r="AP16" s="18">
        <f>ABS('Annual Calculations'!$Q$7)*(1+$C$3)^AP$6</f>
        <v>51.54189405570461</v>
      </c>
      <c r="AQ16" s="18">
        <f>ABS('Annual Calculations'!$Q$7)*(1+$C$3)^AQ$6</f>
        <v>53.552027923877091</v>
      </c>
      <c r="AR16" s="18">
        <f>ABS('Annual Calculations'!$Q$7)*(1+$C$3)^AR$6</f>
        <v>55.640557012908289</v>
      </c>
      <c r="AS16" s="18">
        <f>ABS('Annual Calculations'!$Q$7)*(1+$C$3)^AS$6</f>
        <v>57.810538736411715</v>
      </c>
      <c r="AT16" s="18">
        <f>ABS('Annual Calculations'!$Q$7)*(1+$C$3)^AT$6</f>
        <v>60.065149747131748</v>
      </c>
      <c r="AU16" s="18">
        <f>ABS('Annual Calculations'!$Q$7)*(1+$C$3)^AU$6</f>
        <v>62.407690587269883</v>
      </c>
      <c r="AV16" s="18">
        <f>ABS('Annual Calculations'!$Q$7)*(1+$C$3)^AV$6</f>
        <v>64.841590520173398</v>
      </c>
      <c r="AW16" s="18">
        <f>ABS('Annual Calculations'!$Q$7)*(1+$C$3)^AW$6</f>
        <v>67.370412550460159</v>
      </c>
      <c r="AX16" s="18">
        <f>ABS('Annual Calculations'!$Q$7)*(1+$C$3)^AX$6</f>
        <v>69.997858639928069</v>
      </c>
      <c r="AY16" s="18">
        <f>ABS('Annual Calculations'!$Q$7)*(1+$C$3)^AY$6</f>
        <v>72.727775126885277</v>
      </c>
      <c r="AZ16" s="18">
        <f>ABS('Annual Calculations'!$Q$7)*(1+$C$3)^AZ$6</f>
        <v>75.564158356833786</v>
      </c>
      <c r="BA16" s="18">
        <f>ABS('Annual Calculations'!$Q$7)*(1+$C$3)^BA$6</f>
        <v>78.511160532750296</v>
      </c>
      <c r="BB16" s="18">
        <f>ABS('Annual Calculations'!$Q$7)*(1+$C$3)^BB$6</f>
        <v>81.573095793527557</v>
      </c>
    </row>
    <row r="17" spans="1:54" x14ac:dyDescent="0.25">
      <c r="A17" s="178"/>
      <c r="B17" t="s">
        <v>357</v>
      </c>
      <c r="C17" s="72" t="s">
        <v>362</v>
      </c>
      <c r="D17">
        <v>0</v>
      </c>
      <c r="E17" s="18">
        <f t="shared" ref="E17:AJ17" si="5">0*(1+$C$3)^E$6</f>
        <v>0</v>
      </c>
      <c r="F17" s="18">
        <f t="shared" si="5"/>
        <v>0</v>
      </c>
      <c r="G17" s="18">
        <f t="shared" si="5"/>
        <v>0</v>
      </c>
      <c r="H17" s="18">
        <f t="shared" si="5"/>
        <v>0</v>
      </c>
      <c r="I17" s="18">
        <f t="shared" si="5"/>
        <v>0</v>
      </c>
      <c r="J17" s="18">
        <f t="shared" si="5"/>
        <v>0</v>
      </c>
      <c r="K17" s="18">
        <f t="shared" si="5"/>
        <v>0</v>
      </c>
      <c r="L17" s="18">
        <f t="shared" si="5"/>
        <v>0</v>
      </c>
      <c r="M17" s="18">
        <f t="shared" si="5"/>
        <v>0</v>
      </c>
      <c r="N17" s="18">
        <f t="shared" si="5"/>
        <v>0</v>
      </c>
      <c r="O17" s="18">
        <f t="shared" si="5"/>
        <v>0</v>
      </c>
      <c r="P17" s="18">
        <f t="shared" si="5"/>
        <v>0</v>
      </c>
      <c r="Q17" s="18">
        <f t="shared" si="5"/>
        <v>0</v>
      </c>
      <c r="R17" s="18">
        <f t="shared" si="5"/>
        <v>0</v>
      </c>
      <c r="S17" s="18">
        <f t="shared" si="5"/>
        <v>0</v>
      </c>
      <c r="T17" s="18">
        <f t="shared" si="5"/>
        <v>0</v>
      </c>
      <c r="U17" s="18">
        <f t="shared" si="5"/>
        <v>0</v>
      </c>
      <c r="V17" s="18">
        <f t="shared" si="5"/>
        <v>0</v>
      </c>
      <c r="W17" s="18">
        <f t="shared" si="5"/>
        <v>0</v>
      </c>
      <c r="X17" s="18">
        <f t="shared" si="5"/>
        <v>0</v>
      </c>
      <c r="Y17" s="18">
        <f t="shared" si="5"/>
        <v>0</v>
      </c>
      <c r="Z17" s="18">
        <f t="shared" si="5"/>
        <v>0</v>
      </c>
      <c r="AA17" s="18">
        <f t="shared" si="5"/>
        <v>0</v>
      </c>
      <c r="AB17" s="18">
        <f t="shared" si="5"/>
        <v>0</v>
      </c>
      <c r="AC17" s="18">
        <f t="shared" si="5"/>
        <v>0</v>
      </c>
      <c r="AD17" s="18">
        <f t="shared" si="5"/>
        <v>0</v>
      </c>
      <c r="AE17" s="18">
        <f t="shared" si="5"/>
        <v>0</v>
      </c>
      <c r="AF17" s="18">
        <f t="shared" si="5"/>
        <v>0</v>
      </c>
      <c r="AG17" s="18">
        <f t="shared" si="5"/>
        <v>0</v>
      </c>
      <c r="AH17" s="18">
        <f t="shared" si="5"/>
        <v>0</v>
      </c>
      <c r="AI17" s="18">
        <f t="shared" si="5"/>
        <v>0</v>
      </c>
      <c r="AJ17" s="18">
        <f t="shared" si="5"/>
        <v>0</v>
      </c>
      <c r="AK17" s="18">
        <f t="shared" ref="AK17:BB17" si="6">0*(1+$C$3)^AK$6</f>
        <v>0</v>
      </c>
      <c r="AL17" s="18">
        <f t="shared" si="6"/>
        <v>0</v>
      </c>
      <c r="AM17" s="18">
        <f t="shared" si="6"/>
        <v>0</v>
      </c>
      <c r="AN17" s="18">
        <f t="shared" si="6"/>
        <v>0</v>
      </c>
      <c r="AO17" s="18">
        <f t="shared" si="6"/>
        <v>0</v>
      </c>
      <c r="AP17" s="18">
        <f t="shared" si="6"/>
        <v>0</v>
      </c>
      <c r="AQ17" s="18">
        <f t="shared" si="6"/>
        <v>0</v>
      </c>
      <c r="AR17" s="18">
        <f t="shared" si="6"/>
        <v>0</v>
      </c>
      <c r="AS17" s="18">
        <f t="shared" si="6"/>
        <v>0</v>
      </c>
      <c r="AT17" s="18">
        <f t="shared" si="6"/>
        <v>0</v>
      </c>
      <c r="AU17" s="18">
        <f t="shared" si="6"/>
        <v>0</v>
      </c>
      <c r="AV17" s="18">
        <f t="shared" si="6"/>
        <v>0</v>
      </c>
      <c r="AW17" s="18">
        <f t="shared" si="6"/>
        <v>0</v>
      </c>
      <c r="AX17" s="18">
        <f t="shared" si="6"/>
        <v>0</v>
      </c>
      <c r="AY17" s="18">
        <f t="shared" si="6"/>
        <v>0</v>
      </c>
      <c r="AZ17" s="18">
        <f t="shared" si="6"/>
        <v>0</v>
      </c>
      <c r="BA17" s="18">
        <f t="shared" si="6"/>
        <v>0</v>
      </c>
      <c r="BB17" s="18">
        <f t="shared" si="6"/>
        <v>0</v>
      </c>
    </row>
    <row r="18" spans="1:54" x14ac:dyDescent="0.25">
      <c r="A18" s="178"/>
      <c r="B18" t="s">
        <v>358</v>
      </c>
      <c r="C18" s="72" t="s">
        <v>362</v>
      </c>
      <c r="D18">
        <f>SUM(D15:D17)</f>
        <v>-12.5</v>
      </c>
      <c r="E18" s="18">
        <f t="shared" ref="E18:BB18" si="7">SUM(E15:E17)</f>
        <v>12.513681996746479</v>
      </c>
      <c r="F18" s="18">
        <f t="shared" si="7"/>
        <v>13.001715594619588</v>
      </c>
      <c r="G18" s="18">
        <f t="shared" si="7"/>
        <v>13.508782502809751</v>
      </c>
      <c r="H18" s="18">
        <f t="shared" si="7"/>
        <v>14.035625020419328</v>
      </c>
      <c r="I18" s="18">
        <f t="shared" si="7"/>
        <v>-0.55217119664929726</v>
      </c>
      <c r="J18" s="18">
        <f t="shared" si="7"/>
        <v>15.15175195766809</v>
      </c>
      <c r="K18" s="18">
        <f t="shared" si="7"/>
        <v>15.742670284017144</v>
      </c>
      <c r="L18" s="18">
        <f t="shared" si="7"/>
        <v>16.356634425093809</v>
      </c>
      <c r="M18" s="18">
        <f t="shared" si="7"/>
        <v>16.994543167672468</v>
      </c>
      <c r="N18" s="18">
        <f t="shared" si="7"/>
        <v>-0.66857708322571341</v>
      </c>
      <c r="O18" s="18">
        <f t="shared" si="7"/>
        <v>18.345966234908943</v>
      </c>
      <c r="P18" s="18">
        <f t="shared" si="7"/>
        <v>19.06145891807039</v>
      </c>
      <c r="Q18" s="18">
        <f t="shared" si="7"/>
        <v>19.804855815875133</v>
      </c>
      <c r="R18" s="18">
        <f t="shared" si="7"/>
        <v>20.577245192694257</v>
      </c>
      <c r="S18" s="18">
        <f t="shared" si="7"/>
        <v>-0.80952305902060218</v>
      </c>
      <c r="T18" s="18">
        <f t="shared" si="7"/>
        <v>22.213568307662495</v>
      </c>
      <c r="U18" s="18">
        <f t="shared" si="7"/>
        <v>23.079897471661333</v>
      </c>
      <c r="V18" s="18">
        <f t="shared" si="7"/>
        <v>23.980013473056118</v>
      </c>
      <c r="W18" s="18">
        <f t="shared" si="7"/>
        <v>24.915233998505304</v>
      </c>
      <c r="X18" s="18">
        <f t="shared" si="7"/>
        <v>-0.98018253919844867</v>
      </c>
      <c r="Y18" s="18">
        <f t="shared" si="7"/>
        <v>26.896518321300437</v>
      </c>
      <c r="Z18" s="18">
        <f t="shared" si="7"/>
        <v>27.945482535831147</v>
      </c>
      <c r="AA18" s="18">
        <f t="shared" si="7"/>
        <v>29.035356354728563</v>
      </c>
      <c r="AB18" s="18">
        <f t="shared" si="7"/>
        <v>30.16773525256297</v>
      </c>
      <c r="AC18" s="18">
        <f t="shared" si="7"/>
        <v>-1.1868195716523324</v>
      </c>
      <c r="AD18" s="18">
        <f t="shared" si="7"/>
        <v>32.566703727582023</v>
      </c>
      <c r="AE18" s="18">
        <f t="shared" si="7"/>
        <v>33.836805172957718</v>
      </c>
      <c r="AF18" s="18">
        <f t="shared" si="7"/>
        <v>35.156440574703055</v>
      </c>
      <c r="AG18" s="18">
        <f t="shared" si="7"/>
        <v>36.527541757116481</v>
      </c>
      <c r="AH18" s="18">
        <f t="shared" si="7"/>
        <v>-1.4370187585762082</v>
      </c>
      <c r="AI18" s="18">
        <f t="shared" si="7"/>
        <v>39.432248405184126</v>
      </c>
      <c r="AJ18" s="18">
        <f t="shared" si="7"/>
        <v>40.970106092986299</v>
      </c>
      <c r="AK18" s="18">
        <f t="shared" si="7"/>
        <v>42.567940230612763</v>
      </c>
      <c r="AL18" s="18">
        <f t="shared" si="7"/>
        <v>44.228089899606651</v>
      </c>
      <c r="AM18" s="18">
        <f t="shared" si="7"/>
        <v>-1.7399636489183479</v>
      </c>
      <c r="AN18" s="18">
        <f t="shared" si="7"/>
        <v>47.745151836513259</v>
      </c>
      <c r="AO18" s="18">
        <f t="shared" si="7"/>
        <v>49.607212758137273</v>
      </c>
      <c r="AP18" s="18">
        <f t="shared" si="7"/>
        <v>51.54189405570461</v>
      </c>
      <c r="AQ18" s="18">
        <f t="shared" si="7"/>
        <v>53.552027923877091</v>
      </c>
      <c r="AR18" s="18">
        <f t="shared" si="7"/>
        <v>-2.1067738200974162</v>
      </c>
      <c r="AS18" s="18">
        <f t="shared" si="7"/>
        <v>57.810538736411715</v>
      </c>
      <c r="AT18" s="18">
        <f t="shared" si="7"/>
        <v>60.065149747131748</v>
      </c>
      <c r="AU18" s="18">
        <f t="shared" si="7"/>
        <v>62.407690587269883</v>
      </c>
      <c r="AV18" s="18">
        <f t="shared" si="7"/>
        <v>64.841590520173398</v>
      </c>
      <c r="AW18" s="18">
        <f t="shared" si="7"/>
        <v>-2.5509130215490785</v>
      </c>
      <c r="AX18" s="18">
        <f t="shared" si="7"/>
        <v>69.997858639928069</v>
      </c>
      <c r="AY18" s="18">
        <f t="shared" si="7"/>
        <v>72.727775126885277</v>
      </c>
      <c r="AZ18" s="18">
        <f t="shared" si="7"/>
        <v>75.564158356833786</v>
      </c>
      <c r="BA18" s="18">
        <f t="shared" si="7"/>
        <v>78.511160532750296</v>
      </c>
      <c r="BB18" s="18">
        <f t="shared" si="7"/>
        <v>-3.0886833609921069</v>
      </c>
    </row>
    <row r="19" spans="1:54" x14ac:dyDescent="0.25">
      <c r="A19" s="178"/>
      <c r="B19" t="s">
        <v>359</v>
      </c>
      <c r="C19" s="72"/>
      <c r="D19">
        <f t="shared" ref="D19:AI19" si="8">(1+$C$2)^D$194</f>
        <v>1</v>
      </c>
      <c r="E19" s="40">
        <f t="shared" si="8"/>
        <v>1.1219999999999999</v>
      </c>
      <c r="F19" s="40">
        <f t="shared" si="8"/>
        <v>1.2588839999999997</v>
      </c>
      <c r="G19" s="40">
        <f t="shared" si="8"/>
        <v>1.4124678479999995</v>
      </c>
      <c r="H19" s="40">
        <f t="shared" si="8"/>
        <v>1.5847889254559993</v>
      </c>
      <c r="I19" s="40">
        <f t="shared" si="8"/>
        <v>1.7781331743616309</v>
      </c>
      <c r="J19" s="40">
        <f t="shared" si="8"/>
        <v>1.9950654216337496</v>
      </c>
      <c r="K19" s="40">
        <f t="shared" si="8"/>
        <v>2.2384634030730668</v>
      </c>
      <c r="L19" s="40">
        <f t="shared" si="8"/>
        <v>2.5115559382479806</v>
      </c>
      <c r="M19" s="40">
        <f t="shared" si="8"/>
        <v>2.817965762714234</v>
      </c>
      <c r="N19" s="40">
        <f t="shared" si="8"/>
        <v>3.1617575857653701</v>
      </c>
      <c r="O19" s="40">
        <f t="shared" si="8"/>
        <v>3.5474920112287447</v>
      </c>
      <c r="P19" s="40">
        <f t="shared" si="8"/>
        <v>3.9802860365986512</v>
      </c>
      <c r="Q19" s="40">
        <f t="shared" si="8"/>
        <v>4.4658809330636862</v>
      </c>
      <c r="R19" s="40">
        <f t="shared" si="8"/>
        <v>5.0107184068974551</v>
      </c>
      <c r="S19" s="40">
        <f t="shared" si="8"/>
        <v>5.6220260525389438</v>
      </c>
      <c r="T19" s="40">
        <f t="shared" si="8"/>
        <v>6.307913230948694</v>
      </c>
      <c r="U19" s="40">
        <f t="shared" si="8"/>
        <v>7.077478645124434</v>
      </c>
      <c r="V19" s="40">
        <f t="shared" si="8"/>
        <v>7.9409310398296133</v>
      </c>
      <c r="W19" s="40">
        <f t="shared" si="8"/>
        <v>8.9097246266888259</v>
      </c>
      <c r="X19" s="40">
        <f t="shared" si="8"/>
        <v>9.9967110311448621</v>
      </c>
      <c r="Y19" s="40">
        <f t="shared" si="8"/>
        <v>11.216309776944533</v>
      </c>
      <c r="Z19" s="40">
        <f t="shared" si="8"/>
        <v>12.584699569731765</v>
      </c>
      <c r="AA19" s="40">
        <f t="shared" si="8"/>
        <v>14.120032917239037</v>
      </c>
      <c r="AB19" s="40">
        <f t="shared" si="8"/>
        <v>15.842676933142199</v>
      </c>
      <c r="AC19" s="40">
        <f t="shared" si="8"/>
        <v>17.775483518985546</v>
      </c>
      <c r="AD19" s="40">
        <f t="shared" si="8"/>
        <v>19.944092508301779</v>
      </c>
      <c r="AE19" s="40">
        <f t="shared" si="8"/>
        <v>22.377271794314591</v>
      </c>
      <c r="AF19" s="40">
        <f t="shared" si="8"/>
        <v>25.107298953220969</v>
      </c>
      <c r="AG19" s="40">
        <f t="shared" si="8"/>
        <v>28.170389425513925</v>
      </c>
      <c r="AH19" s="40">
        <f t="shared" si="8"/>
        <v>31.607176935426619</v>
      </c>
      <c r="AI19" s="40">
        <f t="shared" si="8"/>
        <v>35.463252521548661</v>
      </c>
      <c r="AJ19" s="40">
        <f t="shared" ref="AJ19:BB19" si="9">(1+$C$2)^AJ$194</f>
        <v>39.789769329177595</v>
      </c>
      <c r="AK19" s="40">
        <f t="shared" si="9"/>
        <v>44.644121187337255</v>
      </c>
      <c r="AL19" s="40">
        <f t="shared" si="9"/>
        <v>50.090703972192394</v>
      </c>
      <c r="AM19" s="40">
        <f t="shared" si="9"/>
        <v>56.201769856799864</v>
      </c>
      <c r="AN19" s="40">
        <f t="shared" si="9"/>
        <v>63.058385779329434</v>
      </c>
      <c r="AO19" s="40">
        <f t="shared" si="9"/>
        <v>70.751508844407624</v>
      </c>
      <c r="AP19" s="40">
        <f t="shared" si="9"/>
        <v>79.383192923425341</v>
      </c>
      <c r="AQ19" s="40">
        <f t="shared" si="9"/>
        <v>89.067942460083216</v>
      </c>
      <c r="AR19" s="40">
        <f t="shared" si="9"/>
        <v>99.934231440213352</v>
      </c>
      <c r="AS19" s="40">
        <f t="shared" si="9"/>
        <v>112.12620767591937</v>
      </c>
      <c r="AT19" s="40">
        <f t="shared" si="9"/>
        <v>125.80560501238152</v>
      </c>
      <c r="AU19" s="40">
        <f t="shared" si="9"/>
        <v>141.15388882389203</v>
      </c>
      <c r="AV19" s="40">
        <f t="shared" si="9"/>
        <v>158.37466326040686</v>
      </c>
      <c r="AW19" s="40">
        <f t="shared" si="9"/>
        <v>177.69637217817649</v>
      </c>
      <c r="AX19" s="40">
        <f t="shared" si="9"/>
        <v>199.37532958391398</v>
      </c>
      <c r="AY19" s="40">
        <f t="shared" si="9"/>
        <v>223.69911979315145</v>
      </c>
      <c r="AZ19" s="40">
        <f t="shared" si="9"/>
        <v>250.9904124079159</v>
      </c>
      <c r="BA19" s="40">
        <f t="shared" si="9"/>
        <v>281.61124272168161</v>
      </c>
      <c r="BB19" s="40">
        <f t="shared" si="9"/>
        <v>315.96781433372672</v>
      </c>
    </row>
    <row r="20" spans="1:54" x14ac:dyDescent="0.25">
      <c r="A20" s="178"/>
      <c r="B20" t="s">
        <v>360</v>
      </c>
      <c r="C20" s="72" t="s">
        <v>362</v>
      </c>
      <c r="D20">
        <f t="shared" ref="D20:AI20" si="10">D18/D19</f>
        <v>-12.5</v>
      </c>
      <c r="E20" s="18">
        <f t="shared" si="10"/>
        <v>11.153014257349804</v>
      </c>
      <c r="F20" s="18">
        <f t="shared" si="10"/>
        <v>10.327969530647456</v>
      </c>
      <c r="G20" s="18">
        <f t="shared" si="10"/>
        <v>9.5639575243696147</v>
      </c>
      <c r="H20" s="18">
        <f t="shared" si="10"/>
        <v>8.8564633403030548</v>
      </c>
      <c r="I20" s="18">
        <f t="shared" si="10"/>
        <v>-0.31053421903988304</v>
      </c>
      <c r="J20" s="18">
        <f t="shared" si="10"/>
        <v>7.5946140880234356</v>
      </c>
      <c r="K20" s="18">
        <f t="shared" si="10"/>
        <v>7.0328021724209888</v>
      </c>
      <c r="L20" s="18">
        <f t="shared" si="10"/>
        <v>6.5125503183114146</v>
      </c>
      <c r="M20" s="18">
        <f t="shared" si="10"/>
        <v>6.0307841182937256</v>
      </c>
      <c r="N20" s="18">
        <f t="shared" si="10"/>
        <v>-0.21145741414070815</v>
      </c>
      <c r="O20" s="18">
        <f t="shared" si="10"/>
        <v>5.1715313739507058</v>
      </c>
      <c r="P20" s="18">
        <f t="shared" si="10"/>
        <v>4.7889671101023019</v>
      </c>
      <c r="Q20" s="18">
        <f t="shared" si="10"/>
        <v>4.4347030547204032</v>
      </c>
      <c r="R20" s="18">
        <f t="shared" si="10"/>
        <v>4.1066456986225477</v>
      </c>
      <c r="S20" s="18">
        <f t="shared" si="10"/>
        <v>-0.14399133896845182</v>
      </c>
      <c r="T20" s="18">
        <f t="shared" si="10"/>
        <v>3.5215399283990516</v>
      </c>
      <c r="U20" s="18">
        <f t="shared" si="10"/>
        <v>3.2610338552643627</v>
      </c>
      <c r="V20" s="18">
        <f t="shared" si="10"/>
        <v>3.0197987304988172</v>
      </c>
      <c r="W20" s="18">
        <f t="shared" si="10"/>
        <v>2.7964089848380311</v>
      </c>
      <c r="X20" s="18">
        <f t="shared" si="10"/>
        <v>-9.8050502424715413E-2</v>
      </c>
      <c r="Y20" s="18">
        <f t="shared" si="10"/>
        <v>2.3979828353695307</v>
      </c>
      <c r="Z20" s="18">
        <f t="shared" si="10"/>
        <v>2.220591948261089</v>
      </c>
      <c r="AA20" s="18">
        <f t="shared" si="10"/>
        <v>2.0563235599316152</v>
      </c>
      <c r="AB20" s="18">
        <f t="shared" si="10"/>
        <v>1.9042069329491511</v>
      </c>
      <c r="AC20" s="18">
        <f t="shared" si="10"/>
        <v>-6.676721735218738E-2</v>
      </c>
      <c r="AD20" s="18">
        <f t="shared" si="10"/>
        <v>1.6328997528479199</v>
      </c>
      <c r="AE20" s="18">
        <f t="shared" si="10"/>
        <v>1.5121059208636263</v>
      </c>
      <c r="AF20" s="18">
        <f t="shared" si="10"/>
        <v>1.40024781798334</v>
      </c>
      <c r="AG20" s="18">
        <f t="shared" si="10"/>
        <v>1.2966644232483873</v>
      </c>
      <c r="AH20" s="18">
        <f t="shared" si="10"/>
        <v>-4.5464951251800625E-2</v>
      </c>
      <c r="AI20" s="18">
        <f t="shared" si="10"/>
        <v>1.1119185523443957</v>
      </c>
      <c r="AJ20" s="18">
        <f t="shared" ref="AJ20:BB20" si="11">AJ18/AJ19</f>
        <v>1.0296643278839812</v>
      </c>
      <c r="AK20" s="18">
        <f t="shared" si="11"/>
        <v>0.95349486334354416</v>
      </c>
      <c r="AL20" s="18">
        <f t="shared" si="11"/>
        <v>0.882960038336847</v>
      </c>
      <c r="AM20" s="18">
        <f t="shared" si="11"/>
        <v>-3.0959232304457924E-2</v>
      </c>
      <c r="AN20" s="18">
        <f t="shared" si="11"/>
        <v>0.75715785056083917</v>
      </c>
      <c r="AO20" s="18">
        <f t="shared" si="11"/>
        <v>0.70114706482416378</v>
      </c>
      <c r="AP20" s="18">
        <f t="shared" si="11"/>
        <v>0.64927967945838339</v>
      </c>
      <c r="AQ20" s="18">
        <f t="shared" si="11"/>
        <v>0.60124918623641754</v>
      </c>
      <c r="AR20" s="18">
        <f t="shared" si="11"/>
        <v>-2.1081603267823344E-2</v>
      </c>
      <c r="AS20" s="18">
        <f t="shared" si="11"/>
        <v>0.51558453580720998</v>
      </c>
      <c r="AT20" s="18">
        <f t="shared" si="11"/>
        <v>0.47744414679473357</v>
      </c>
      <c r="AU20" s="18">
        <f t="shared" si="11"/>
        <v>0.4421251947591161</v>
      </c>
      <c r="AV20" s="18">
        <f t="shared" si="11"/>
        <v>0.40941896377426162</v>
      </c>
      <c r="AW20" s="18">
        <f t="shared" si="11"/>
        <v>-1.4355459204261487E-2</v>
      </c>
      <c r="AX20" s="18">
        <f t="shared" si="11"/>
        <v>0.35108585794446073</v>
      </c>
      <c r="AY20" s="18">
        <f t="shared" si="11"/>
        <v>0.32511426595748205</v>
      </c>
      <c r="AZ20" s="18">
        <f t="shared" si="11"/>
        <v>0.30106392364511925</v>
      </c>
      <c r="BA20" s="18">
        <f t="shared" si="11"/>
        <v>0.27879270647707566</v>
      </c>
      <c r="BB20" s="18">
        <f t="shared" si="11"/>
        <v>-9.7753100818358182E-3</v>
      </c>
    </row>
    <row r="21" spans="1:54" x14ac:dyDescent="0.25">
      <c r="A21" s="178"/>
      <c r="B21" s="76" t="s">
        <v>645</v>
      </c>
      <c r="C21" s="77" t="s">
        <v>362</v>
      </c>
      <c r="D21" s="76">
        <f>D20</f>
        <v>-12.5</v>
      </c>
      <c r="E21" s="78">
        <f>E20+D21</f>
        <v>-1.3469857426501957</v>
      </c>
      <c r="F21" s="78">
        <f t="shared" ref="F21" si="12">F20+E21</f>
        <v>8.9809837879972605</v>
      </c>
      <c r="G21" s="78">
        <f t="shared" ref="G21" si="13">G20+F21</f>
        <v>18.544941312366873</v>
      </c>
      <c r="H21" s="78">
        <f t="shared" ref="H21" si="14">H20+G21</f>
        <v>27.401404652669928</v>
      </c>
      <c r="I21" s="78">
        <f t="shared" ref="I21" si="15">I20+H21</f>
        <v>27.090870433630045</v>
      </c>
      <c r="J21" s="78">
        <f t="shared" ref="J21" si="16">J20+I21</f>
        <v>34.685484521653478</v>
      </c>
      <c r="K21" s="78">
        <f t="shared" ref="K21" si="17">K20+J21</f>
        <v>41.718286694074465</v>
      </c>
      <c r="L21" s="78">
        <f t="shared" ref="L21" si="18">L20+K21</f>
        <v>48.230837012385877</v>
      </c>
      <c r="M21" s="78">
        <f t="shared" ref="M21" si="19">M20+L21</f>
        <v>54.2616211306796</v>
      </c>
      <c r="N21" s="78">
        <f t="shared" ref="N21" si="20">N20+M21</f>
        <v>54.05016371653889</v>
      </c>
      <c r="O21" s="78">
        <f t="shared" ref="O21" si="21">O20+N21</f>
        <v>59.221695090489597</v>
      </c>
      <c r="P21" s="78">
        <f t="shared" ref="P21" si="22">P20+O21</f>
        <v>64.010662200591895</v>
      </c>
      <c r="Q21" s="78">
        <f t="shared" ref="Q21" si="23">Q20+P21</f>
        <v>68.445365255312296</v>
      </c>
      <c r="R21" s="78">
        <f t="shared" ref="R21" si="24">R20+Q21</f>
        <v>72.55201095393484</v>
      </c>
      <c r="S21" s="78">
        <f t="shared" ref="S21" si="25">S20+R21</f>
        <v>72.408019614966392</v>
      </c>
      <c r="T21" s="78">
        <f t="shared" ref="T21" si="26">T20+S21</f>
        <v>75.929559543365443</v>
      </c>
      <c r="U21" s="78">
        <f t="shared" ref="U21" si="27">U20+T21</f>
        <v>79.190593398629801</v>
      </c>
      <c r="V21" s="78">
        <f t="shared" ref="V21" si="28">V20+U21</f>
        <v>82.210392129128621</v>
      </c>
      <c r="W21" s="78">
        <f t="shared" ref="W21" si="29">W20+V21</f>
        <v>85.006801113966645</v>
      </c>
      <c r="X21" s="78">
        <f t="shared" ref="X21" si="30">X20+W21</f>
        <v>84.908750611541933</v>
      </c>
      <c r="Y21" s="78">
        <f t="shared" ref="Y21" si="31">Y20+X21</f>
        <v>87.306733446911466</v>
      </c>
      <c r="Z21" s="78">
        <f t="shared" ref="Z21" si="32">Z20+Y21</f>
        <v>89.527325395172554</v>
      </c>
      <c r="AA21" s="78">
        <f t="shared" ref="AA21" si="33">AA20+Z21</f>
        <v>91.583648955104167</v>
      </c>
      <c r="AB21" s="78">
        <f t="shared" ref="AB21" si="34">AB20+AA21</f>
        <v>93.487855888053318</v>
      </c>
      <c r="AC21" s="78">
        <f t="shared" ref="AC21" si="35">AC20+AB21</f>
        <v>93.421088670701124</v>
      </c>
      <c r="AD21" s="78">
        <f t="shared" ref="AD21" si="36">AD20+AC21</f>
        <v>95.053988423549043</v>
      </c>
      <c r="AE21" s="78">
        <f t="shared" ref="AE21" si="37">AE20+AD21</f>
        <v>96.566094344412676</v>
      </c>
      <c r="AF21" s="78">
        <f t="shared" ref="AF21" si="38">AF20+AE21</f>
        <v>97.966342162396018</v>
      </c>
      <c r="AG21" s="78">
        <f t="shared" ref="AG21" si="39">AG20+AF21</f>
        <v>99.263006585644405</v>
      </c>
      <c r="AH21" s="78">
        <f t="shared" ref="AH21" si="40">AH20+AG21</f>
        <v>99.217541634392603</v>
      </c>
      <c r="AI21" s="78">
        <f t="shared" ref="AI21" si="41">AI20+AH21</f>
        <v>100.32946018673699</v>
      </c>
      <c r="AJ21" s="78">
        <f t="shared" ref="AJ21" si="42">AJ20+AI21</f>
        <v>101.35912451462097</v>
      </c>
      <c r="AK21" s="78">
        <f t="shared" ref="AK21" si="43">AK20+AJ21</f>
        <v>102.31261937796452</v>
      </c>
      <c r="AL21" s="78">
        <f t="shared" ref="AL21" si="44">AL20+AK21</f>
        <v>103.19557941630137</v>
      </c>
      <c r="AM21" s="78">
        <f t="shared" ref="AM21" si="45">AM20+AL21</f>
        <v>103.16462018399692</v>
      </c>
      <c r="AN21" s="78">
        <f t="shared" ref="AN21" si="46">AN20+AM21</f>
        <v>103.92177803455776</v>
      </c>
      <c r="AO21" s="78">
        <f t="shared" ref="AO21" si="47">AO20+AN21</f>
        <v>104.62292509938193</v>
      </c>
      <c r="AP21" s="78">
        <f t="shared" ref="AP21" si="48">AP20+AO21</f>
        <v>105.27220477884032</v>
      </c>
      <c r="AQ21" s="78">
        <f t="shared" ref="AQ21" si="49">AQ20+AP21</f>
        <v>105.87345396507673</v>
      </c>
      <c r="AR21" s="78">
        <f t="shared" ref="AR21" si="50">AR20+AQ21</f>
        <v>105.85237236180892</v>
      </c>
      <c r="AS21" s="78">
        <f t="shared" ref="AS21" si="51">AS20+AR21</f>
        <v>106.36795689761612</v>
      </c>
      <c r="AT21" s="78">
        <f t="shared" ref="AT21" si="52">AT20+AS21</f>
        <v>106.84540104441086</v>
      </c>
      <c r="AU21" s="78">
        <f t="shared" ref="AU21" si="53">AU20+AT21</f>
        <v>107.28752623916998</v>
      </c>
      <c r="AV21" s="78">
        <f t="shared" ref="AV21" si="54">AV20+AU21</f>
        <v>107.69694520294424</v>
      </c>
      <c r="AW21" s="78">
        <f t="shared" ref="AW21" si="55">AW20+AV21</f>
        <v>107.68258974373997</v>
      </c>
      <c r="AX21" s="78">
        <f t="shared" ref="AX21" si="56">AX20+AW21</f>
        <v>108.03367560168442</v>
      </c>
      <c r="AY21" s="78">
        <f t="shared" ref="AY21" si="57">AY20+AX21</f>
        <v>108.3587898676419</v>
      </c>
      <c r="AZ21" s="78">
        <f t="shared" ref="AZ21" si="58">AZ20+AY21</f>
        <v>108.65985379128702</v>
      </c>
      <c r="BA21" s="78">
        <f t="shared" ref="BA21" si="59">BA20+AZ21</f>
        <v>108.9386464977641</v>
      </c>
      <c r="BB21" s="78">
        <f t="shared" ref="BB21" si="60">BB20+BA21</f>
        <v>108.92887118768226</v>
      </c>
    </row>
    <row r="22" spans="1:54" s="76" customFormat="1" x14ac:dyDescent="0.25">
      <c r="A22" s="178"/>
      <c r="B22" s="22" t="s">
        <v>361</v>
      </c>
      <c r="C22" s="75" t="s">
        <v>362</v>
      </c>
      <c r="D22" s="93">
        <f>SUM(D20:BB20)</f>
        <v>108.92887118768226</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76" customFormat="1" x14ac:dyDescent="0.25">
      <c r="A23" s="180" t="s">
        <v>3</v>
      </c>
      <c r="B23" s="76" t="s">
        <v>363</v>
      </c>
      <c r="C23" s="77" t="s">
        <v>362</v>
      </c>
      <c r="D23" s="76">
        <f>-0.15*(1239+529+2*350)</f>
        <v>-370.2</v>
      </c>
      <c r="E23" s="76">
        <v>0</v>
      </c>
      <c r="F23" s="76">
        <v>0</v>
      </c>
      <c r="G23" s="76">
        <v>0</v>
      </c>
      <c r="H23" s="76">
        <v>0</v>
      </c>
      <c r="I23" s="76">
        <v>0</v>
      </c>
      <c r="J23" s="76">
        <v>0</v>
      </c>
      <c r="K23" s="76">
        <v>0</v>
      </c>
      <c r="L23" s="76">
        <v>0</v>
      </c>
      <c r="M23" s="76">
        <v>0</v>
      </c>
      <c r="N23" s="76">
        <f>-0.15*700*(1+$C$1)^N6</f>
        <v>-153.93762244927422</v>
      </c>
      <c r="O23" s="76">
        <v>0</v>
      </c>
      <c r="P23" s="76">
        <v>0</v>
      </c>
      <c r="Q23" s="76">
        <v>0</v>
      </c>
      <c r="R23" s="76">
        <v>0</v>
      </c>
      <c r="S23" s="76">
        <v>0</v>
      </c>
      <c r="T23" s="76">
        <f>-(0.15*(1239+529))*(1+$C$1)^T6</f>
        <v>-489.12772524313567</v>
      </c>
      <c r="U23" s="76">
        <v>0</v>
      </c>
      <c r="V23" s="76">
        <v>0</v>
      </c>
      <c r="W23" s="76">
        <v>0</v>
      </c>
      <c r="X23" s="76">
        <f>-0.15*700*(1+$C$1)^X6</f>
        <v>-225.68372957462182</v>
      </c>
      <c r="Y23" s="76">
        <v>0</v>
      </c>
      <c r="Z23" s="76">
        <v>0</v>
      </c>
      <c r="AA23" s="76">
        <v>0</v>
      </c>
      <c r="AB23" s="76">
        <v>0</v>
      </c>
      <c r="AC23" s="76">
        <v>0</v>
      </c>
      <c r="AD23" s="76">
        <v>0</v>
      </c>
      <c r="AE23" s="76">
        <v>0</v>
      </c>
      <c r="AF23" s="76">
        <v>0</v>
      </c>
      <c r="AG23" s="76">
        <v>0</v>
      </c>
      <c r="AH23" s="76">
        <f>-0.15*700*(1+$C$1)^AH6</f>
        <v>-330.86873101144982</v>
      </c>
      <c r="AI23" s="76">
        <v>0</v>
      </c>
      <c r="AJ23" s="76">
        <f>-(0.15*(1239+529))*(1+$C$1)^AJ6</f>
        <v>-902.13398039790502</v>
      </c>
      <c r="AK23" s="76">
        <v>0</v>
      </c>
      <c r="AL23" s="76">
        <v>0</v>
      </c>
      <c r="AM23" s="76">
        <v>0</v>
      </c>
      <c r="AN23" s="76">
        <v>0</v>
      </c>
      <c r="AO23" s="76">
        <v>0</v>
      </c>
      <c r="AP23" s="76">
        <v>0</v>
      </c>
      <c r="AQ23" s="76">
        <v>0</v>
      </c>
      <c r="AR23" s="76">
        <f>-0.15*700*(1+$C$1)^AR6</f>
        <v>-485.07757899724794</v>
      </c>
      <c r="AS23" s="76">
        <v>0</v>
      </c>
      <c r="AT23" s="76">
        <v>0</v>
      </c>
      <c r="AU23" s="76">
        <v>0</v>
      </c>
      <c r="AV23" s="76">
        <v>0</v>
      </c>
      <c r="AW23" s="76">
        <v>0</v>
      </c>
      <c r="AX23" s="76">
        <v>0</v>
      </c>
      <c r="AY23" s="76">
        <v>0</v>
      </c>
      <c r="AZ23" s="76">
        <v>0</v>
      </c>
      <c r="BA23" s="76">
        <v>0</v>
      </c>
      <c r="BB23" s="76">
        <v>0</v>
      </c>
    </row>
    <row r="24" spans="1:54" s="76" customFormat="1" x14ac:dyDescent="0.25">
      <c r="A24" s="180"/>
      <c r="B24" s="76" t="s">
        <v>356</v>
      </c>
      <c r="C24" s="77" t="s">
        <v>362</v>
      </c>
      <c r="D24" s="76">
        <v>0</v>
      </c>
      <c r="E24" s="78">
        <f>ABS('Annual Calculations'!$Q$8)*(1+$C$3)^E$6</f>
        <v>92.618966836006692</v>
      </c>
      <c r="F24" s="78">
        <f>ABS('Annual Calculations'!$Q$8)*(1+$C$3)^F$6</f>
        <v>96.231106542610931</v>
      </c>
      <c r="G24" s="78">
        <f>ABS('Annual Calculations'!$Q$8)*(1+$C$3)^G$6</f>
        <v>99.984119697772755</v>
      </c>
      <c r="H24" s="78">
        <f>ABS('Annual Calculations'!$Q$8)*(1+$C$3)^H$6</f>
        <v>103.88350036598587</v>
      </c>
      <c r="I24" s="78">
        <f>ABS('Annual Calculations'!$Q$8)*(1+$C$3)^I$6</f>
        <v>107.93495688025931</v>
      </c>
      <c r="J24" s="78">
        <f>ABS('Annual Calculations'!$Q$8)*(1+$C$3)^J$6</f>
        <v>112.14442019858939</v>
      </c>
      <c r="K24" s="78">
        <f>ABS('Annual Calculations'!$Q$8)*(1+$C$3)^K$6</f>
        <v>116.51805258633438</v>
      </c>
      <c r="L24" s="78">
        <f>ABS('Annual Calculations'!$Q$8)*(1+$C$3)^L$6</f>
        <v>121.06225663720139</v>
      </c>
      <c r="M24" s="78">
        <f>ABS('Annual Calculations'!$Q$8)*(1+$C$3)^M$6</f>
        <v>125.78368464605224</v>
      </c>
      <c r="N24" s="78">
        <f>ABS('Annual Calculations'!$Q$8)*(1+$C$3)^N$6</f>
        <v>130.68924834724825</v>
      </c>
      <c r="O24" s="78">
        <f>ABS('Annual Calculations'!$Q$8)*(1+$C$3)^O$6</f>
        <v>135.78612903279091</v>
      </c>
      <c r="P24" s="78">
        <f>ABS('Annual Calculations'!$Q$8)*(1+$C$3)^P$6</f>
        <v>141.08178806506973</v>
      </c>
      <c r="Q24" s="78">
        <f>ABS('Annual Calculations'!$Q$8)*(1+$C$3)^Q$6</f>
        <v>146.58397779960745</v>
      </c>
      <c r="R24" s="78">
        <f>ABS('Annual Calculations'!$Q$8)*(1+$C$3)^R$6</f>
        <v>152.3007529337921</v>
      </c>
      <c r="S24" s="78">
        <f>ABS('Annual Calculations'!$Q$8)*(1+$C$3)^S$6</f>
        <v>158.24048229820997</v>
      </c>
      <c r="T24" s="78">
        <f>ABS('Annual Calculations'!$Q$8)*(1+$C$3)^T$6</f>
        <v>164.41186110784014</v>
      </c>
      <c r="U24" s="78">
        <f>ABS('Annual Calculations'!$Q$8)*(1+$C$3)^U$6</f>
        <v>170.82392369104591</v>
      </c>
      <c r="V24" s="78">
        <f>ABS('Annual Calculations'!$Q$8)*(1+$C$3)^V$6</f>
        <v>177.48605671499666</v>
      </c>
      <c r="W24" s="78">
        <f>ABS('Annual Calculations'!$Q$8)*(1+$C$3)^W$6</f>
        <v>184.4080129268815</v>
      </c>
      <c r="X24" s="78">
        <f>ABS('Annual Calculations'!$Q$8)*(1+$C$3)^X$6</f>
        <v>191.59992543102985</v>
      </c>
      <c r="Y24" s="78">
        <f>ABS('Annual Calculations'!$Q$8)*(1+$C$3)^Y$6</f>
        <v>199.07232252284001</v>
      </c>
      <c r="Z24" s="78">
        <f>ABS('Annual Calculations'!$Q$8)*(1+$C$3)^Z$6</f>
        <v>206.8361431012307</v>
      </c>
      <c r="AA24" s="78">
        <f>ABS('Annual Calculations'!$Q$8)*(1+$C$3)^AA$6</f>
        <v>214.90275268217871</v>
      </c>
      <c r="AB24" s="78">
        <f>ABS('Annual Calculations'!$Q$8)*(1+$C$3)^AB$6</f>
        <v>223.28396003678364</v>
      </c>
      <c r="AC24" s="78">
        <f>ABS('Annual Calculations'!$Q$8)*(1+$C$3)^AC$6</f>
        <v>231.99203447821819</v>
      </c>
      <c r="AD24" s="78">
        <f>ABS('Annual Calculations'!$Q$8)*(1+$C$3)^AD$6</f>
        <v>241.03972382286864</v>
      </c>
      <c r="AE24" s="78">
        <f>ABS('Annual Calculations'!$Q$8)*(1+$C$3)^AE$6</f>
        <v>250.44027305196047</v>
      </c>
      <c r="AF24" s="78">
        <f>ABS('Annual Calculations'!$Q$8)*(1+$C$3)^AF$6</f>
        <v>260.20744370098686</v>
      </c>
      <c r="AG24" s="78">
        <f>ABS('Annual Calculations'!$Q$8)*(1+$C$3)^AG$6</f>
        <v>270.35553400532541</v>
      </c>
      <c r="AH24" s="78">
        <f>ABS('Annual Calculations'!$Q$8)*(1+$C$3)^AH$6</f>
        <v>280.89939983153295</v>
      </c>
      <c r="AI24" s="78">
        <f>ABS('Annual Calculations'!$Q$8)*(1+$C$3)^AI$6</f>
        <v>291.85447642496274</v>
      </c>
      <c r="AJ24" s="78">
        <f>ABS('Annual Calculations'!$Q$8)*(1+$C$3)^AJ$6</f>
        <v>303.23680100553628</v>
      </c>
      <c r="AK24" s="78">
        <f>ABS('Annual Calculations'!$Q$8)*(1+$C$3)^AK$6</f>
        <v>315.06303624475214</v>
      </c>
      <c r="AL24" s="78">
        <f>ABS('Annual Calculations'!$Q$8)*(1+$C$3)^AL$6</f>
        <v>327.35049465829741</v>
      </c>
      <c r="AM24" s="78">
        <f>ABS('Annual Calculations'!$Q$8)*(1+$C$3)^AM$6</f>
        <v>340.11716394997103</v>
      </c>
      <c r="AN24" s="78">
        <f>ABS('Annual Calculations'!$Q$8)*(1+$C$3)^AN$6</f>
        <v>353.38173334401978</v>
      </c>
      <c r="AO24" s="78">
        <f>ABS('Annual Calculations'!$Q$8)*(1+$C$3)^AO$6</f>
        <v>367.1636209444365</v>
      </c>
      <c r="AP24" s="78">
        <f>ABS('Annual Calculations'!$Q$8)*(1+$C$3)^AP$6</f>
        <v>381.48300216126944</v>
      </c>
      <c r="AQ24" s="78">
        <f>ABS('Annual Calculations'!$Q$8)*(1+$C$3)^AQ$6</f>
        <v>396.36083924555896</v>
      </c>
      <c r="AR24" s="78">
        <f>ABS('Annual Calculations'!$Q$8)*(1+$C$3)^AR$6</f>
        <v>411.81891197613567</v>
      </c>
      <c r="AS24" s="78">
        <f>ABS('Annual Calculations'!$Q$8)*(1+$C$3)^AS$6</f>
        <v>427.87984954320501</v>
      </c>
      <c r="AT24" s="78">
        <f>ABS('Annual Calculations'!$Q$8)*(1+$C$3)^AT$6</f>
        <v>444.56716367538985</v>
      </c>
      <c r="AU24" s="78">
        <f>ABS('Annual Calculations'!$Q$8)*(1+$C$3)^AU$6</f>
        <v>461.90528305873005</v>
      </c>
      <c r="AV24" s="78">
        <f>ABS('Annual Calculations'!$Q$8)*(1+$C$3)^AV$6</f>
        <v>479.91958909802037</v>
      </c>
      <c r="AW24" s="78">
        <f>ABS('Annual Calculations'!$Q$8)*(1+$C$3)^AW$6</f>
        <v>498.63645307284315</v>
      </c>
      <c r="AX24" s="78">
        <f>ABS('Annual Calculations'!$Q$8)*(1+$C$3)^AX$6</f>
        <v>518.0832747426839</v>
      </c>
      <c r="AY24" s="78">
        <f>ABS('Annual Calculations'!$Q$8)*(1+$C$3)^AY$6</f>
        <v>538.28852245764858</v>
      </c>
      <c r="AZ24" s="78">
        <f>ABS('Annual Calculations'!$Q$8)*(1+$C$3)^AZ$6</f>
        <v>559.2817748334968</v>
      </c>
      <c r="BA24" s="78">
        <f>ABS('Annual Calculations'!$Q$8)*(1+$C$3)^BA$6</f>
        <v>581.09376405200317</v>
      </c>
      <c r="BB24" s="78">
        <f>ABS('Annual Calculations'!$Q$8)*(1+$C$3)^BB$6</f>
        <v>603.75642085003119</v>
      </c>
    </row>
    <row r="25" spans="1:54" s="76" customFormat="1" x14ac:dyDescent="0.25">
      <c r="A25" s="180"/>
      <c r="B25" s="76" t="s">
        <v>357</v>
      </c>
      <c r="C25" s="77" t="s">
        <v>362</v>
      </c>
      <c r="D25" s="76">
        <v>0</v>
      </c>
      <c r="E25" s="78">
        <f t="shared" ref="E25:AJ25" si="61">0*(1+$C$3)^E$6</f>
        <v>0</v>
      </c>
      <c r="F25" s="78">
        <f t="shared" si="61"/>
        <v>0</v>
      </c>
      <c r="G25" s="78">
        <f t="shared" si="61"/>
        <v>0</v>
      </c>
      <c r="H25" s="78">
        <f t="shared" si="61"/>
        <v>0</v>
      </c>
      <c r="I25" s="78">
        <f t="shared" si="61"/>
        <v>0</v>
      </c>
      <c r="J25" s="78">
        <f t="shared" si="61"/>
        <v>0</v>
      </c>
      <c r="K25" s="78">
        <f t="shared" si="61"/>
        <v>0</v>
      </c>
      <c r="L25" s="78">
        <f t="shared" si="61"/>
        <v>0</v>
      </c>
      <c r="M25" s="78">
        <f t="shared" si="61"/>
        <v>0</v>
      </c>
      <c r="N25" s="78">
        <f t="shared" si="61"/>
        <v>0</v>
      </c>
      <c r="O25" s="78">
        <f t="shared" si="61"/>
        <v>0</v>
      </c>
      <c r="P25" s="78">
        <f t="shared" si="61"/>
        <v>0</v>
      </c>
      <c r="Q25" s="78">
        <f t="shared" si="61"/>
        <v>0</v>
      </c>
      <c r="R25" s="78">
        <f t="shared" si="61"/>
        <v>0</v>
      </c>
      <c r="S25" s="78">
        <f t="shared" si="61"/>
        <v>0</v>
      </c>
      <c r="T25" s="78">
        <f t="shared" si="61"/>
        <v>0</v>
      </c>
      <c r="U25" s="78">
        <f t="shared" si="61"/>
        <v>0</v>
      </c>
      <c r="V25" s="78">
        <f t="shared" si="61"/>
        <v>0</v>
      </c>
      <c r="W25" s="78">
        <f t="shared" si="61"/>
        <v>0</v>
      </c>
      <c r="X25" s="78">
        <f t="shared" si="61"/>
        <v>0</v>
      </c>
      <c r="Y25" s="78">
        <f t="shared" si="61"/>
        <v>0</v>
      </c>
      <c r="Z25" s="78">
        <f t="shared" si="61"/>
        <v>0</v>
      </c>
      <c r="AA25" s="78">
        <f t="shared" si="61"/>
        <v>0</v>
      </c>
      <c r="AB25" s="78">
        <f t="shared" si="61"/>
        <v>0</v>
      </c>
      <c r="AC25" s="78">
        <f t="shared" si="61"/>
        <v>0</v>
      </c>
      <c r="AD25" s="78">
        <f t="shared" si="61"/>
        <v>0</v>
      </c>
      <c r="AE25" s="78">
        <f t="shared" si="61"/>
        <v>0</v>
      </c>
      <c r="AF25" s="78">
        <f t="shared" si="61"/>
        <v>0</v>
      </c>
      <c r="AG25" s="78">
        <f t="shared" si="61"/>
        <v>0</v>
      </c>
      <c r="AH25" s="78">
        <f t="shared" si="61"/>
        <v>0</v>
      </c>
      <c r="AI25" s="78">
        <f t="shared" si="61"/>
        <v>0</v>
      </c>
      <c r="AJ25" s="78">
        <f t="shared" si="61"/>
        <v>0</v>
      </c>
      <c r="AK25" s="78">
        <f t="shared" ref="AK25:BB25" si="62">0*(1+$C$3)^AK$6</f>
        <v>0</v>
      </c>
      <c r="AL25" s="78">
        <f t="shared" si="62"/>
        <v>0</v>
      </c>
      <c r="AM25" s="78">
        <f t="shared" si="62"/>
        <v>0</v>
      </c>
      <c r="AN25" s="78">
        <f t="shared" si="62"/>
        <v>0</v>
      </c>
      <c r="AO25" s="78">
        <f t="shared" si="62"/>
        <v>0</v>
      </c>
      <c r="AP25" s="78">
        <f t="shared" si="62"/>
        <v>0</v>
      </c>
      <c r="AQ25" s="78">
        <f t="shared" si="62"/>
        <v>0</v>
      </c>
      <c r="AR25" s="78">
        <f t="shared" si="62"/>
        <v>0</v>
      </c>
      <c r="AS25" s="78">
        <f t="shared" si="62"/>
        <v>0</v>
      </c>
      <c r="AT25" s="78">
        <f t="shared" si="62"/>
        <v>0</v>
      </c>
      <c r="AU25" s="78">
        <f t="shared" si="62"/>
        <v>0</v>
      </c>
      <c r="AV25" s="78">
        <f t="shared" si="62"/>
        <v>0</v>
      </c>
      <c r="AW25" s="78">
        <f t="shared" si="62"/>
        <v>0</v>
      </c>
      <c r="AX25" s="78">
        <f t="shared" si="62"/>
        <v>0</v>
      </c>
      <c r="AY25" s="78">
        <f t="shared" si="62"/>
        <v>0</v>
      </c>
      <c r="AZ25" s="78">
        <f t="shared" si="62"/>
        <v>0</v>
      </c>
      <c r="BA25" s="78">
        <f t="shared" si="62"/>
        <v>0</v>
      </c>
      <c r="BB25" s="78">
        <f t="shared" si="62"/>
        <v>0</v>
      </c>
    </row>
    <row r="26" spans="1:54" s="76" customFormat="1" x14ac:dyDescent="0.25">
      <c r="A26" s="180"/>
      <c r="B26" s="76" t="s">
        <v>358</v>
      </c>
      <c r="C26" s="77" t="s">
        <v>362</v>
      </c>
      <c r="D26" s="76">
        <f>SUM(D23:D25)</f>
        <v>-370.2</v>
      </c>
      <c r="E26" s="78">
        <f t="shared" ref="E26:BB26" si="63">SUM(E23:E25)</f>
        <v>92.618966836006692</v>
      </c>
      <c r="F26" s="78">
        <f t="shared" si="63"/>
        <v>96.231106542610931</v>
      </c>
      <c r="G26" s="78">
        <f t="shared" si="63"/>
        <v>99.984119697772755</v>
      </c>
      <c r="H26" s="78">
        <f t="shared" si="63"/>
        <v>103.88350036598587</v>
      </c>
      <c r="I26" s="78">
        <f t="shared" si="63"/>
        <v>107.93495688025931</v>
      </c>
      <c r="J26" s="78">
        <f t="shared" si="63"/>
        <v>112.14442019858939</v>
      </c>
      <c r="K26" s="78">
        <f t="shared" si="63"/>
        <v>116.51805258633438</v>
      </c>
      <c r="L26" s="78">
        <f t="shared" si="63"/>
        <v>121.06225663720139</v>
      </c>
      <c r="M26" s="78">
        <f t="shared" si="63"/>
        <v>125.78368464605224</v>
      </c>
      <c r="N26" s="78">
        <f t="shared" si="63"/>
        <v>-23.248374102025963</v>
      </c>
      <c r="O26" s="78">
        <f t="shared" si="63"/>
        <v>135.78612903279091</v>
      </c>
      <c r="P26" s="78">
        <f t="shared" si="63"/>
        <v>141.08178806506973</v>
      </c>
      <c r="Q26" s="78">
        <f t="shared" si="63"/>
        <v>146.58397779960745</v>
      </c>
      <c r="R26" s="78">
        <f t="shared" si="63"/>
        <v>152.3007529337921</v>
      </c>
      <c r="S26" s="78">
        <f t="shared" si="63"/>
        <v>158.24048229820997</v>
      </c>
      <c r="T26" s="78">
        <f t="shared" si="63"/>
        <v>-324.71586413529553</v>
      </c>
      <c r="U26" s="78">
        <f t="shared" si="63"/>
        <v>170.82392369104591</v>
      </c>
      <c r="V26" s="78">
        <f t="shared" si="63"/>
        <v>177.48605671499666</v>
      </c>
      <c r="W26" s="78">
        <f t="shared" si="63"/>
        <v>184.4080129268815</v>
      </c>
      <c r="X26" s="78">
        <f t="shared" si="63"/>
        <v>-34.083804143591976</v>
      </c>
      <c r="Y26" s="78">
        <f t="shared" si="63"/>
        <v>199.07232252284001</v>
      </c>
      <c r="Z26" s="78">
        <f t="shared" si="63"/>
        <v>206.8361431012307</v>
      </c>
      <c r="AA26" s="78">
        <f t="shared" si="63"/>
        <v>214.90275268217871</v>
      </c>
      <c r="AB26" s="78">
        <f t="shared" si="63"/>
        <v>223.28396003678364</v>
      </c>
      <c r="AC26" s="78">
        <f t="shared" si="63"/>
        <v>231.99203447821819</v>
      </c>
      <c r="AD26" s="78">
        <f t="shared" si="63"/>
        <v>241.03972382286864</v>
      </c>
      <c r="AE26" s="78">
        <f t="shared" si="63"/>
        <v>250.44027305196047</v>
      </c>
      <c r="AF26" s="78">
        <f t="shared" si="63"/>
        <v>260.20744370098686</v>
      </c>
      <c r="AG26" s="78">
        <f t="shared" si="63"/>
        <v>270.35553400532541</v>
      </c>
      <c r="AH26" s="78">
        <f t="shared" si="63"/>
        <v>-49.969331179916878</v>
      </c>
      <c r="AI26" s="78">
        <f t="shared" si="63"/>
        <v>291.85447642496274</v>
      </c>
      <c r="AJ26" s="78">
        <f t="shared" si="63"/>
        <v>-598.8971793923688</v>
      </c>
      <c r="AK26" s="78">
        <f t="shared" si="63"/>
        <v>315.06303624475214</v>
      </c>
      <c r="AL26" s="78">
        <f t="shared" si="63"/>
        <v>327.35049465829741</v>
      </c>
      <c r="AM26" s="78">
        <f t="shared" si="63"/>
        <v>340.11716394997103</v>
      </c>
      <c r="AN26" s="78">
        <f t="shared" si="63"/>
        <v>353.38173334401978</v>
      </c>
      <c r="AO26" s="78">
        <f t="shared" si="63"/>
        <v>367.1636209444365</v>
      </c>
      <c r="AP26" s="78">
        <f t="shared" si="63"/>
        <v>381.48300216126944</v>
      </c>
      <c r="AQ26" s="78">
        <f t="shared" si="63"/>
        <v>396.36083924555896</v>
      </c>
      <c r="AR26" s="78">
        <f t="shared" si="63"/>
        <v>-73.258667021112274</v>
      </c>
      <c r="AS26" s="78">
        <f t="shared" si="63"/>
        <v>427.87984954320501</v>
      </c>
      <c r="AT26" s="78">
        <f t="shared" si="63"/>
        <v>444.56716367538985</v>
      </c>
      <c r="AU26" s="78">
        <f t="shared" si="63"/>
        <v>461.90528305873005</v>
      </c>
      <c r="AV26" s="78">
        <f t="shared" si="63"/>
        <v>479.91958909802037</v>
      </c>
      <c r="AW26" s="78">
        <f t="shared" si="63"/>
        <v>498.63645307284315</v>
      </c>
      <c r="AX26" s="78">
        <f t="shared" si="63"/>
        <v>518.0832747426839</v>
      </c>
      <c r="AY26" s="78">
        <f t="shared" si="63"/>
        <v>538.28852245764858</v>
      </c>
      <c r="AZ26" s="78">
        <f t="shared" si="63"/>
        <v>559.2817748334968</v>
      </c>
      <c r="BA26" s="78">
        <f t="shared" si="63"/>
        <v>581.09376405200317</v>
      </c>
      <c r="BB26" s="78">
        <f t="shared" si="63"/>
        <v>603.75642085003119</v>
      </c>
    </row>
    <row r="27" spans="1:54" s="76" customFormat="1" x14ac:dyDescent="0.25">
      <c r="A27" s="180"/>
      <c r="B27" s="76" t="s">
        <v>359</v>
      </c>
      <c r="C27" s="77"/>
      <c r="D27" s="76">
        <f t="shared" ref="D27:AI27" si="64">(1+$C$2)^D$194</f>
        <v>1</v>
      </c>
      <c r="E27" s="79">
        <f t="shared" si="64"/>
        <v>1.1219999999999999</v>
      </c>
      <c r="F27" s="79">
        <f t="shared" si="64"/>
        <v>1.2588839999999997</v>
      </c>
      <c r="G27" s="79">
        <f t="shared" si="64"/>
        <v>1.4124678479999995</v>
      </c>
      <c r="H27" s="79">
        <f t="shared" si="64"/>
        <v>1.5847889254559993</v>
      </c>
      <c r="I27" s="79">
        <f t="shared" si="64"/>
        <v>1.7781331743616309</v>
      </c>
      <c r="J27" s="79">
        <f t="shared" si="64"/>
        <v>1.9950654216337496</v>
      </c>
      <c r="K27" s="79">
        <f t="shared" si="64"/>
        <v>2.2384634030730668</v>
      </c>
      <c r="L27" s="79">
        <f t="shared" si="64"/>
        <v>2.5115559382479806</v>
      </c>
      <c r="M27" s="79">
        <f t="shared" si="64"/>
        <v>2.817965762714234</v>
      </c>
      <c r="N27" s="79">
        <f t="shared" si="64"/>
        <v>3.1617575857653701</v>
      </c>
      <c r="O27" s="79">
        <f t="shared" si="64"/>
        <v>3.5474920112287447</v>
      </c>
      <c r="P27" s="79">
        <f t="shared" si="64"/>
        <v>3.9802860365986512</v>
      </c>
      <c r="Q27" s="79">
        <f t="shared" si="64"/>
        <v>4.4658809330636862</v>
      </c>
      <c r="R27" s="79">
        <f t="shared" si="64"/>
        <v>5.0107184068974551</v>
      </c>
      <c r="S27" s="79">
        <f t="shared" si="64"/>
        <v>5.6220260525389438</v>
      </c>
      <c r="T27" s="79">
        <f t="shared" si="64"/>
        <v>6.307913230948694</v>
      </c>
      <c r="U27" s="79">
        <f t="shared" si="64"/>
        <v>7.077478645124434</v>
      </c>
      <c r="V27" s="79">
        <f t="shared" si="64"/>
        <v>7.9409310398296133</v>
      </c>
      <c r="W27" s="79">
        <f t="shared" si="64"/>
        <v>8.9097246266888259</v>
      </c>
      <c r="X27" s="79">
        <f t="shared" si="64"/>
        <v>9.9967110311448621</v>
      </c>
      <c r="Y27" s="79">
        <f t="shared" si="64"/>
        <v>11.216309776944533</v>
      </c>
      <c r="Z27" s="79">
        <f t="shared" si="64"/>
        <v>12.584699569731765</v>
      </c>
      <c r="AA27" s="79">
        <f t="shared" si="64"/>
        <v>14.120032917239037</v>
      </c>
      <c r="AB27" s="79">
        <f t="shared" si="64"/>
        <v>15.842676933142199</v>
      </c>
      <c r="AC27" s="79">
        <f t="shared" si="64"/>
        <v>17.775483518985546</v>
      </c>
      <c r="AD27" s="79">
        <f t="shared" si="64"/>
        <v>19.944092508301779</v>
      </c>
      <c r="AE27" s="79">
        <f t="shared" si="64"/>
        <v>22.377271794314591</v>
      </c>
      <c r="AF27" s="79">
        <f t="shared" si="64"/>
        <v>25.107298953220969</v>
      </c>
      <c r="AG27" s="79">
        <f t="shared" si="64"/>
        <v>28.170389425513925</v>
      </c>
      <c r="AH27" s="79">
        <f t="shared" si="64"/>
        <v>31.607176935426619</v>
      </c>
      <c r="AI27" s="79">
        <f t="shared" si="64"/>
        <v>35.463252521548661</v>
      </c>
      <c r="AJ27" s="79">
        <f t="shared" ref="AJ27:BB27" si="65">(1+$C$2)^AJ$194</f>
        <v>39.789769329177595</v>
      </c>
      <c r="AK27" s="79">
        <f t="shared" si="65"/>
        <v>44.644121187337255</v>
      </c>
      <c r="AL27" s="79">
        <f t="shared" si="65"/>
        <v>50.090703972192394</v>
      </c>
      <c r="AM27" s="79">
        <f t="shared" si="65"/>
        <v>56.201769856799864</v>
      </c>
      <c r="AN27" s="79">
        <f t="shared" si="65"/>
        <v>63.058385779329434</v>
      </c>
      <c r="AO27" s="79">
        <f t="shared" si="65"/>
        <v>70.751508844407624</v>
      </c>
      <c r="AP27" s="79">
        <f t="shared" si="65"/>
        <v>79.383192923425341</v>
      </c>
      <c r="AQ27" s="79">
        <f t="shared" si="65"/>
        <v>89.067942460083216</v>
      </c>
      <c r="AR27" s="79">
        <f t="shared" si="65"/>
        <v>99.934231440213352</v>
      </c>
      <c r="AS27" s="79">
        <f t="shared" si="65"/>
        <v>112.12620767591937</v>
      </c>
      <c r="AT27" s="79">
        <f t="shared" si="65"/>
        <v>125.80560501238152</v>
      </c>
      <c r="AU27" s="79">
        <f t="shared" si="65"/>
        <v>141.15388882389203</v>
      </c>
      <c r="AV27" s="79">
        <f t="shared" si="65"/>
        <v>158.37466326040686</v>
      </c>
      <c r="AW27" s="79">
        <f t="shared" si="65"/>
        <v>177.69637217817649</v>
      </c>
      <c r="AX27" s="79">
        <f t="shared" si="65"/>
        <v>199.37532958391398</v>
      </c>
      <c r="AY27" s="79">
        <f t="shared" si="65"/>
        <v>223.69911979315145</v>
      </c>
      <c r="AZ27" s="79">
        <f t="shared" si="65"/>
        <v>250.9904124079159</v>
      </c>
      <c r="BA27" s="79">
        <f t="shared" si="65"/>
        <v>281.61124272168161</v>
      </c>
      <c r="BB27" s="79">
        <f t="shared" si="65"/>
        <v>315.96781433372672</v>
      </c>
    </row>
    <row r="28" spans="1:54" s="76" customFormat="1" x14ac:dyDescent="0.25">
      <c r="A28" s="180"/>
      <c r="B28" s="76" t="s">
        <v>360</v>
      </c>
      <c r="C28" s="77" t="s">
        <v>362</v>
      </c>
      <c r="D28" s="76">
        <f>D26/D27</f>
        <v>-370.2</v>
      </c>
      <c r="E28" s="78">
        <f>E26/E27</f>
        <v>82.548098784319691</v>
      </c>
      <c r="F28" s="78">
        <f>F26/F27</f>
        <v>76.441599498135616</v>
      </c>
      <c r="G28" s="78">
        <f t="shared" ref="G28:BB28" si="66">G26/G27</f>
        <v>70.786828768772651</v>
      </c>
      <c r="H28" s="78">
        <f t="shared" si="66"/>
        <v>65.550369956109421</v>
      </c>
      <c r="I28" s="78">
        <f t="shared" si="66"/>
        <v>60.701278417466753</v>
      </c>
      <c r="J28" s="78">
        <f t="shared" si="66"/>
        <v>56.21089864148658</v>
      </c>
      <c r="K28" s="78">
        <f t="shared" si="66"/>
        <v>52.052694909540612</v>
      </c>
      <c r="L28" s="78">
        <f t="shared" si="66"/>
        <v>48.20209448396853</v>
      </c>
      <c r="M28" s="78">
        <f t="shared" si="66"/>
        <v>44.63634239647353</v>
      </c>
      <c r="N28" s="78">
        <f t="shared" si="66"/>
        <v>-7.3529906931173548</v>
      </c>
      <c r="O28" s="78">
        <f t="shared" si="66"/>
        <v>38.276655339319191</v>
      </c>
      <c r="P28" s="78">
        <f t="shared" si="66"/>
        <v>35.445138054859747</v>
      </c>
      <c r="Q28" s="78">
        <f t="shared" si="66"/>
        <v>32.823082387699898</v>
      </c>
      <c r="R28" s="78">
        <f t="shared" si="66"/>
        <v>30.394993405365586</v>
      </c>
      <c r="S28" s="78">
        <f t="shared" si="66"/>
        <v>28.146522413703067</v>
      </c>
      <c r="T28" s="78">
        <f t="shared" si="66"/>
        <v>-51.477541343170806</v>
      </c>
      <c r="U28" s="78">
        <f t="shared" si="66"/>
        <v>24.136268331763016</v>
      </c>
      <c r="V28" s="78">
        <f t="shared" si="66"/>
        <v>22.35078680632957</v>
      </c>
      <c r="W28" s="78">
        <f t="shared" si="66"/>
        <v>20.697386356306968</v>
      </c>
      <c r="X28" s="78">
        <f t="shared" si="66"/>
        <v>-3.4095017888787136</v>
      </c>
      <c r="Y28" s="78">
        <f t="shared" si="66"/>
        <v>17.74846865695875</v>
      </c>
      <c r="Z28" s="78">
        <f t="shared" si="66"/>
        <v>16.435524897130247</v>
      </c>
      <c r="AA28" s="78">
        <f t="shared" si="66"/>
        <v>15.219706210444144</v>
      </c>
      <c r="AB28" s="78">
        <f t="shared" si="66"/>
        <v>14.093827765286509</v>
      </c>
      <c r="AC28" s="78">
        <f t="shared" si="66"/>
        <v>13.051236228282249</v>
      </c>
      <c r="AD28" s="78">
        <f t="shared" si="66"/>
        <v>12.085770446689176</v>
      </c>
      <c r="AE28" s="78">
        <f t="shared" si="66"/>
        <v>11.191725039313773</v>
      </c>
      <c r="AF28" s="78">
        <f t="shared" si="66"/>
        <v>10.36381668079056</v>
      </c>
      <c r="AG28" s="78">
        <f t="shared" si="66"/>
        <v>9.5971528799834189</v>
      </c>
      <c r="AH28" s="78">
        <f t="shared" si="66"/>
        <v>-1.5809488864508239</v>
      </c>
      <c r="AI28" s="78">
        <f t="shared" si="66"/>
        <v>8.2297718250073704</v>
      </c>
      <c r="AJ28" s="78">
        <f t="shared" si="66"/>
        <v>-15.051536852042045</v>
      </c>
      <c r="AK28" s="78">
        <f t="shared" si="66"/>
        <v>7.0572121897679061</v>
      </c>
      <c r="AL28" s="78">
        <f t="shared" si="66"/>
        <v>6.5351546035373032</v>
      </c>
      <c r="AM28" s="78">
        <f t="shared" si="66"/>
        <v>6.0517162505127082</v>
      </c>
      <c r="AN28" s="78">
        <f t="shared" si="66"/>
        <v>5.6040402711967054</v>
      </c>
      <c r="AO28" s="78">
        <f t="shared" si="66"/>
        <v>5.1894811424005134</v>
      </c>
      <c r="AP28" s="78">
        <f t="shared" si="66"/>
        <v>4.8055890436311346</v>
      </c>
      <c r="AQ28" s="78">
        <f t="shared" si="66"/>
        <v>4.4500953799757133</v>
      </c>
      <c r="AR28" s="78">
        <f t="shared" si="66"/>
        <v>-0.7330687990024719</v>
      </c>
      <c r="AS28" s="78">
        <f t="shared" si="66"/>
        <v>3.8160556609558642</v>
      </c>
      <c r="AT28" s="78">
        <f t="shared" si="66"/>
        <v>3.5337627733806971</v>
      </c>
      <c r="AU28" s="78">
        <f t="shared" si="66"/>
        <v>3.2723525147438015</v>
      </c>
      <c r="AV28" s="78">
        <f t="shared" si="66"/>
        <v>3.0302800916388666</v>
      </c>
      <c r="AW28" s="78">
        <f t="shared" si="66"/>
        <v>2.8061149868206621</v>
      </c>
      <c r="AX28" s="78">
        <f t="shared" si="66"/>
        <v>2.5985325056209159</v>
      </c>
      <c r="AY28" s="78">
        <f t="shared" si="66"/>
        <v>2.4063059477184776</v>
      </c>
      <c r="AZ28" s="78">
        <f t="shared" si="66"/>
        <v>2.2282993580031181</v>
      </c>
      <c r="BA28" s="78">
        <f t="shared" si="66"/>
        <v>2.0634608136945096</v>
      </c>
      <c r="BB28" s="78">
        <f t="shared" si="66"/>
        <v>1.9108162080468765</v>
      </c>
    </row>
    <row r="29" spans="1:54" x14ac:dyDescent="0.25">
      <c r="A29" s="180"/>
      <c r="B29" s="76" t="s">
        <v>645</v>
      </c>
      <c r="C29" s="77" t="s">
        <v>362</v>
      </c>
      <c r="D29" s="76">
        <f>D28</f>
        <v>-370.2</v>
      </c>
      <c r="E29" s="78">
        <f>E28+D29</f>
        <v>-287.65190121568031</v>
      </c>
      <c r="F29" s="78">
        <f t="shared" ref="F29" si="67">F28+E29</f>
        <v>-211.2103017175447</v>
      </c>
      <c r="G29" s="78">
        <f t="shared" ref="G29" si="68">G28+F29</f>
        <v>-140.42347294877203</v>
      </c>
      <c r="H29" s="78">
        <f t="shared" ref="H29" si="69">H28+G29</f>
        <v>-74.873102992662609</v>
      </c>
      <c r="I29" s="78">
        <f t="shared" ref="I29" si="70">I28+H29</f>
        <v>-14.171824575195856</v>
      </c>
      <c r="J29" s="78">
        <f t="shared" ref="J29" si="71">J28+I29</f>
        <v>42.039074066290723</v>
      </c>
      <c r="K29" s="78">
        <f t="shared" ref="K29" si="72">K28+J29</f>
        <v>94.091768975831343</v>
      </c>
      <c r="L29" s="78">
        <f t="shared" ref="L29" si="73">L28+K29</f>
        <v>142.29386345979987</v>
      </c>
      <c r="M29" s="78">
        <f t="shared" ref="M29" si="74">M28+L29</f>
        <v>186.9302058562734</v>
      </c>
      <c r="N29" s="78">
        <f t="shared" ref="N29" si="75">N28+M29</f>
        <v>179.57721516315604</v>
      </c>
      <c r="O29" s="78">
        <f t="shared" ref="O29" si="76">O28+N29</f>
        <v>217.85387050247522</v>
      </c>
      <c r="P29" s="78">
        <f t="shared" ref="P29" si="77">P28+O29</f>
        <v>253.29900855733496</v>
      </c>
      <c r="Q29" s="78">
        <f t="shared" ref="Q29" si="78">Q28+P29</f>
        <v>286.12209094503487</v>
      </c>
      <c r="R29" s="78">
        <f t="shared" ref="R29" si="79">R28+Q29</f>
        <v>316.51708435040047</v>
      </c>
      <c r="S29" s="78">
        <f t="shared" ref="S29" si="80">S28+R29</f>
        <v>344.66360676410352</v>
      </c>
      <c r="T29" s="78">
        <f t="shared" ref="T29" si="81">T28+S29</f>
        <v>293.18606542093272</v>
      </c>
      <c r="U29" s="78">
        <f t="shared" ref="U29" si="82">U28+T29</f>
        <v>317.32233375269573</v>
      </c>
      <c r="V29" s="78">
        <f t="shared" ref="V29" si="83">V28+U29</f>
        <v>339.67312055902528</v>
      </c>
      <c r="W29" s="78">
        <f t="shared" ref="W29" si="84">W28+V29</f>
        <v>360.37050691533227</v>
      </c>
      <c r="X29" s="78">
        <f t="shared" ref="X29" si="85">X28+W29</f>
        <v>356.96100512645359</v>
      </c>
      <c r="Y29" s="78">
        <f t="shared" ref="Y29" si="86">Y28+X29</f>
        <v>374.70947378341236</v>
      </c>
      <c r="Z29" s="78">
        <f t="shared" ref="Z29" si="87">Z28+Y29</f>
        <v>391.14499868054259</v>
      </c>
      <c r="AA29" s="78">
        <f t="shared" ref="AA29" si="88">AA28+Z29</f>
        <v>406.36470489098673</v>
      </c>
      <c r="AB29" s="78">
        <f t="shared" ref="AB29" si="89">AB28+AA29</f>
        <v>420.45853265627323</v>
      </c>
      <c r="AC29" s="78">
        <f t="shared" ref="AC29" si="90">AC28+AB29</f>
        <v>433.50976888455546</v>
      </c>
      <c r="AD29" s="78">
        <f t="shared" ref="AD29" si="91">AD28+AC29</f>
        <v>445.59553933124465</v>
      </c>
      <c r="AE29" s="78">
        <f t="shared" ref="AE29" si="92">AE28+AD29</f>
        <v>456.78726437055843</v>
      </c>
      <c r="AF29" s="78">
        <f t="shared" ref="AF29" si="93">AF28+AE29</f>
        <v>467.15108105134897</v>
      </c>
      <c r="AG29" s="78">
        <f t="shared" ref="AG29" si="94">AG28+AF29</f>
        <v>476.74823393133238</v>
      </c>
      <c r="AH29" s="78">
        <f t="shared" ref="AH29" si="95">AH28+AG29</f>
        <v>475.16728504488157</v>
      </c>
      <c r="AI29" s="78">
        <f t="shared" ref="AI29" si="96">AI28+AH29</f>
        <v>483.39705686988896</v>
      </c>
      <c r="AJ29" s="78">
        <f t="shared" ref="AJ29" si="97">AJ28+AI29</f>
        <v>468.34552001784692</v>
      </c>
      <c r="AK29" s="78">
        <f t="shared" ref="AK29" si="98">AK28+AJ29</f>
        <v>475.4027322076148</v>
      </c>
      <c r="AL29" s="78">
        <f t="shared" ref="AL29" si="99">AL28+AK29</f>
        <v>481.93788681115211</v>
      </c>
      <c r="AM29" s="78">
        <f t="shared" ref="AM29" si="100">AM28+AL29</f>
        <v>487.98960306166481</v>
      </c>
      <c r="AN29" s="78">
        <f t="shared" ref="AN29" si="101">AN28+AM29</f>
        <v>493.59364333286152</v>
      </c>
      <c r="AO29" s="78">
        <f t="shared" ref="AO29" si="102">AO28+AN29</f>
        <v>498.78312447526201</v>
      </c>
      <c r="AP29" s="78">
        <f t="shared" ref="AP29" si="103">AP28+AO29</f>
        <v>503.58871351889314</v>
      </c>
      <c r="AQ29" s="78">
        <f t="shared" ref="AQ29" si="104">AQ28+AP29</f>
        <v>508.03880889886887</v>
      </c>
      <c r="AR29" s="78">
        <f t="shared" ref="AR29" si="105">AR28+AQ29</f>
        <v>507.3057400998664</v>
      </c>
      <c r="AS29" s="78">
        <f t="shared" ref="AS29" si="106">AS28+AR29</f>
        <v>511.12179576082224</v>
      </c>
      <c r="AT29" s="78">
        <f t="shared" ref="AT29" si="107">AT28+AS29</f>
        <v>514.6555585342029</v>
      </c>
      <c r="AU29" s="78">
        <f t="shared" ref="AU29" si="108">AU28+AT29</f>
        <v>517.92791104894673</v>
      </c>
      <c r="AV29" s="78">
        <f t="shared" ref="AV29" si="109">AV28+AU29</f>
        <v>520.95819114058554</v>
      </c>
      <c r="AW29" s="78">
        <f t="shared" ref="AW29" si="110">AW28+AV29</f>
        <v>523.76430612740626</v>
      </c>
      <c r="AX29" s="78">
        <f t="shared" ref="AX29" si="111">AX28+AW29</f>
        <v>526.3628386330272</v>
      </c>
      <c r="AY29" s="78">
        <f t="shared" ref="AY29" si="112">AY28+AX29</f>
        <v>528.76914458074566</v>
      </c>
      <c r="AZ29" s="78">
        <f t="shared" ref="AZ29" si="113">AZ28+AY29</f>
        <v>530.9974439387488</v>
      </c>
      <c r="BA29" s="78">
        <f t="shared" ref="BA29" si="114">BA28+AZ29</f>
        <v>533.06090475244332</v>
      </c>
      <c r="BB29" s="78">
        <f t="shared" ref="BB29" si="115">BB28+BA29</f>
        <v>534.97172096049019</v>
      </c>
    </row>
    <row r="30" spans="1:54" x14ac:dyDescent="0.25">
      <c r="A30" s="180"/>
      <c r="B30" s="80" t="s">
        <v>361</v>
      </c>
      <c r="C30" s="81" t="s">
        <v>362</v>
      </c>
      <c r="D30" s="92">
        <f>SUM(D28:BB28)</f>
        <v>534.97172096049019</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row>
    <row r="31" spans="1:54" x14ac:dyDescent="0.25">
      <c r="A31" s="178" t="s">
        <v>4</v>
      </c>
      <c r="B31" t="s">
        <v>363</v>
      </c>
      <c r="C31" s="72" t="s">
        <v>362</v>
      </c>
      <c r="D31">
        <f>-100</f>
        <v>-100</v>
      </c>
      <c r="E31">
        <v>0</v>
      </c>
      <c r="F31">
        <v>0</v>
      </c>
      <c r="G31">
        <v>0</v>
      </c>
      <c r="H31">
        <v>0</v>
      </c>
      <c r="I31">
        <v>0</v>
      </c>
      <c r="J31">
        <v>0</v>
      </c>
      <c r="K31">
        <v>0</v>
      </c>
      <c r="L31">
        <v>0</v>
      </c>
      <c r="M31">
        <v>0</v>
      </c>
      <c r="N31">
        <v>0</v>
      </c>
      <c r="O31">
        <v>0</v>
      </c>
      <c r="P31">
        <v>0</v>
      </c>
      <c r="Q31">
        <v>0</v>
      </c>
      <c r="R31">
        <v>0</v>
      </c>
      <c r="S31">
        <v>0</v>
      </c>
      <c r="T31">
        <f>-100*(1+$C$1)^T6</f>
        <v>-184.43730212787921</v>
      </c>
      <c r="U31">
        <v>0</v>
      </c>
      <c r="V31">
        <v>0</v>
      </c>
      <c r="W31">
        <v>0</v>
      </c>
      <c r="X31">
        <v>0</v>
      </c>
      <c r="Y31">
        <v>0</v>
      </c>
      <c r="Z31">
        <v>0</v>
      </c>
      <c r="AA31">
        <v>0</v>
      </c>
      <c r="AB31">
        <v>0</v>
      </c>
      <c r="AC31">
        <v>0</v>
      </c>
      <c r="AD31">
        <v>0</v>
      </c>
      <c r="AE31">
        <v>0</v>
      </c>
      <c r="AF31">
        <v>0</v>
      </c>
      <c r="AG31">
        <v>0</v>
      </c>
      <c r="AH31">
        <v>0</v>
      </c>
      <c r="AI31">
        <v>0</v>
      </c>
      <c r="AJ31">
        <f>-100*(1+$C$1)^AJ6</f>
        <v>-340.17118416210599</v>
      </c>
      <c r="AK31">
        <v>0</v>
      </c>
      <c r="AL31">
        <v>0</v>
      </c>
      <c r="AM31">
        <v>0</v>
      </c>
      <c r="AN31">
        <v>0</v>
      </c>
      <c r="AO31">
        <v>0</v>
      </c>
      <c r="AP31">
        <v>0</v>
      </c>
      <c r="AQ31">
        <v>0</v>
      </c>
      <c r="AR31">
        <v>0</v>
      </c>
      <c r="AS31">
        <v>0</v>
      </c>
      <c r="AT31">
        <v>0</v>
      </c>
      <c r="AU31">
        <v>0</v>
      </c>
      <c r="AV31">
        <v>0</v>
      </c>
      <c r="AW31">
        <v>0</v>
      </c>
      <c r="AX31">
        <v>0</v>
      </c>
      <c r="AY31">
        <v>0</v>
      </c>
      <c r="AZ31">
        <v>0</v>
      </c>
      <c r="BA31">
        <v>0</v>
      </c>
      <c r="BB31">
        <v>0</v>
      </c>
    </row>
    <row r="32" spans="1:54" x14ac:dyDescent="0.25">
      <c r="A32" s="178"/>
      <c r="B32" t="s">
        <v>356</v>
      </c>
      <c r="C32" s="72" t="s">
        <v>362</v>
      </c>
      <c r="D32">
        <v>0</v>
      </c>
      <c r="E32" s="18">
        <f>ABS('Annual Calculations'!$Q$9)*(1+$C$3)^E$194</f>
        <v>91.418928127585602</v>
      </c>
      <c r="F32" s="18">
        <f>ABS('Annual Calculations'!$Q$9)*(1+$C$3)^F$194</f>
        <v>94.984266324561418</v>
      </c>
      <c r="G32" s="18">
        <f>ABS('Annual Calculations'!$Q$9)*(1+$C$3)^G$194</f>
        <v>98.688652711219319</v>
      </c>
      <c r="H32" s="18">
        <f>ABS('Annual Calculations'!$Q$9)*(1+$C$3)^H$194</f>
        <v>102.53751016695684</v>
      </c>
      <c r="I32" s="18">
        <f>ABS('Annual Calculations'!$Q$9)*(1+$C$3)^I$194</f>
        <v>106.53647306346815</v>
      </c>
      <c r="J32" s="18">
        <f>ABS('Annual Calculations'!$Q$9)*(1+$C$3)^J$194</f>
        <v>110.69139551294339</v>
      </c>
      <c r="K32" s="18">
        <f>ABS('Annual Calculations'!$Q$9)*(1+$C$3)^K$194</f>
        <v>115.00835993794817</v>
      </c>
      <c r="L32" s="18">
        <f>ABS('Annual Calculations'!$Q$9)*(1+$C$3)^L$194</f>
        <v>119.49368597552812</v>
      </c>
      <c r="M32" s="18">
        <f>ABS('Annual Calculations'!$Q$9)*(1+$C$3)^M$194</f>
        <v>124.15393972857372</v>
      </c>
      <c r="N32" s="18">
        <f>ABS('Annual Calculations'!$Q$9)*(1+$C$3)^N$194</f>
        <v>128.99594337798806</v>
      </c>
      <c r="O32" s="18">
        <f>ABS('Annual Calculations'!$Q$9)*(1+$C$3)^O$194</f>
        <v>134.02678516972958</v>
      </c>
      <c r="P32" s="18">
        <f>ABS('Annual Calculations'!$Q$9)*(1+$C$3)^P$194</f>
        <v>139.25382979134901</v>
      </c>
      <c r="Q32" s="18">
        <f>ABS('Annual Calculations'!$Q$9)*(1+$C$3)^Q$194</f>
        <v>144.68472915321161</v>
      </c>
      <c r="R32" s="18">
        <f>ABS('Annual Calculations'!$Q$9)*(1+$C$3)^R$194</f>
        <v>150.32743359018681</v>
      </c>
      <c r="S32" s="18">
        <f>ABS('Annual Calculations'!$Q$9)*(1+$C$3)^S$194</f>
        <v>156.19020350020412</v>
      </c>
      <c r="T32" s="18">
        <f>ABS('Annual Calculations'!$Q$9)*(1+$C$3)^T$194</f>
        <v>162.28162143671204</v>
      </c>
      <c r="U32" s="18">
        <f>ABS('Annual Calculations'!$Q$9)*(1+$C$3)^U$194</f>
        <v>168.61060467274382</v>
      </c>
      <c r="V32" s="18">
        <f>ABS('Annual Calculations'!$Q$9)*(1+$C$3)^V$194</f>
        <v>175.18641825498079</v>
      </c>
      <c r="W32" s="18">
        <f>ABS('Annual Calculations'!$Q$9)*(1+$C$3)^W$194</f>
        <v>182.01868856692499</v>
      </c>
      <c r="X32" s="18">
        <f>ABS('Annual Calculations'!$Q$9)*(1+$C$3)^X$194</f>
        <v>189.11741742103504</v>
      </c>
      <c r="Y32" s="18">
        <f>ABS('Annual Calculations'!$Q$9)*(1+$C$3)^Y$194</f>
        <v>196.49299670045542</v>
      </c>
      <c r="Z32" s="18">
        <f>ABS('Annual Calculations'!$Q$9)*(1+$C$3)^Z$194</f>
        <v>204.1562235717731</v>
      </c>
      <c r="AA32" s="18">
        <f>ABS('Annual Calculations'!$Q$9)*(1+$C$3)^AA$194</f>
        <v>212.11831629107226</v>
      </c>
      <c r="AB32" s="18">
        <f>ABS('Annual Calculations'!$Q$9)*(1+$C$3)^AB$194</f>
        <v>220.39093062642405</v>
      </c>
      <c r="AC32" s="18">
        <f>ABS('Annual Calculations'!$Q$9)*(1+$C$3)^AC$194</f>
        <v>228.98617692085458</v>
      </c>
      <c r="AD32" s="18">
        <f>ABS('Annual Calculations'!$Q$9)*(1+$C$3)^AD$194</f>
        <v>237.91663782076785</v>
      </c>
      <c r="AE32" s="18">
        <f>ABS('Annual Calculations'!$Q$9)*(1+$C$3)^AE$194</f>
        <v>247.19538669577776</v>
      </c>
      <c r="AF32" s="18">
        <f>ABS('Annual Calculations'!$Q$9)*(1+$C$3)^AF$194</f>
        <v>256.836006776913</v>
      </c>
      <c r="AG32" s="18">
        <f>ABS('Annual Calculations'!$Q$9)*(1+$C$3)^AG$194</f>
        <v>266.85261104121264</v>
      </c>
      <c r="AH32" s="18">
        <f>ABS('Annual Calculations'!$Q$9)*(1+$C$3)^AH$194</f>
        <v>277.25986287181985</v>
      </c>
      <c r="AI32" s="18">
        <f>ABS('Annual Calculations'!$Q$9)*(1+$C$3)^AI$194</f>
        <v>288.07299752382079</v>
      </c>
      <c r="AJ32" s="18">
        <f>ABS('Annual Calculations'!$Q$9)*(1+$C$3)^AJ$194</f>
        <v>299.30784442724979</v>
      </c>
      <c r="AK32" s="18">
        <f>ABS('Annual Calculations'!$Q$9)*(1+$C$3)^AK$194</f>
        <v>310.98085035991249</v>
      </c>
      <c r="AL32" s="18">
        <f>ABS('Annual Calculations'!$Q$9)*(1+$C$3)^AL$194</f>
        <v>323.10910352394905</v>
      </c>
      <c r="AM32" s="18">
        <f>ABS('Annual Calculations'!$Q$9)*(1+$C$3)^AM$194</f>
        <v>335.71035856138303</v>
      </c>
      <c r="AN32" s="18">
        <f>ABS('Annual Calculations'!$Q$9)*(1+$C$3)^AN$194</f>
        <v>348.80306254527687</v>
      </c>
      <c r="AO32" s="18">
        <f>ABS('Annual Calculations'!$Q$9)*(1+$C$3)^AO$194</f>
        <v>362.40638198454263</v>
      </c>
      <c r="AP32" s="18">
        <f>ABS('Annual Calculations'!$Q$9)*(1+$C$3)^AP$194</f>
        <v>376.54023088193969</v>
      </c>
      <c r="AQ32" s="18">
        <f>ABS('Annual Calculations'!$Q$9)*(1+$C$3)^AQ$194</f>
        <v>391.22529988633534</v>
      </c>
      <c r="AR32" s="18">
        <f>ABS('Annual Calculations'!$Q$9)*(1+$C$3)^AR$194</f>
        <v>406.48308658190234</v>
      </c>
      <c r="AS32" s="18">
        <f>ABS('Annual Calculations'!$Q$9)*(1+$C$3)^AS$194</f>
        <v>422.33592695859659</v>
      </c>
      <c r="AT32" s="18">
        <f>ABS('Annual Calculations'!$Q$9)*(1+$C$3)^AT$194</f>
        <v>438.80702810998167</v>
      </c>
      <c r="AU32" s="18">
        <f>ABS('Annual Calculations'!$Q$9)*(1+$C$3)^AU$194</f>
        <v>455.92050220627095</v>
      </c>
      <c r="AV32" s="18">
        <f>ABS('Annual Calculations'!$Q$9)*(1+$C$3)^AV$194</f>
        <v>473.70140179231544</v>
      </c>
      <c r="AW32" s="18">
        <f>ABS('Annual Calculations'!$Q$9)*(1+$C$3)^AW$194</f>
        <v>492.1757564622157</v>
      </c>
      <c r="AX32" s="18">
        <f>ABS('Annual Calculations'!$Q$9)*(1+$C$3)^AX$194</f>
        <v>511.37061096424191</v>
      </c>
      <c r="AY32" s="18">
        <f>ABS('Annual Calculations'!$Q$9)*(1+$C$3)^AY$194</f>
        <v>531.31406479184739</v>
      </c>
      <c r="AZ32" s="18">
        <f>ABS('Annual Calculations'!$Q$9)*(1+$C$3)^AZ$194</f>
        <v>552.03531331872932</v>
      </c>
      <c r="BA32" s="18">
        <f>ABS('Annual Calculations'!$Q$9)*(1+$C$3)^BA$194</f>
        <v>573.56469053815977</v>
      </c>
      <c r="BB32" s="18">
        <f>ABS('Annual Calculations'!$Q$9)*(1+$C$3)^BB$194</f>
        <v>595.93371346914796</v>
      </c>
    </row>
    <row r="33" spans="1:54" x14ac:dyDescent="0.25">
      <c r="A33" s="178"/>
      <c r="B33" t="s">
        <v>357</v>
      </c>
      <c r="C33" s="72" t="s">
        <v>362</v>
      </c>
      <c r="D33">
        <v>0</v>
      </c>
      <c r="E33" s="18">
        <f t="shared" ref="E33:AJ33" si="116">0*(1+$C$3)^E$194</f>
        <v>0</v>
      </c>
      <c r="F33" s="18">
        <f t="shared" si="116"/>
        <v>0</v>
      </c>
      <c r="G33" s="18">
        <f t="shared" si="116"/>
        <v>0</v>
      </c>
      <c r="H33" s="18">
        <f t="shared" si="116"/>
        <v>0</v>
      </c>
      <c r="I33" s="18">
        <f t="shared" si="116"/>
        <v>0</v>
      </c>
      <c r="J33" s="18">
        <f t="shared" si="116"/>
        <v>0</v>
      </c>
      <c r="K33" s="18">
        <f t="shared" si="116"/>
        <v>0</v>
      </c>
      <c r="L33" s="18">
        <f t="shared" si="116"/>
        <v>0</v>
      </c>
      <c r="M33" s="18">
        <f t="shared" si="116"/>
        <v>0</v>
      </c>
      <c r="N33" s="18">
        <f t="shared" si="116"/>
        <v>0</v>
      </c>
      <c r="O33" s="18">
        <f t="shared" si="116"/>
        <v>0</v>
      </c>
      <c r="P33" s="18">
        <f t="shared" si="116"/>
        <v>0</v>
      </c>
      <c r="Q33" s="18">
        <f t="shared" si="116"/>
        <v>0</v>
      </c>
      <c r="R33" s="18">
        <f t="shared" si="116"/>
        <v>0</v>
      </c>
      <c r="S33" s="18">
        <f t="shared" si="116"/>
        <v>0</v>
      </c>
      <c r="T33" s="18">
        <f t="shared" si="116"/>
        <v>0</v>
      </c>
      <c r="U33" s="18">
        <f t="shared" si="116"/>
        <v>0</v>
      </c>
      <c r="V33" s="18">
        <f t="shared" si="116"/>
        <v>0</v>
      </c>
      <c r="W33" s="18">
        <f t="shared" si="116"/>
        <v>0</v>
      </c>
      <c r="X33" s="18">
        <f t="shared" si="116"/>
        <v>0</v>
      </c>
      <c r="Y33" s="18">
        <f t="shared" si="116"/>
        <v>0</v>
      </c>
      <c r="Z33" s="18">
        <f t="shared" si="116"/>
        <v>0</v>
      </c>
      <c r="AA33" s="18">
        <f t="shared" si="116"/>
        <v>0</v>
      </c>
      <c r="AB33" s="18">
        <f t="shared" si="116"/>
        <v>0</v>
      </c>
      <c r="AC33" s="18">
        <f t="shared" si="116"/>
        <v>0</v>
      </c>
      <c r="AD33" s="18">
        <f t="shared" si="116"/>
        <v>0</v>
      </c>
      <c r="AE33" s="18">
        <f t="shared" si="116"/>
        <v>0</v>
      </c>
      <c r="AF33" s="18">
        <f t="shared" si="116"/>
        <v>0</v>
      </c>
      <c r="AG33" s="18">
        <f t="shared" si="116"/>
        <v>0</v>
      </c>
      <c r="AH33" s="18">
        <f t="shared" si="116"/>
        <v>0</v>
      </c>
      <c r="AI33" s="18">
        <f t="shared" si="116"/>
        <v>0</v>
      </c>
      <c r="AJ33" s="18">
        <f t="shared" si="116"/>
        <v>0</v>
      </c>
      <c r="AK33" s="18">
        <f t="shared" ref="AK33:BB33" si="117">0*(1+$C$3)^AK$194</f>
        <v>0</v>
      </c>
      <c r="AL33" s="18">
        <f t="shared" si="117"/>
        <v>0</v>
      </c>
      <c r="AM33" s="18">
        <f t="shared" si="117"/>
        <v>0</v>
      </c>
      <c r="AN33" s="18">
        <f t="shared" si="117"/>
        <v>0</v>
      </c>
      <c r="AO33" s="18">
        <f t="shared" si="117"/>
        <v>0</v>
      </c>
      <c r="AP33" s="18">
        <f t="shared" si="117"/>
        <v>0</v>
      </c>
      <c r="AQ33" s="18">
        <f t="shared" si="117"/>
        <v>0</v>
      </c>
      <c r="AR33" s="18">
        <f t="shared" si="117"/>
        <v>0</v>
      </c>
      <c r="AS33" s="18">
        <f t="shared" si="117"/>
        <v>0</v>
      </c>
      <c r="AT33" s="18">
        <f t="shared" si="117"/>
        <v>0</v>
      </c>
      <c r="AU33" s="18">
        <f t="shared" si="117"/>
        <v>0</v>
      </c>
      <c r="AV33" s="18">
        <f t="shared" si="117"/>
        <v>0</v>
      </c>
      <c r="AW33" s="18">
        <f t="shared" si="117"/>
        <v>0</v>
      </c>
      <c r="AX33" s="18">
        <f t="shared" si="117"/>
        <v>0</v>
      </c>
      <c r="AY33" s="18">
        <f t="shared" si="117"/>
        <v>0</v>
      </c>
      <c r="AZ33" s="18">
        <f t="shared" si="117"/>
        <v>0</v>
      </c>
      <c r="BA33" s="18">
        <f t="shared" si="117"/>
        <v>0</v>
      </c>
      <c r="BB33" s="18">
        <f t="shared" si="117"/>
        <v>0</v>
      </c>
    </row>
    <row r="34" spans="1:54" x14ac:dyDescent="0.25">
      <c r="A34" s="178"/>
      <c r="B34" t="s">
        <v>358</v>
      </c>
      <c r="C34" s="72" t="s">
        <v>362</v>
      </c>
      <c r="D34">
        <f>SUM(D31:D33)</f>
        <v>-100</v>
      </c>
      <c r="E34" s="18">
        <f t="shared" ref="E34:BB34" si="118">SUM(E31:E33)</f>
        <v>91.418928127585602</v>
      </c>
      <c r="F34" s="18">
        <f t="shared" si="118"/>
        <v>94.984266324561418</v>
      </c>
      <c r="G34" s="18">
        <f t="shared" si="118"/>
        <v>98.688652711219319</v>
      </c>
      <c r="H34" s="18">
        <f t="shared" si="118"/>
        <v>102.53751016695684</v>
      </c>
      <c r="I34" s="18">
        <f t="shared" si="118"/>
        <v>106.53647306346815</v>
      </c>
      <c r="J34" s="18">
        <f t="shared" si="118"/>
        <v>110.69139551294339</v>
      </c>
      <c r="K34" s="18">
        <f t="shared" si="118"/>
        <v>115.00835993794817</v>
      </c>
      <c r="L34" s="18">
        <f t="shared" si="118"/>
        <v>119.49368597552812</v>
      </c>
      <c r="M34" s="18">
        <f t="shared" si="118"/>
        <v>124.15393972857372</v>
      </c>
      <c r="N34" s="18">
        <f t="shared" si="118"/>
        <v>128.99594337798806</v>
      </c>
      <c r="O34" s="18">
        <f t="shared" si="118"/>
        <v>134.02678516972958</v>
      </c>
      <c r="P34" s="18">
        <f t="shared" si="118"/>
        <v>139.25382979134901</v>
      </c>
      <c r="Q34" s="18">
        <f t="shared" si="118"/>
        <v>144.68472915321161</v>
      </c>
      <c r="R34" s="18">
        <f t="shared" si="118"/>
        <v>150.32743359018681</v>
      </c>
      <c r="S34" s="18">
        <f t="shared" si="118"/>
        <v>156.19020350020412</v>
      </c>
      <c r="T34" s="18">
        <f t="shared" si="118"/>
        <v>-22.155680691167163</v>
      </c>
      <c r="U34" s="18">
        <f t="shared" si="118"/>
        <v>168.61060467274382</v>
      </c>
      <c r="V34" s="18">
        <f t="shared" si="118"/>
        <v>175.18641825498079</v>
      </c>
      <c r="W34" s="18">
        <f t="shared" si="118"/>
        <v>182.01868856692499</v>
      </c>
      <c r="X34" s="18">
        <f t="shared" si="118"/>
        <v>189.11741742103504</v>
      </c>
      <c r="Y34" s="18">
        <f t="shared" si="118"/>
        <v>196.49299670045542</v>
      </c>
      <c r="Z34" s="18">
        <f t="shared" si="118"/>
        <v>204.1562235717731</v>
      </c>
      <c r="AA34" s="18">
        <f t="shared" si="118"/>
        <v>212.11831629107226</v>
      </c>
      <c r="AB34" s="18">
        <f t="shared" si="118"/>
        <v>220.39093062642405</v>
      </c>
      <c r="AC34" s="18">
        <f t="shared" si="118"/>
        <v>228.98617692085458</v>
      </c>
      <c r="AD34" s="18">
        <f t="shared" si="118"/>
        <v>237.91663782076785</v>
      </c>
      <c r="AE34" s="18">
        <f t="shared" si="118"/>
        <v>247.19538669577776</v>
      </c>
      <c r="AF34" s="18">
        <f t="shared" si="118"/>
        <v>256.836006776913</v>
      </c>
      <c r="AG34" s="18">
        <f t="shared" si="118"/>
        <v>266.85261104121264</v>
      </c>
      <c r="AH34" s="18">
        <f t="shared" si="118"/>
        <v>277.25986287181985</v>
      </c>
      <c r="AI34" s="18">
        <f t="shared" si="118"/>
        <v>288.07299752382079</v>
      </c>
      <c r="AJ34" s="18">
        <f t="shared" si="118"/>
        <v>-40.863339734856197</v>
      </c>
      <c r="AK34" s="18">
        <f t="shared" si="118"/>
        <v>310.98085035991249</v>
      </c>
      <c r="AL34" s="18">
        <f t="shared" si="118"/>
        <v>323.10910352394905</v>
      </c>
      <c r="AM34" s="18">
        <f t="shared" si="118"/>
        <v>335.71035856138303</v>
      </c>
      <c r="AN34" s="18">
        <f t="shared" si="118"/>
        <v>348.80306254527687</v>
      </c>
      <c r="AO34" s="18">
        <f t="shared" si="118"/>
        <v>362.40638198454263</v>
      </c>
      <c r="AP34" s="18">
        <f t="shared" si="118"/>
        <v>376.54023088193969</v>
      </c>
      <c r="AQ34" s="18">
        <f t="shared" si="118"/>
        <v>391.22529988633534</v>
      </c>
      <c r="AR34" s="18">
        <f t="shared" si="118"/>
        <v>406.48308658190234</v>
      </c>
      <c r="AS34" s="18">
        <f t="shared" si="118"/>
        <v>422.33592695859659</v>
      </c>
      <c r="AT34" s="18">
        <f t="shared" si="118"/>
        <v>438.80702810998167</v>
      </c>
      <c r="AU34" s="18">
        <f t="shared" si="118"/>
        <v>455.92050220627095</v>
      </c>
      <c r="AV34" s="18">
        <f t="shared" si="118"/>
        <v>473.70140179231544</v>
      </c>
      <c r="AW34" s="18">
        <f t="shared" si="118"/>
        <v>492.1757564622157</v>
      </c>
      <c r="AX34" s="18">
        <f t="shared" si="118"/>
        <v>511.37061096424191</v>
      </c>
      <c r="AY34" s="18">
        <f t="shared" si="118"/>
        <v>531.31406479184739</v>
      </c>
      <c r="AZ34" s="18">
        <f t="shared" si="118"/>
        <v>552.03531331872932</v>
      </c>
      <c r="BA34" s="18">
        <f t="shared" si="118"/>
        <v>573.56469053815977</v>
      </c>
      <c r="BB34" s="18">
        <f t="shared" si="118"/>
        <v>595.93371346914796</v>
      </c>
    </row>
    <row r="35" spans="1:54" x14ac:dyDescent="0.25">
      <c r="A35" s="178"/>
      <c r="B35" t="s">
        <v>359</v>
      </c>
      <c r="C35" s="72"/>
      <c r="D35">
        <f t="shared" ref="D35:AI35" si="119">(1+$C$2)^D$194</f>
        <v>1</v>
      </c>
      <c r="E35" s="40">
        <f t="shared" si="119"/>
        <v>1.1219999999999999</v>
      </c>
      <c r="F35" s="40">
        <f t="shared" si="119"/>
        <v>1.2588839999999997</v>
      </c>
      <c r="G35" s="40">
        <f t="shared" si="119"/>
        <v>1.4124678479999995</v>
      </c>
      <c r="H35" s="40">
        <f t="shared" si="119"/>
        <v>1.5847889254559993</v>
      </c>
      <c r="I35" s="40">
        <f t="shared" si="119"/>
        <v>1.7781331743616309</v>
      </c>
      <c r="J35" s="40">
        <f t="shared" si="119"/>
        <v>1.9950654216337496</v>
      </c>
      <c r="K35" s="40">
        <f t="shared" si="119"/>
        <v>2.2384634030730668</v>
      </c>
      <c r="L35" s="40">
        <f t="shared" si="119"/>
        <v>2.5115559382479806</v>
      </c>
      <c r="M35" s="40">
        <f t="shared" si="119"/>
        <v>2.817965762714234</v>
      </c>
      <c r="N35" s="40">
        <f t="shared" si="119"/>
        <v>3.1617575857653701</v>
      </c>
      <c r="O35" s="40">
        <f t="shared" si="119"/>
        <v>3.5474920112287447</v>
      </c>
      <c r="P35" s="40">
        <f t="shared" si="119"/>
        <v>3.9802860365986512</v>
      </c>
      <c r="Q35" s="40">
        <f t="shared" si="119"/>
        <v>4.4658809330636862</v>
      </c>
      <c r="R35" s="40">
        <f t="shared" si="119"/>
        <v>5.0107184068974551</v>
      </c>
      <c r="S35" s="40">
        <f t="shared" si="119"/>
        <v>5.6220260525389438</v>
      </c>
      <c r="T35" s="40">
        <f t="shared" si="119"/>
        <v>6.307913230948694</v>
      </c>
      <c r="U35" s="40">
        <f t="shared" si="119"/>
        <v>7.077478645124434</v>
      </c>
      <c r="V35" s="40">
        <f t="shared" si="119"/>
        <v>7.9409310398296133</v>
      </c>
      <c r="W35" s="40">
        <f t="shared" si="119"/>
        <v>8.9097246266888259</v>
      </c>
      <c r="X35" s="40">
        <f t="shared" si="119"/>
        <v>9.9967110311448621</v>
      </c>
      <c r="Y35" s="40">
        <f t="shared" si="119"/>
        <v>11.216309776944533</v>
      </c>
      <c r="Z35" s="40">
        <f t="shared" si="119"/>
        <v>12.584699569731765</v>
      </c>
      <c r="AA35" s="40">
        <f t="shared" si="119"/>
        <v>14.120032917239037</v>
      </c>
      <c r="AB35" s="40">
        <f t="shared" si="119"/>
        <v>15.842676933142199</v>
      </c>
      <c r="AC35" s="40">
        <f t="shared" si="119"/>
        <v>17.775483518985546</v>
      </c>
      <c r="AD35" s="40">
        <f t="shared" si="119"/>
        <v>19.944092508301779</v>
      </c>
      <c r="AE35" s="40">
        <f t="shared" si="119"/>
        <v>22.377271794314591</v>
      </c>
      <c r="AF35" s="40">
        <f t="shared" si="119"/>
        <v>25.107298953220969</v>
      </c>
      <c r="AG35" s="40">
        <f t="shared" si="119"/>
        <v>28.170389425513925</v>
      </c>
      <c r="AH35" s="40">
        <f t="shared" si="119"/>
        <v>31.607176935426619</v>
      </c>
      <c r="AI35" s="40">
        <f t="shared" si="119"/>
        <v>35.463252521548661</v>
      </c>
      <c r="AJ35" s="40">
        <f t="shared" ref="AJ35:BB35" si="120">(1+$C$2)^AJ$194</f>
        <v>39.789769329177595</v>
      </c>
      <c r="AK35" s="40">
        <f t="shared" si="120"/>
        <v>44.644121187337255</v>
      </c>
      <c r="AL35" s="40">
        <f t="shared" si="120"/>
        <v>50.090703972192394</v>
      </c>
      <c r="AM35" s="40">
        <f t="shared" si="120"/>
        <v>56.201769856799864</v>
      </c>
      <c r="AN35" s="40">
        <f t="shared" si="120"/>
        <v>63.058385779329434</v>
      </c>
      <c r="AO35" s="40">
        <f t="shared" si="120"/>
        <v>70.751508844407624</v>
      </c>
      <c r="AP35" s="40">
        <f t="shared" si="120"/>
        <v>79.383192923425341</v>
      </c>
      <c r="AQ35" s="40">
        <f t="shared" si="120"/>
        <v>89.067942460083216</v>
      </c>
      <c r="AR35" s="40">
        <f t="shared" si="120"/>
        <v>99.934231440213352</v>
      </c>
      <c r="AS35" s="40">
        <f t="shared" si="120"/>
        <v>112.12620767591937</v>
      </c>
      <c r="AT35" s="40">
        <f t="shared" si="120"/>
        <v>125.80560501238152</v>
      </c>
      <c r="AU35" s="40">
        <f t="shared" si="120"/>
        <v>141.15388882389203</v>
      </c>
      <c r="AV35" s="40">
        <f t="shared" si="120"/>
        <v>158.37466326040686</v>
      </c>
      <c r="AW35" s="40">
        <f t="shared" si="120"/>
        <v>177.69637217817649</v>
      </c>
      <c r="AX35" s="40">
        <f t="shared" si="120"/>
        <v>199.37532958391398</v>
      </c>
      <c r="AY35" s="40">
        <f t="shared" si="120"/>
        <v>223.69911979315145</v>
      </c>
      <c r="AZ35" s="40">
        <f t="shared" si="120"/>
        <v>250.9904124079159</v>
      </c>
      <c r="BA35" s="40">
        <f t="shared" si="120"/>
        <v>281.61124272168161</v>
      </c>
      <c r="BB35" s="40">
        <f t="shared" si="120"/>
        <v>315.96781433372672</v>
      </c>
    </row>
    <row r="36" spans="1:54" s="76" customFormat="1" x14ac:dyDescent="0.25">
      <c r="A36" s="178"/>
      <c r="B36" t="s">
        <v>360</v>
      </c>
      <c r="C36" s="72" t="s">
        <v>362</v>
      </c>
      <c r="D36">
        <f>D34/D35</f>
        <v>-100</v>
      </c>
      <c r="E36" s="18">
        <f>E34/E35</f>
        <v>81.478545568258127</v>
      </c>
      <c r="F36" s="18">
        <f>F34/F35</f>
        <v>75.451166528894987</v>
      </c>
      <c r="G36" s="18">
        <f t="shared" ref="G36:BB36" si="121">G34/G35</f>
        <v>69.869663122568554</v>
      </c>
      <c r="H36" s="18">
        <f t="shared" si="121"/>
        <v>64.701051679455176</v>
      </c>
      <c r="I36" s="18">
        <f t="shared" si="121"/>
        <v>59.914788498176414</v>
      </c>
      <c r="J36" s="18">
        <f t="shared" si="121"/>
        <v>55.482589349024323</v>
      </c>
      <c r="K36" s="18">
        <f t="shared" si="121"/>
        <v>51.378262329444091</v>
      </c>
      <c r="L36" s="18">
        <f t="shared" si="121"/>
        <v>47.577553084039579</v>
      </c>
      <c r="M36" s="18">
        <f t="shared" si="121"/>
        <v>44.05800147443594</v>
      </c>
      <c r="N36" s="18">
        <f t="shared" si="121"/>
        <v>40.798808851995481</v>
      </c>
      <c r="O36" s="18">
        <f t="shared" si="121"/>
        <v>37.780715149040383</v>
      </c>
      <c r="P36" s="18">
        <f t="shared" si="121"/>
        <v>34.985885062257537</v>
      </c>
      <c r="Q36" s="18">
        <f t="shared" si="121"/>
        <v>32.397802655691251</v>
      </c>
      <c r="R36" s="18">
        <f t="shared" si="121"/>
        <v>30.001173760484139</v>
      </c>
      <c r="S36" s="18">
        <f t="shared" si="121"/>
        <v>27.781835594601631</v>
      </c>
      <c r="T36" s="18">
        <f t="shared" si="121"/>
        <v>-3.512362944763431</v>
      </c>
      <c r="U36" s="18">
        <f t="shared" si="121"/>
        <v>23.823541281738386</v>
      </c>
      <c r="V36" s="18">
        <f t="shared" si="121"/>
        <v>22.061193753766652</v>
      </c>
      <c r="W36" s="18">
        <f t="shared" si="121"/>
        <v>20.429215962712608</v>
      </c>
      <c r="X36" s="18">
        <f t="shared" si="121"/>
        <v>18.917963801478074</v>
      </c>
      <c r="Y36" s="18">
        <f t="shared" si="121"/>
        <v>17.518506586217221</v>
      </c>
      <c r="Z36" s="18">
        <f t="shared" si="121"/>
        <v>16.222574280819686</v>
      </c>
      <c r="AA36" s="18">
        <f t="shared" si="121"/>
        <v>15.022508625464937</v>
      </c>
      <c r="AB36" s="18">
        <f t="shared" si="121"/>
        <v>13.91121788044391</v>
      </c>
      <c r="AC36" s="18">
        <f t="shared" si="121"/>
        <v>12.882134917808576</v>
      </c>
      <c r="AD36" s="18">
        <f t="shared" si="121"/>
        <v>11.929178413193503</v>
      </c>
      <c r="AE36" s="18">
        <f t="shared" si="121"/>
        <v>11.046716908474199</v>
      </c>
      <c r="AF36" s="18">
        <f t="shared" si="121"/>
        <v>10.22953553289188</v>
      </c>
      <c r="AG36" s="18">
        <f t="shared" si="121"/>
        <v>9.4728051859845497</v>
      </c>
      <c r="AH36" s="18">
        <f t="shared" si="121"/>
        <v>8.7720540002120728</v>
      </c>
      <c r="AI36" s="18">
        <f t="shared" si="121"/>
        <v>8.1231409146348881</v>
      </c>
      <c r="AJ36" s="18">
        <f t="shared" si="121"/>
        <v>-1.0269810663338368</v>
      </c>
      <c r="AK36" s="18">
        <f t="shared" si="121"/>
        <v>6.9657738149881716</v>
      </c>
      <c r="AL36" s="18">
        <f t="shared" si="121"/>
        <v>6.450480386606694</v>
      </c>
      <c r="AM36" s="18">
        <f t="shared" si="121"/>
        <v>5.9733058125529004</v>
      </c>
      <c r="AN36" s="18">
        <f t="shared" si="121"/>
        <v>5.5314302488792011</v>
      </c>
      <c r="AO36" s="18">
        <f t="shared" si="121"/>
        <v>5.1222424497196872</v>
      </c>
      <c r="AP36" s="18">
        <f t="shared" si="121"/>
        <v>4.7433243362377491</v>
      </c>
      <c r="AQ36" s="18">
        <f t="shared" si="121"/>
        <v>4.3924367070864729</v>
      </c>
      <c r="AR36" s="18">
        <f t="shared" si="121"/>
        <v>4.0675060059383643</v>
      </c>
      <c r="AS36" s="18">
        <f t="shared" si="121"/>
        <v>3.766612067887666</v>
      </c>
      <c r="AT36" s="18">
        <f t="shared" si="121"/>
        <v>3.4879767723130874</v>
      </c>
      <c r="AU36" s="18">
        <f t="shared" si="121"/>
        <v>3.2299535351455426</v>
      </c>
      <c r="AV36" s="18">
        <f t="shared" si="121"/>
        <v>2.9910175784458271</v>
      </c>
      <c r="AW36" s="18">
        <f t="shared" si="121"/>
        <v>2.7697569197907437</v>
      </c>
      <c r="AX36" s="18">
        <f t="shared" si="121"/>
        <v>2.5648640282197701</v>
      </c>
      <c r="AY36" s="18">
        <f t="shared" si="121"/>
        <v>2.3751280974334597</v>
      </c>
      <c r="AZ36" s="18">
        <f t="shared" si="121"/>
        <v>2.1994278905823212</v>
      </c>
      <c r="BA36" s="18">
        <f t="shared" si="121"/>
        <v>2.0367251143627736</v>
      </c>
      <c r="BB36" s="18">
        <f t="shared" si="121"/>
        <v>1.8860582832646362</v>
      </c>
    </row>
    <row r="37" spans="1:54" s="76" customFormat="1" x14ac:dyDescent="0.25">
      <c r="A37" s="178"/>
      <c r="B37" s="76" t="s">
        <v>645</v>
      </c>
      <c r="C37" s="77" t="s">
        <v>362</v>
      </c>
      <c r="D37" s="76">
        <f>D36</f>
        <v>-100</v>
      </c>
      <c r="E37" s="78">
        <f>E36+D37</f>
        <v>-18.521454431741873</v>
      </c>
      <c r="F37" s="78">
        <f t="shared" ref="F37" si="122">F36+E37</f>
        <v>56.929712097153114</v>
      </c>
      <c r="G37" s="78">
        <f t="shared" ref="G37" si="123">G36+F37</f>
        <v>126.79937521972167</v>
      </c>
      <c r="H37" s="78">
        <f t="shared" ref="H37" si="124">H36+G37</f>
        <v>191.50042689917683</v>
      </c>
      <c r="I37" s="78">
        <f t="shared" ref="I37" si="125">I36+H37</f>
        <v>251.41521539735325</v>
      </c>
      <c r="J37" s="78">
        <f t="shared" ref="J37" si="126">J36+I37</f>
        <v>306.89780474637757</v>
      </c>
      <c r="K37" s="78">
        <f t="shared" ref="K37" si="127">K36+J37</f>
        <v>358.27606707582169</v>
      </c>
      <c r="L37" s="78">
        <f t="shared" ref="L37" si="128">L36+K37</f>
        <v>405.85362015986129</v>
      </c>
      <c r="M37" s="78">
        <f t="shared" ref="M37" si="129">M36+L37</f>
        <v>449.91162163429726</v>
      </c>
      <c r="N37" s="78">
        <f t="shared" ref="N37" si="130">N36+M37</f>
        <v>490.71043048629275</v>
      </c>
      <c r="O37" s="78">
        <f t="shared" ref="O37" si="131">O36+N37</f>
        <v>528.49114563533317</v>
      </c>
      <c r="P37" s="78">
        <f t="shared" ref="P37" si="132">P36+O37</f>
        <v>563.47703069759075</v>
      </c>
      <c r="Q37" s="78">
        <f t="shared" ref="Q37" si="133">Q36+P37</f>
        <v>595.87483335328204</v>
      </c>
      <c r="R37" s="78">
        <f t="shared" ref="R37" si="134">R36+Q37</f>
        <v>625.87600711376615</v>
      </c>
      <c r="S37" s="78">
        <f t="shared" ref="S37" si="135">S36+R37</f>
        <v>653.65784270836775</v>
      </c>
      <c r="T37" s="78">
        <f t="shared" ref="T37" si="136">T36+S37</f>
        <v>650.14547976360427</v>
      </c>
      <c r="U37" s="78">
        <f t="shared" ref="U37" si="137">U36+T37</f>
        <v>673.96902104534263</v>
      </c>
      <c r="V37" s="78">
        <f t="shared" ref="V37" si="138">V36+U37</f>
        <v>696.03021479910933</v>
      </c>
      <c r="W37" s="78">
        <f t="shared" ref="W37" si="139">W36+V37</f>
        <v>716.45943076182198</v>
      </c>
      <c r="X37" s="78">
        <f t="shared" ref="X37" si="140">X36+W37</f>
        <v>735.37739456330007</v>
      </c>
      <c r="Y37" s="78">
        <f t="shared" ref="Y37" si="141">Y36+X37</f>
        <v>752.89590114951727</v>
      </c>
      <c r="Z37" s="78">
        <f t="shared" ref="Z37" si="142">Z36+Y37</f>
        <v>769.11847543033696</v>
      </c>
      <c r="AA37" s="78">
        <f t="shared" ref="AA37" si="143">AA36+Z37</f>
        <v>784.14098405580194</v>
      </c>
      <c r="AB37" s="78">
        <f t="shared" ref="AB37" si="144">AB36+AA37</f>
        <v>798.05220193624586</v>
      </c>
      <c r="AC37" s="78">
        <f t="shared" ref="AC37" si="145">AC36+AB37</f>
        <v>810.93433685405444</v>
      </c>
      <c r="AD37" s="78">
        <f t="shared" ref="AD37" si="146">AD36+AC37</f>
        <v>822.86351526724798</v>
      </c>
      <c r="AE37" s="78">
        <f t="shared" ref="AE37" si="147">AE36+AD37</f>
        <v>833.91023217572217</v>
      </c>
      <c r="AF37" s="78">
        <f t="shared" ref="AF37" si="148">AF36+AE37</f>
        <v>844.13976770861404</v>
      </c>
      <c r="AG37" s="78">
        <f t="shared" ref="AG37" si="149">AG36+AF37</f>
        <v>853.61257289459854</v>
      </c>
      <c r="AH37" s="78">
        <f t="shared" ref="AH37" si="150">AH36+AG37</f>
        <v>862.38462689481059</v>
      </c>
      <c r="AI37" s="78">
        <f t="shared" ref="AI37" si="151">AI36+AH37</f>
        <v>870.50776780944545</v>
      </c>
      <c r="AJ37" s="78">
        <f t="shared" ref="AJ37" si="152">AJ36+AI37</f>
        <v>869.48078674311159</v>
      </c>
      <c r="AK37" s="78">
        <f t="shared" ref="AK37" si="153">AK36+AJ37</f>
        <v>876.4465605580998</v>
      </c>
      <c r="AL37" s="78">
        <f t="shared" ref="AL37" si="154">AL36+AK37</f>
        <v>882.89704094470653</v>
      </c>
      <c r="AM37" s="78">
        <f t="shared" ref="AM37" si="155">AM36+AL37</f>
        <v>888.87034675725943</v>
      </c>
      <c r="AN37" s="78">
        <f t="shared" ref="AN37" si="156">AN36+AM37</f>
        <v>894.40177700613867</v>
      </c>
      <c r="AO37" s="78">
        <f t="shared" ref="AO37" si="157">AO36+AN37</f>
        <v>899.52401945585837</v>
      </c>
      <c r="AP37" s="78">
        <f t="shared" ref="AP37" si="158">AP36+AO37</f>
        <v>904.26734379209609</v>
      </c>
      <c r="AQ37" s="78">
        <f t="shared" ref="AQ37" si="159">AQ36+AP37</f>
        <v>908.6597804991826</v>
      </c>
      <c r="AR37" s="78">
        <f t="shared" ref="AR37" si="160">AR36+AQ37</f>
        <v>912.72728650512101</v>
      </c>
      <c r="AS37" s="78">
        <f t="shared" ref="AS37" si="161">AS36+AR37</f>
        <v>916.49389857300866</v>
      </c>
      <c r="AT37" s="78">
        <f t="shared" ref="AT37" si="162">AT36+AS37</f>
        <v>919.98187534532178</v>
      </c>
      <c r="AU37" s="78">
        <f t="shared" ref="AU37" si="163">AU36+AT37</f>
        <v>923.21182888046735</v>
      </c>
      <c r="AV37" s="78">
        <f t="shared" ref="AV37" si="164">AV36+AU37</f>
        <v>926.2028464589132</v>
      </c>
      <c r="AW37" s="78">
        <f t="shared" ref="AW37" si="165">AW36+AV37</f>
        <v>928.97260337870398</v>
      </c>
      <c r="AX37" s="78">
        <f t="shared" ref="AX37" si="166">AX36+AW37</f>
        <v>931.53746740692372</v>
      </c>
      <c r="AY37" s="78">
        <f t="shared" ref="AY37" si="167">AY36+AX37</f>
        <v>933.91259550435723</v>
      </c>
      <c r="AZ37" s="78">
        <f t="shared" ref="AZ37" si="168">AZ36+AY37</f>
        <v>936.11202339493957</v>
      </c>
      <c r="BA37" s="78">
        <f t="shared" ref="BA37" si="169">BA36+AZ37</f>
        <v>938.14874850930232</v>
      </c>
      <c r="BB37" s="78">
        <f t="shared" ref="BB37" si="170">BB36+BA37</f>
        <v>940.034806792567</v>
      </c>
    </row>
    <row r="38" spans="1:54" s="76" customFormat="1" x14ac:dyDescent="0.25">
      <c r="A38" s="178"/>
      <c r="B38" s="22" t="s">
        <v>361</v>
      </c>
      <c r="C38" s="75" t="s">
        <v>362</v>
      </c>
      <c r="D38" s="93">
        <f>SUM(D36:BB36)</f>
        <v>940.034806792567</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s="76" customFormat="1" x14ac:dyDescent="0.25">
      <c r="A39" s="180" t="s">
        <v>6</v>
      </c>
      <c r="B39" s="76" t="s">
        <v>363</v>
      </c>
      <c r="C39" s="77" t="s">
        <v>362</v>
      </c>
      <c r="D39" s="76">
        <f>-'INSUL+'!$B$17*'INSUL+'!$B$3</f>
        <v>-990</v>
      </c>
      <c r="E39" s="76">
        <v>0</v>
      </c>
      <c r="F39" s="76">
        <v>0</v>
      </c>
      <c r="G39" s="76">
        <v>0</v>
      </c>
      <c r="H39" s="76">
        <v>0</v>
      </c>
      <c r="I39" s="76">
        <v>0</v>
      </c>
      <c r="J39" s="76">
        <v>0</v>
      </c>
      <c r="K39" s="76">
        <v>0</v>
      </c>
      <c r="L39" s="76">
        <v>0</v>
      </c>
      <c r="M39" s="76">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v>0</v>
      </c>
      <c r="AG39" s="76">
        <v>0</v>
      </c>
      <c r="AH39" s="76">
        <v>0</v>
      </c>
      <c r="AI39" s="76">
        <v>0</v>
      </c>
      <c r="AJ39" s="76">
        <v>0</v>
      </c>
      <c r="AK39" s="76">
        <v>0</v>
      </c>
      <c r="AL39" s="76">
        <v>0</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0</v>
      </c>
    </row>
    <row r="40" spans="1:54" s="76" customFormat="1" x14ac:dyDescent="0.25">
      <c r="A40" s="180"/>
      <c r="B40" s="76" t="s">
        <v>356</v>
      </c>
      <c r="C40" s="77" t="s">
        <v>362</v>
      </c>
      <c r="D40" s="76">
        <v>0</v>
      </c>
      <c r="E40" s="78">
        <f>ABS('Annual Calculations'!$Q$10)*(1+$C$3)^E$194</f>
        <v>25.152383855792309</v>
      </c>
      <c r="F40" s="78">
        <f>ABS('Annual Calculations'!$Q$10)*(1+$C$3)^F$194</f>
        <v>26.133326826168201</v>
      </c>
      <c r="G40" s="78">
        <f>ABS('Annual Calculations'!$Q$10)*(1+$C$3)^G$194</f>
        <v>27.152526572388762</v>
      </c>
      <c r="H40" s="78">
        <f>ABS('Annual Calculations'!$Q$10)*(1+$C$3)^H$194</f>
        <v>28.211475108711916</v>
      </c>
      <c r="I40" s="78">
        <f>ABS('Annual Calculations'!$Q$10)*(1+$C$3)^I$194</f>
        <v>29.311722637951679</v>
      </c>
      <c r="J40" s="78">
        <f>ABS('Annual Calculations'!$Q$10)*(1+$C$3)^J$194</f>
        <v>30.454879820831785</v>
      </c>
      <c r="K40" s="78">
        <f>ABS('Annual Calculations'!$Q$10)*(1+$C$3)^K$194</f>
        <v>31.642620133844225</v>
      </c>
      <c r="L40" s="78">
        <f>ABS('Annual Calculations'!$Q$10)*(1+$C$3)^L$194</f>
        <v>32.876682319064145</v>
      </c>
      <c r="M40" s="78">
        <f>ABS('Annual Calculations'!$Q$10)*(1+$C$3)^M$194</f>
        <v>34.158872929507645</v>
      </c>
      <c r="N40" s="78">
        <f>ABS('Annual Calculations'!$Q$10)*(1+$C$3)^N$194</f>
        <v>35.491068973758431</v>
      </c>
      <c r="O40" s="78">
        <f>ABS('Annual Calculations'!$Q$10)*(1+$C$3)^O$194</f>
        <v>36.875220663735007</v>
      </c>
      <c r="P40" s="78">
        <f>ABS('Annual Calculations'!$Q$10)*(1+$C$3)^P$194</f>
        <v>38.313354269620667</v>
      </c>
      <c r="Q40" s="78">
        <f>ABS('Annual Calculations'!$Q$10)*(1+$C$3)^Q$194</f>
        <v>39.80757508613587</v>
      </c>
      <c r="R40" s="78">
        <f>ABS('Annual Calculations'!$Q$10)*(1+$C$3)^R$194</f>
        <v>41.360070514495156</v>
      </c>
      <c r="S40" s="78">
        <f>ABS('Annual Calculations'!$Q$10)*(1+$C$3)^S$194</f>
        <v>42.973113264560467</v>
      </c>
      <c r="T40" s="78">
        <f>ABS('Annual Calculations'!$Q$10)*(1+$C$3)^T$194</f>
        <v>44.649064681878322</v>
      </c>
      <c r="U40" s="78">
        <f>ABS('Annual Calculations'!$Q$10)*(1+$C$3)^U$194</f>
        <v>46.390378204471574</v>
      </c>
      <c r="V40" s="78">
        <f>ABS('Annual Calculations'!$Q$10)*(1+$C$3)^V$194</f>
        <v>48.199602954445957</v>
      </c>
      <c r="W40" s="78">
        <f>ABS('Annual Calculations'!$Q$10)*(1+$C$3)^W$194</f>
        <v>50.079387469669342</v>
      </c>
      <c r="X40" s="78">
        <f>ABS('Annual Calculations'!$Q$10)*(1+$C$3)^X$194</f>
        <v>52.032483580986437</v>
      </c>
      <c r="Y40" s="78">
        <f>ABS('Annual Calculations'!$Q$10)*(1+$C$3)^Y$194</f>
        <v>54.0617504406449</v>
      </c>
      <c r="Z40" s="78">
        <f>ABS('Annual Calculations'!$Q$10)*(1+$C$3)^Z$194</f>
        <v>56.170158707830034</v>
      </c>
      <c r="AA40" s="78">
        <f>ABS('Annual Calculations'!$Q$10)*(1+$C$3)^AA$194</f>
        <v>58.360794897435412</v>
      </c>
      <c r="AB40" s="78">
        <f>ABS('Annual Calculations'!$Q$10)*(1+$C$3)^AB$194</f>
        <v>60.636865898435381</v>
      </c>
      <c r="AC40" s="78">
        <f>ABS('Annual Calculations'!$Q$10)*(1+$C$3)^AC$194</f>
        <v>63.001703668474356</v>
      </c>
      <c r="AD40" s="78">
        <f>ABS('Annual Calculations'!$Q$10)*(1+$C$3)^AD$194</f>
        <v>65.458770111544837</v>
      </c>
      <c r="AE40" s="78">
        <f>ABS('Annual Calculations'!$Q$10)*(1+$C$3)^AE$194</f>
        <v>68.011662145895087</v>
      </c>
      <c r="AF40" s="78">
        <f>ABS('Annual Calculations'!$Q$10)*(1+$C$3)^AF$194</f>
        <v>70.664116969584967</v>
      </c>
      <c r="AG40" s="78">
        <f>ABS('Annual Calculations'!$Q$10)*(1+$C$3)^AG$194</f>
        <v>73.420017531398798</v>
      </c>
      <c r="AH40" s="78">
        <f>ABS('Annual Calculations'!$Q$10)*(1+$C$3)^AH$194</f>
        <v>76.283398215123313</v>
      </c>
      <c r="AI40" s="78">
        <f>ABS('Annual Calculations'!$Q$10)*(1+$C$3)^AI$194</f>
        <v>79.258450745513116</v>
      </c>
      <c r="AJ40" s="78">
        <f>ABS('Annual Calculations'!$Q$10)*(1+$C$3)^AJ$194</f>
        <v>82.34953032458813</v>
      </c>
      <c r="AK40" s="78">
        <f>ABS('Annual Calculations'!$Q$10)*(1+$C$3)^AK$194</f>
        <v>85.561162007247049</v>
      </c>
      <c r="AL40" s="78">
        <f>ABS('Annual Calculations'!$Q$10)*(1+$C$3)^AL$194</f>
        <v>88.898047325529674</v>
      </c>
      <c r="AM40" s="78">
        <f>ABS('Annual Calculations'!$Q$10)*(1+$C$3)^AM$194</f>
        <v>92.365071171225338</v>
      </c>
      <c r="AN40" s="78">
        <f>ABS('Annual Calculations'!$Q$10)*(1+$C$3)^AN$194</f>
        <v>95.967308946903088</v>
      </c>
      <c r="AO40" s="78">
        <f>ABS('Annual Calculations'!$Q$10)*(1+$C$3)^AO$194</f>
        <v>99.710033995832305</v>
      </c>
      <c r="AP40" s="78">
        <f>ABS('Annual Calculations'!$Q$10)*(1+$C$3)^AP$194</f>
        <v>103.59872532166973</v>
      </c>
      <c r="AQ40" s="78">
        <f>ABS('Annual Calculations'!$Q$10)*(1+$C$3)^AQ$194</f>
        <v>107.63907560921486</v>
      </c>
      <c r="AR40" s="78">
        <f>ABS('Annual Calculations'!$Q$10)*(1+$C$3)^AR$194</f>
        <v>111.83699955797421</v>
      </c>
      <c r="AS40" s="78">
        <f>ABS('Annual Calculations'!$Q$10)*(1+$C$3)^AS$194</f>
        <v>116.19864254073521</v>
      </c>
      <c r="AT40" s="78">
        <f>ABS('Annual Calculations'!$Q$10)*(1+$C$3)^AT$194</f>
        <v>120.73038959982385</v>
      </c>
      <c r="AU40" s="78">
        <f>ABS('Annual Calculations'!$Q$10)*(1+$C$3)^AU$194</f>
        <v>125.43887479421697</v>
      </c>
      <c r="AV40" s="78">
        <f>ABS('Annual Calculations'!$Q$10)*(1+$C$3)^AV$194</f>
        <v>130.33099091119141</v>
      </c>
      <c r="AW40" s="78">
        <f>ABS('Annual Calculations'!$Q$10)*(1+$C$3)^AW$194</f>
        <v>135.41389955672787</v>
      </c>
      <c r="AX40" s="78">
        <f>ABS('Annual Calculations'!$Q$10)*(1+$C$3)^AX$194</f>
        <v>140.69504163944021</v>
      </c>
      <c r="AY40" s="78">
        <f>ABS('Annual Calculations'!$Q$10)*(1+$C$3)^AY$194</f>
        <v>146.18214826337839</v>
      </c>
      <c r="AZ40" s="78">
        <f>ABS('Annual Calculations'!$Q$10)*(1+$C$3)^AZ$194</f>
        <v>151.88325204565012</v>
      </c>
      <c r="BA40" s="78">
        <f>ABS('Annual Calculations'!$Q$10)*(1+$C$3)^BA$194</f>
        <v>157.80669887543044</v>
      </c>
      <c r="BB40" s="78">
        <f>ABS('Annual Calculations'!$Q$10)*(1+$C$3)^BB$194</f>
        <v>163.96116013157223</v>
      </c>
    </row>
    <row r="41" spans="1:54" s="76" customFormat="1" x14ac:dyDescent="0.25">
      <c r="A41" s="180"/>
      <c r="B41" s="76" t="s">
        <v>357</v>
      </c>
      <c r="C41" s="77" t="s">
        <v>362</v>
      </c>
      <c r="D41" s="76">
        <v>0</v>
      </c>
      <c r="E41" s="78">
        <f>ABS('Annual Calculations'!$L$31)*(1+$C$3)^E$194</f>
        <v>59.912596806481481</v>
      </c>
      <c r="F41" s="78">
        <f>ABS('Annual Calculations'!$L$31)*(1+$C$3)^F$194</f>
        <v>62.24918808193425</v>
      </c>
      <c r="G41" s="78">
        <f>ABS('Annual Calculations'!$L$31)*(1+$C$3)^G$194</f>
        <v>64.676906417129686</v>
      </c>
      <c r="H41" s="78">
        <f>ABS('Annual Calculations'!$L$31)*(1+$C$3)^H$194</f>
        <v>67.199305767397718</v>
      </c>
      <c r="I41" s="78">
        <f>ABS('Annual Calculations'!$L$31)*(1+$C$3)^I$194</f>
        <v>69.820078692326234</v>
      </c>
      <c r="J41" s="78">
        <f>ABS('Annual Calculations'!$L$31)*(1+$C$3)^J$194</f>
        <v>72.543061761326939</v>
      </c>
      <c r="K41" s="78">
        <f>ABS('Annual Calculations'!$L$31)*(1+$C$3)^K$194</f>
        <v>75.372241170018683</v>
      </c>
      <c r="L41" s="78">
        <f>ABS('Annual Calculations'!$L$31)*(1+$C$3)^L$194</f>
        <v>78.311758575649392</v>
      </c>
      <c r="M41" s="78">
        <f>ABS('Annual Calculations'!$L$31)*(1+$C$3)^M$194</f>
        <v>81.365917160099727</v>
      </c>
      <c r="N41" s="78">
        <f>ABS('Annual Calculations'!$L$31)*(1+$C$3)^N$194</f>
        <v>84.539187929343584</v>
      </c>
      <c r="O41" s="78">
        <f>ABS('Annual Calculations'!$L$31)*(1+$C$3)^O$194</f>
        <v>87.836216258587982</v>
      </c>
      <c r="P41" s="78">
        <f>ABS('Annual Calculations'!$L$31)*(1+$C$3)^P$194</f>
        <v>91.261828692672893</v>
      </c>
      <c r="Q41" s="78">
        <f>ABS('Annual Calculations'!$L$31)*(1+$C$3)^Q$194</f>
        <v>94.821040011687131</v>
      </c>
      <c r="R41" s="78">
        <f>ABS('Annual Calculations'!$L$31)*(1+$C$3)^R$194</f>
        <v>98.519060572142905</v>
      </c>
      <c r="S41" s="78">
        <f>ABS('Annual Calculations'!$L$31)*(1+$C$3)^S$194</f>
        <v>102.36130393445647</v>
      </c>
      <c r="T41" s="78">
        <f>ABS('Annual Calculations'!$L$31)*(1+$C$3)^T$194</f>
        <v>106.35339478790027</v>
      </c>
      <c r="U41" s="78">
        <f>ABS('Annual Calculations'!$L$31)*(1+$C$3)^U$194</f>
        <v>110.50117718462838</v>
      </c>
      <c r="V41" s="78">
        <f>ABS('Annual Calculations'!$L$31)*(1+$C$3)^V$194</f>
        <v>114.81072309482886</v>
      </c>
      <c r="W41" s="78">
        <f>ABS('Annual Calculations'!$L$31)*(1+$C$3)^W$194</f>
        <v>119.28834129552716</v>
      </c>
      <c r="X41" s="78">
        <f>ABS('Annual Calculations'!$L$31)*(1+$C$3)^X$194</f>
        <v>123.9405866060527</v>
      </c>
      <c r="Y41" s="78">
        <f>ABS('Annual Calculations'!$L$31)*(1+$C$3)^Y$194</f>
        <v>128.77426948368876</v>
      </c>
      <c r="Z41" s="78">
        <f>ABS('Annual Calculations'!$L$31)*(1+$C$3)^Z$194</f>
        <v>133.79646599355257</v>
      </c>
      <c r="AA41" s="78">
        <f>ABS('Annual Calculations'!$L$31)*(1+$C$3)^AA$194</f>
        <v>139.01452816730114</v>
      </c>
      <c r="AB41" s="78">
        <f>ABS('Annual Calculations'!$L$31)*(1+$C$3)^AB$194</f>
        <v>144.43609476582583</v>
      </c>
      <c r="AC41" s="78">
        <f>ABS('Annual Calculations'!$L$31)*(1+$C$3)^AC$194</f>
        <v>150.06910246169303</v>
      </c>
      <c r="AD41" s="78">
        <f>ABS('Annual Calculations'!$L$31)*(1+$C$3)^AD$194</f>
        <v>155.92179745769903</v>
      </c>
      <c r="AE41" s="78">
        <f>ABS('Annual Calculations'!$L$31)*(1+$C$3)^AE$194</f>
        <v>162.00274755854926</v>
      </c>
      <c r="AF41" s="78">
        <f>ABS('Annual Calculations'!$L$31)*(1+$C$3)^AF$194</f>
        <v>168.32085471333264</v>
      </c>
      <c r="AG41" s="78">
        <f>ABS('Annual Calculations'!$L$31)*(1+$C$3)^AG$194</f>
        <v>174.88536804715264</v>
      </c>
      <c r="AH41" s="78">
        <f>ABS('Annual Calculations'!$L$31)*(1+$C$3)^AH$194</f>
        <v>181.70589740099152</v>
      </c>
      <c r="AI41" s="78">
        <f>ABS('Annual Calculations'!$L$31)*(1+$C$3)^AI$194</f>
        <v>188.79242739963018</v>
      </c>
      <c r="AJ41" s="78">
        <f>ABS('Annual Calculations'!$L$31)*(1+$C$3)^AJ$194</f>
        <v>196.15533206821576</v>
      </c>
      <c r="AK41" s="78">
        <f>ABS('Annual Calculations'!$L$31)*(1+$C$3)^AK$194</f>
        <v>203.80539001887612</v>
      </c>
      <c r="AL41" s="78">
        <f>ABS('Annual Calculations'!$L$31)*(1+$C$3)^AL$194</f>
        <v>211.75380022961227</v>
      </c>
      <c r="AM41" s="78">
        <f>ABS('Annual Calculations'!$L$31)*(1+$C$3)^AM$194</f>
        <v>220.01219843856714</v>
      </c>
      <c r="AN41" s="78">
        <f>ABS('Annual Calculations'!$L$31)*(1+$C$3)^AN$194</f>
        <v>228.5926741776712</v>
      </c>
      <c r="AO41" s="78">
        <f>ABS('Annual Calculations'!$L$31)*(1+$C$3)^AO$194</f>
        <v>237.50778847060036</v>
      </c>
      <c r="AP41" s="78">
        <f>ABS('Annual Calculations'!$L$31)*(1+$C$3)^AP$194</f>
        <v>246.77059222095372</v>
      </c>
      <c r="AQ41" s="78">
        <f>ABS('Annual Calculations'!$L$31)*(1+$C$3)^AQ$194</f>
        <v>256.39464531757091</v>
      </c>
      <c r="AR41" s="78">
        <f>ABS('Annual Calculations'!$L$31)*(1+$C$3)^AR$194</f>
        <v>266.39403648495613</v>
      </c>
      <c r="AS41" s="78">
        <f>ABS('Annual Calculations'!$L$31)*(1+$C$3)^AS$194</f>
        <v>276.7834039078694</v>
      </c>
      <c r="AT41" s="78">
        <f>ABS('Annual Calculations'!$L$31)*(1+$C$3)^AT$194</f>
        <v>287.57795666027624</v>
      </c>
      <c r="AU41" s="78">
        <f>ABS('Annual Calculations'!$L$31)*(1+$C$3)^AU$194</f>
        <v>298.79349697002698</v>
      </c>
      <c r="AV41" s="78">
        <f>ABS('Annual Calculations'!$L$31)*(1+$C$3)^AV$194</f>
        <v>310.44644335185797</v>
      </c>
      <c r="AW41" s="78">
        <f>ABS('Annual Calculations'!$L$31)*(1+$C$3)^AW$194</f>
        <v>322.5538546425804</v>
      </c>
      <c r="AX41" s="78">
        <f>ABS('Annual Calculations'!$L$31)*(1+$C$3)^AX$194</f>
        <v>335.13345497364094</v>
      </c>
      <c r="AY41" s="78">
        <f>ABS('Annual Calculations'!$L$31)*(1+$C$3)^AY$194</f>
        <v>348.20365971761294</v>
      </c>
      <c r="AZ41" s="78">
        <f>ABS('Annual Calculations'!$L$31)*(1+$C$3)^AZ$194</f>
        <v>361.78360244659984</v>
      </c>
      <c r="BA41" s="78">
        <f>ABS('Annual Calculations'!$L$31)*(1+$C$3)^BA$194</f>
        <v>375.89316294201717</v>
      </c>
      <c r="BB41" s="78">
        <f>ABS('Annual Calculations'!$L$31)*(1+$C$3)^BB$194</f>
        <v>390.55299629675579</v>
      </c>
    </row>
    <row r="42" spans="1:54" s="76" customFormat="1" x14ac:dyDescent="0.25">
      <c r="A42" s="180"/>
      <c r="B42" s="76" t="s">
        <v>358</v>
      </c>
      <c r="C42" s="77" t="s">
        <v>362</v>
      </c>
      <c r="D42" s="76">
        <f>SUM(D39:D41)</f>
        <v>-990</v>
      </c>
      <c r="E42" s="78">
        <f t="shared" ref="E42:BB42" si="171">SUM(E39:E41)</f>
        <v>85.064980662273797</v>
      </c>
      <c r="F42" s="78">
        <f t="shared" si="171"/>
        <v>88.382514908102451</v>
      </c>
      <c r="G42" s="78">
        <f t="shared" si="171"/>
        <v>91.829432989518452</v>
      </c>
      <c r="H42" s="78">
        <f t="shared" si="171"/>
        <v>95.410780876109641</v>
      </c>
      <c r="I42" s="78">
        <f t="shared" si="171"/>
        <v>99.131801330277909</v>
      </c>
      <c r="J42" s="78">
        <f t="shared" si="171"/>
        <v>102.99794158215872</v>
      </c>
      <c r="K42" s="78">
        <f t="shared" si="171"/>
        <v>107.01486130386292</v>
      </c>
      <c r="L42" s="78">
        <f t="shared" si="171"/>
        <v>111.18844089471354</v>
      </c>
      <c r="M42" s="78">
        <f t="shared" si="171"/>
        <v>115.52479008960736</v>
      </c>
      <c r="N42" s="78">
        <f t="shared" si="171"/>
        <v>120.03025690310201</v>
      </c>
      <c r="O42" s="78">
        <f t="shared" si="171"/>
        <v>124.71143692232299</v>
      </c>
      <c r="P42" s="78">
        <f t="shared" si="171"/>
        <v>129.57518296229355</v>
      </c>
      <c r="Q42" s="78">
        <f t="shared" si="171"/>
        <v>134.628615097823</v>
      </c>
      <c r="R42" s="78">
        <f t="shared" si="171"/>
        <v>139.87913108663807</v>
      </c>
      <c r="S42" s="78">
        <f t="shared" si="171"/>
        <v>145.33441719901694</v>
      </c>
      <c r="T42" s="78">
        <f t="shared" si="171"/>
        <v>151.00245946977859</v>
      </c>
      <c r="U42" s="78">
        <f t="shared" si="171"/>
        <v>156.89155538909995</v>
      </c>
      <c r="V42" s="78">
        <f t="shared" si="171"/>
        <v>163.01032604927482</v>
      </c>
      <c r="W42" s="78">
        <f t="shared" si="171"/>
        <v>169.36772876519649</v>
      </c>
      <c r="X42" s="78">
        <f t="shared" si="171"/>
        <v>175.97307018703913</v>
      </c>
      <c r="Y42" s="78">
        <f t="shared" si="171"/>
        <v>182.83601992433364</v>
      </c>
      <c r="Z42" s="78">
        <f t="shared" si="171"/>
        <v>189.96662470138261</v>
      </c>
      <c r="AA42" s="78">
        <f t="shared" si="171"/>
        <v>197.37532306473656</v>
      </c>
      <c r="AB42" s="78">
        <f t="shared" si="171"/>
        <v>205.07296066426122</v>
      </c>
      <c r="AC42" s="78">
        <f t="shared" si="171"/>
        <v>213.0708061301674</v>
      </c>
      <c r="AD42" s="78">
        <f t="shared" si="171"/>
        <v>221.38056756924385</v>
      </c>
      <c r="AE42" s="78">
        <f t="shared" si="171"/>
        <v>230.01440970444435</v>
      </c>
      <c r="AF42" s="78">
        <f t="shared" si="171"/>
        <v>238.9849716829176</v>
      </c>
      <c r="AG42" s="78">
        <f t="shared" si="171"/>
        <v>248.30538557855144</v>
      </c>
      <c r="AH42" s="78">
        <f t="shared" si="171"/>
        <v>257.98929561611482</v>
      </c>
      <c r="AI42" s="78">
        <f t="shared" si="171"/>
        <v>268.05087814514332</v>
      </c>
      <c r="AJ42" s="78">
        <f t="shared" si="171"/>
        <v>278.50486239280389</v>
      </c>
      <c r="AK42" s="78">
        <f t="shared" si="171"/>
        <v>289.36655202612314</v>
      </c>
      <c r="AL42" s="78">
        <f t="shared" si="171"/>
        <v>300.65184755514196</v>
      </c>
      <c r="AM42" s="78">
        <f t="shared" si="171"/>
        <v>312.37726960979251</v>
      </c>
      <c r="AN42" s="78">
        <f t="shared" si="171"/>
        <v>324.55998312457427</v>
      </c>
      <c r="AO42" s="78">
        <f t="shared" si="171"/>
        <v>337.21782246643266</v>
      </c>
      <c r="AP42" s="78">
        <f t="shared" si="171"/>
        <v>350.36931754262343</v>
      </c>
      <c r="AQ42" s="78">
        <f t="shared" si="171"/>
        <v>364.03372092678575</v>
      </c>
      <c r="AR42" s="78">
        <f t="shared" si="171"/>
        <v>378.23103604293033</v>
      </c>
      <c r="AS42" s="78">
        <f t="shared" si="171"/>
        <v>392.98204644860459</v>
      </c>
      <c r="AT42" s="78">
        <f t="shared" si="171"/>
        <v>408.30834626010011</v>
      </c>
      <c r="AU42" s="78">
        <f t="shared" si="171"/>
        <v>424.23237176424396</v>
      </c>
      <c r="AV42" s="78">
        <f t="shared" si="171"/>
        <v>440.77743426304937</v>
      </c>
      <c r="AW42" s="78">
        <f t="shared" si="171"/>
        <v>457.96775419930827</v>
      </c>
      <c r="AX42" s="78">
        <f t="shared" si="171"/>
        <v>475.82849661308114</v>
      </c>
      <c r="AY42" s="78">
        <f t="shared" si="171"/>
        <v>494.38580798099133</v>
      </c>
      <c r="AZ42" s="78">
        <f t="shared" si="171"/>
        <v>513.66685449224997</v>
      </c>
      <c r="BA42" s="78">
        <f t="shared" si="171"/>
        <v>533.69986181744764</v>
      </c>
      <c r="BB42" s="78">
        <f t="shared" si="171"/>
        <v>554.51415642832808</v>
      </c>
    </row>
    <row r="43" spans="1:54" x14ac:dyDescent="0.25">
      <c r="A43" s="180"/>
      <c r="B43" s="76" t="s">
        <v>359</v>
      </c>
      <c r="C43" s="77"/>
      <c r="D43" s="76">
        <f t="shared" ref="D43:AI43" si="172">(1+$C$2)^D$194</f>
        <v>1</v>
      </c>
      <c r="E43" s="79">
        <f t="shared" si="172"/>
        <v>1.1219999999999999</v>
      </c>
      <c r="F43" s="79">
        <f t="shared" si="172"/>
        <v>1.2588839999999997</v>
      </c>
      <c r="G43" s="79">
        <f t="shared" si="172"/>
        <v>1.4124678479999995</v>
      </c>
      <c r="H43" s="79">
        <f t="shared" si="172"/>
        <v>1.5847889254559993</v>
      </c>
      <c r="I43" s="79">
        <f t="shared" si="172"/>
        <v>1.7781331743616309</v>
      </c>
      <c r="J43" s="79">
        <f t="shared" si="172"/>
        <v>1.9950654216337496</v>
      </c>
      <c r="K43" s="79">
        <f t="shared" si="172"/>
        <v>2.2384634030730668</v>
      </c>
      <c r="L43" s="79">
        <f t="shared" si="172"/>
        <v>2.5115559382479806</v>
      </c>
      <c r="M43" s="79">
        <f t="shared" si="172"/>
        <v>2.817965762714234</v>
      </c>
      <c r="N43" s="79">
        <f t="shared" si="172"/>
        <v>3.1617575857653701</v>
      </c>
      <c r="O43" s="79">
        <f t="shared" si="172"/>
        <v>3.5474920112287447</v>
      </c>
      <c r="P43" s="79">
        <f t="shared" si="172"/>
        <v>3.9802860365986512</v>
      </c>
      <c r="Q43" s="79">
        <f t="shared" si="172"/>
        <v>4.4658809330636862</v>
      </c>
      <c r="R43" s="79">
        <f t="shared" si="172"/>
        <v>5.0107184068974551</v>
      </c>
      <c r="S43" s="79">
        <f t="shared" si="172"/>
        <v>5.6220260525389438</v>
      </c>
      <c r="T43" s="79">
        <f t="shared" si="172"/>
        <v>6.307913230948694</v>
      </c>
      <c r="U43" s="79">
        <f t="shared" si="172"/>
        <v>7.077478645124434</v>
      </c>
      <c r="V43" s="79">
        <f t="shared" si="172"/>
        <v>7.9409310398296133</v>
      </c>
      <c r="W43" s="79">
        <f t="shared" si="172"/>
        <v>8.9097246266888259</v>
      </c>
      <c r="X43" s="79">
        <f t="shared" si="172"/>
        <v>9.9967110311448621</v>
      </c>
      <c r="Y43" s="79">
        <f t="shared" si="172"/>
        <v>11.216309776944533</v>
      </c>
      <c r="Z43" s="79">
        <f t="shared" si="172"/>
        <v>12.584699569731765</v>
      </c>
      <c r="AA43" s="79">
        <f t="shared" si="172"/>
        <v>14.120032917239037</v>
      </c>
      <c r="AB43" s="79">
        <f t="shared" si="172"/>
        <v>15.842676933142199</v>
      </c>
      <c r="AC43" s="79">
        <f t="shared" si="172"/>
        <v>17.775483518985546</v>
      </c>
      <c r="AD43" s="79">
        <f t="shared" si="172"/>
        <v>19.944092508301779</v>
      </c>
      <c r="AE43" s="79">
        <f t="shared" si="172"/>
        <v>22.377271794314591</v>
      </c>
      <c r="AF43" s="79">
        <f t="shared" si="172"/>
        <v>25.107298953220969</v>
      </c>
      <c r="AG43" s="79">
        <f t="shared" si="172"/>
        <v>28.170389425513925</v>
      </c>
      <c r="AH43" s="79">
        <f t="shared" si="172"/>
        <v>31.607176935426619</v>
      </c>
      <c r="AI43" s="79">
        <f t="shared" si="172"/>
        <v>35.463252521548661</v>
      </c>
      <c r="AJ43" s="79">
        <f t="shared" ref="AJ43:BB43" si="173">(1+$C$2)^AJ$194</f>
        <v>39.789769329177595</v>
      </c>
      <c r="AK43" s="79">
        <f t="shared" si="173"/>
        <v>44.644121187337255</v>
      </c>
      <c r="AL43" s="79">
        <f t="shared" si="173"/>
        <v>50.090703972192394</v>
      </c>
      <c r="AM43" s="79">
        <f t="shared" si="173"/>
        <v>56.201769856799864</v>
      </c>
      <c r="AN43" s="79">
        <f t="shared" si="173"/>
        <v>63.058385779329434</v>
      </c>
      <c r="AO43" s="79">
        <f t="shared" si="173"/>
        <v>70.751508844407624</v>
      </c>
      <c r="AP43" s="79">
        <f t="shared" si="173"/>
        <v>79.383192923425341</v>
      </c>
      <c r="AQ43" s="79">
        <f t="shared" si="173"/>
        <v>89.067942460083216</v>
      </c>
      <c r="AR43" s="79">
        <f t="shared" si="173"/>
        <v>99.934231440213352</v>
      </c>
      <c r="AS43" s="79">
        <f t="shared" si="173"/>
        <v>112.12620767591937</v>
      </c>
      <c r="AT43" s="79">
        <f t="shared" si="173"/>
        <v>125.80560501238152</v>
      </c>
      <c r="AU43" s="79">
        <f t="shared" si="173"/>
        <v>141.15388882389203</v>
      </c>
      <c r="AV43" s="79">
        <f t="shared" si="173"/>
        <v>158.37466326040686</v>
      </c>
      <c r="AW43" s="79">
        <f t="shared" si="173"/>
        <v>177.69637217817649</v>
      </c>
      <c r="AX43" s="79">
        <f t="shared" si="173"/>
        <v>199.37532958391398</v>
      </c>
      <c r="AY43" s="79">
        <f t="shared" si="173"/>
        <v>223.69911979315145</v>
      </c>
      <c r="AZ43" s="79">
        <f t="shared" si="173"/>
        <v>250.9904124079159</v>
      </c>
      <c r="BA43" s="79">
        <f t="shared" si="173"/>
        <v>281.61124272168161</v>
      </c>
      <c r="BB43" s="79">
        <f t="shared" si="173"/>
        <v>315.96781433372672</v>
      </c>
    </row>
    <row r="44" spans="1:54" x14ac:dyDescent="0.25">
      <c r="A44" s="180"/>
      <c r="B44" s="76" t="s">
        <v>360</v>
      </c>
      <c r="C44" s="77" t="s">
        <v>362</v>
      </c>
      <c r="D44" s="76">
        <f>D42/D43</f>
        <v>-990</v>
      </c>
      <c r="E44" s="78">
        <f>E42/E43</f>
        <v>75.815490786340291</v>
      </c>
      <c r="F44" s="78">
        <f>F42/F43</f>
        <v>70.207036476833821</v>
      </c>
      <c r="G44" s="78">
        <f t="shared" ref="G44:BB44" si="174">G42/G43</f>
        <v>65.013467824804238</v>
      </c>
      <c r="H44" s="78">
        <f t="shared" si="174"/>
        <v>60.204093645250971</v>
      </c>
      <c r="I44" s="78">
        <f t="shared" si="174"/>
        <v>55.750493134951661</v>
      </c>
      <c r="J44" s="78">
        <f t="shared" si="174"/>
        <v>51.626347920868774</v>
      </c>
      <c r="K44" s="78">
        <f t="shared" si="174"/>
        <v>47.807286532783124</v>
      </c>
      <c r="L44" s="78">
        <f t="shared" si="174"/>
        <v>44.270740381071001</v>
      </c>
      <c r="M44" s="78">
        <f t="shared" si="174"/>
        <v>40.995810388531879</v>
      </c>
      <c r="N44" s="78">
        <f t="shared" si="174"/>
        <v>37.963143488132459</v>
      </c>
      <c r="O44" s="78">
        <f t="shared" si="174"/>
        <v>35.154818256835675</v>
      </c>
      <c r="P44" s="78">
        <f t="shared" si="174"/>
        <v>32.554239009672251</v>
      </c>
      <c r="Q44" s="78">
        <f t="shared" si="174"/>
        <v>30.146037728208082</v>
      </c>
      <c r="R44" s="78">
        <f t="shared" si="174"/>
        <v>27.915983243857575</v>
      </c>
      <c r="S44" s="78">
        <f t="shared" si="174"/>
        <v>25.850897139365436</v>
      </c>
      <c r="T44" s="78">
        <f t="shared" si="174"/>
        <v>23.938575871480115</v>
      </c>
      <c r="U44" s="78">
        <f t="shared" si="174"/>
        <v>22.16771865460592</v>
      </c>
      <c r="V44" s="78">
        <f t="shared" si="174"/>
        <v>20.527860679265199</v>
      </c>
      <c r="W44" s="78">
        <f t="shared" si="174"/>
        <v>19.00931127072775</v>
      </c>
      <c r="X44" s="78">
        <f t="shared" si="174"/>
        <v>17.603096622358404</v>
      </c>
      <c r="Y44" s="78">
        <f t="shared" si="174"/>
        <v>16.300906765267722</v>
      </c>
      <c r="Z44" s="78">
        <f t="shared" si="174"/>
        <v>15.095046460885172</v>
      </c>
      <c r="AA44" s="78">
        <f t="shared" si="174"/>
        <v>13.978389726256417</v>
      </c>
      <c r="AB44" s="78">
        <f t="shared" si="174"/>
        <v>12.9443377233337</v>
      </c>
      <c r="AC44" s="78">
        <f t="shared" si="174"/>
        <v>11.986779763407945</v>
      </c>
      <c r="AD44" s="78">
        <f t="shared" si="174"/>
        <v>11.10005719623962</v>
      </c>
      <c r="AE44" s="78">
        <f t="shared" si="174"/>
        <v>10.27892997049284</v>
      </c>
      <c r="AF44" s="78">
        <f t="shared" si="174"/>
        <v>9.5185456678627975</v>
      </c>
      <c r="AG44" s="78">
        <f t="shared" si="174"/>
        <v>8.8144108279050357</v>
      </c>
      <c r="AH44" s="78">
        <f t="shared" si="174"/>
        <v>8.1623643941116999</v>
      </c>
      <c r="AI44" s="78">
        <f t="shared" si="174"/>
        <v>7.5585531243155604</v>
      </c>
      <c r="AJ44" s="78">
        <f t="shared" si="174"/>
        <v>6.999408820110399</v>
      </c>
      <c r="AK44" s="78">
        <f t="shared" si="174"/>
        <v>6.4816272407261168</v>
      </c>
      <c r="AL44" s="78">
        <f t="shared" si="174"/>
        <v>6.0021485767508347</v>
      </c>
      <c r="AM44" s="78">
        <f t="shared" si="174"/>
        <v>5.5581393683102656</v>
      </c>
      <c r="AN44" s="78">
        <f t="shared" si="174"/>
        <v>5.1469757608505917</v>
      </c>
      <c r="AO44" s="78">
        <f t="shared" si="174"/>
        <v>4.7662279995755483</v>
      </c>
      <c r="AP44" s="78">
        <f t="shared" si="174"/>
        <v>4.4136460709081939</v>
      </c>
      <c r="AQ44" s="78">
        <f t="shared" si="174"/>
        <v>4.0871464061262159</v>
      </c>
      <c r="AR44" s="78">
        <f t="shared" si="174"/>
        <v>3.7847995685963802</v>
      </c>
      <c r="AS44" s="78">
        <f t="shared" si="174"/>
        <v>3.5048188518463808</v>
      </c>
      <c r="AT44" s="78">
        <f t="shared" si="174"/>
        <v>3.2455497210948212</v>
      </c>
      <c r="AU44" s="78">
        <f t="shared" si="174"/>
        <v>3.0054600358444921</v>
      </c>
      <c r="AV44" s="78">
        <f t="shared" si="174"/>
        <v>2.7831309957597381</v>
      </c>
      <c r="AW44" s="78">
        <f t="shared" si="174"/>
        <v>2.577248756322966</v>
      </c>
      <c r="AX44" s="78">
        <f t="shared" si="174"/>
        <v>2.3865966647233168</v>
      </c>
      <c r="AY44" s="78">
        <f t="shared" si="174"/>
        <v>2.2100480700958349</v>
      </c>
      <c r="AZ44" s="78">
        <f t="shared" si="174"/>
        <v>2.046559665623505</v>
      </c>
      <c r="BA44" s="78">
        <f t="shared" si="174"/>
        <v>1.8951653231575949</v>
      </c>
      <c r="BB44" s="78">
        <f t="shared" si="174"/>
        <v>1.7549703839222295</v>
      </c>
    </row>
    <row r="45" spans="1:54" x14ac:dyDescent="0.25">
      <c r="A45" s="180"/>
      <c r="B45" s="76" t="s">
        <v>645</v>
      </c>
      <c r="C45" s="77" t="s">
        <v>362</v>
      </c>
      <c r="D45" s="76">
        <f>D44</f>
        <v>-990</v>
      </c>
      <c r="E45" s="78">
        <f>E44+D45</f>
        <v>-914.18450921365968</v>
      </c>
      <c r="F45" s="78">
        <f t="shared" ref="F45" si="175">F44+E45</f>
        <v>-843.9774727368258</v>
      </c>
      <c r="G45" s="78">
        <f t="shared" ref="G45" si="176">G44+F45</f>
        <v>-778.96400491202155</v>
      </c>
      <c r="H45" s="78">
        <f t="shared" ref="H45" si="177">H44+G45</f>
        <v>-718.75991126677059</v>
      </c>
      <c r="I45" s="78">
        <f t="shared" ref="I45" si="178">I44+H45</f>
        <v>-663.00941813181896</v>
      </c>
      <c r="J45" s="78">
        <f t="shared" ref="J45" si="179">J44+I45</f>
        <v>-611.38307021095022</v>
      </c>
      <c r="K45" s="78">
        <f t="shared" ref="K45" si="180">K44+J45</f>
        <v>-563.57578367816711</v>
      </c>
      <c r="L45" s="78">
        <f t="shared" ref="L45" si="181">L44+K45</f>
        <v>-519.30504329709606</v>
      </c>
      <c r="M45" s="78">
        <f t="shared" ref="M45" si="182">M44+L45</f>
        <v>-478.30923290856418</v>
      </c>
      <c r="N45" s="78">
        <f t="shared" ref="N45" si="183">N44+M45</f>
        <v>-440.34608942043172</v>
      </c>
      <c r="O45" s="78">
        <f t="shared" ref="O45" si="184">O44+N45</f>
        <v>-405.19127116359607</v>
      </c>
      <c r="P45" s="78">
        <f t="shared" ref="P45" si="185">P44+O45</f>
        <v>-372.63703215392383</v>
      </c>
      <c r="Q45" s="78">
        <f t="shared" ref="Q45" si="186">Q44+P45</f>
        <v>-342.49099442571577</v>
      </c>
      <c r="R45" s="78">
        <f t="shared" ref="R45" si="187">R44+Q45</f>
        <v>-314.5750111818582</v>
      </c>
      <c r="S45" s="78">
        <f t="shared" ref="S45" si="188">S44+R45</f>
        <v>-288.72411404249277</v>
      </c>
      <c r="T45" s="78">
        <f t="shared" ref="T45" si="189">T44+S45</f>
        <v>-264.78553817101266</v>
      </c>
      <c r="U45" s="78">
        <f t="shared" ref="U45" si="190">U44+T45</f>
        <v>-242.61781951640674</v>
      </c>
      <c r="V45" s="78">
        <f t="shared" ref="V45" si="191">V44+U45</f>
        <v>-222.08995883714155</v>
      </c>
      <c r="W45" s="78">
        <f t="shared" ref="W45" si="192">W44+V45</f>
        <v>-203.0806475664138</v>
      </c>
      <c r="X45" s="78">
        <f t="shared" ref="X45" si="193">X44+W45</f>
        <v>-185.47755094405539</v>
      </c>
      <c r="Y45" s="78">
        <f t="shared" ref="Y45" si="194">Y44+X45</f>
        <v>-169.17664417878768</v>
      </c>
      <c r="Z45" s="78">
        <f t="shared" ref="Z45" si="195">Z44+Y45</f>
        <v>-154.08159771790253</v>
      </c>
      <c r="AA45" s="78">
        <f t="shared" ref="AA45" si="196">AA44+Z45</f>
        <v>-140.10320799164612</v>
      </c>
      <c r="AB45" s="78">
        <f t="shared" ref="AB45" si="197">AB44+AA45</f>
        <v>-127.15887026831241</v>
      </c>
      <c r="AC45" s="78">
        <f t="shared" ref="AC45" si="198">AC44+AB45</f>
        <v>-115.17209050490447</v>
      </c>
      <c r="AD45" s="78">
        <f t="shared" ref="AD45" si="199">AD44+AC45</f>
        <v>-104.07203330866486</v>
      </c>
      <c r="AE45" s="78">
        <f t="shared" ref="AE45" si="200">AE44+AD45</f>
        <v>-93.793103338172017</v>
      </c>
      <c r="AF45" s="78">
        <f t="shared" ref="AF45" si="201">AF44+AE45</f>
        <v>-84.274557670309221</v>
      </c>
      <c r="AG45" s="78">
        <f t="shared" ref="AG45" si="202">AG44+AF45</f>
        <v>-75.460146842404185</v>
      </c>
      <c r="AH45" s="78">
        <f t="shared" ref="AH45" si="203">AH44+AG45</f>
        <v>-67.29778244829248</v>
      </c>
      <c r="AI45" s="78">
        <f t="shared" ref="AI45" si="204">AI44+AH45</f>
        <v>-59.739229323976922</v>
      </c>
      <c r="AJ45" s="78">
        <f t="shared" ref="AJ45" si="205">AJ44+AI45</f>
        <v>-52.739820503866525</v>
      </c>
      <c r="AK45" s="78">
        <f t="shared" ref="AK45" si="206">AK44+AJ45</f>
        <v>-46.258193263140406</v>
      </c>
      <c r="AL45" s="78">
        <f t="shared" ref="AL45" si="207">AL44+AK45</f>
        <v>-40.256044686389572</v>
      </c>
      <c r="AM45" s="78">
        <f t="shared" ref="AM45" si="208">AM44+AL45</f>
        <v>-34.697905318079307</v>
      </c>
      <c r="AN45" s="78">
        <f t="shared" ref="AN45" si="209">AN44+AM45</f>
        <v>-29.550929557228717</v>
      </c>
      <c r="AO45" s="78">
        <f t="shared" ref="AO45" si="210">AO44+AN45</f>
        <v>-24.784701557653168</v>
      </c>
      <c r="AP45" s="78">
        <f t="shared" ref="AP45" si="211">AP44+AO45</f>
        <v>-20.371055486744975</v>
      </c>
      <c r="AQ45" s="78">
        <f t="shared" ref="AQ45" si="212">AQ44+AP45</f>
        <v>-16.283909080618759</v>
      </c>
      <c r="AR45" s="78">
        <f t="shared" ref="AR45" si="213">AR44+AQ45</f>
        <v>-12.499109512022379</v>
      </c>
      <c r="AS45" s="78">
        <f t="shared" ref="AS45" si="214">AS44+AR45</f>
        <v>-8.9942906601759987</v>
      </c>
      <c r="AT45" s="78">
        <f t="shared" ref="AT45" si="215">AT44+AS45</f>
        <v>-5.748740939081177</v>
      </c>
      <c r="AU45" s="78">
        <f t="shared" ref="AU45" si="216">AU44+AT45</f>
        <v>-2.7432809032366849</v>
      </c>
      <c r="AV45" s="78">
        <f t="shared" ref="AV45" si="217">AV44+AU45</f>
        <v>3.985009252305316E-2</v>
      </c>
      <c r="AW45" s="78">
        <f t="shared" ref="AW45" si="218">AW44+AV45</f>
        <v>2.6170988488460192</v>
      </c>
      <c r="AX45" s="78">
        <f t="shared" ref="AX45" si="219">AX44+AW45</f>
        <v>5.003695513569336</v>
      </c>
      <c r="AY45" s="78">
        <f t="shared" ref="AY45" si="220">AY44+AX45</f>
        <v>7.2137435836651704</v>
      </c>
      <c r="AZ45" s="78">
        <f t="shared" ref="AZ45" si="221">AZ44+AY45</f>
        <v>9.2603032492886754</v>
      </c>
      <c r="BA45" s="78">
        <f t="shared" ref="BA45" si="222">BA44+AZ45</f>
        <v>11.155468572446271</v>
      </c>
      <c r="BB45" s="78">
        <f t="shared" ref="BB45" si="223">BB44+BA45</f>
        <v>12.9104389563685</v>
      </c>
    </row>
    <row r="46" spans="1:54" x14ac:dyDescent="0.25">
      <c r="A46" s="180"/>
      <c r="B46" s="80" t="s">
        <v>361</v>
      </c>
      <c r="C46" s="81" t="s">
        <v>362</v>
      </c>
      <c r="D46" s="92">
        <f>SUM(D44:BB44)</f>
        <v>12.9104389563685</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row>
    <row r="47" spans="1:54" x14ac:dyDescent="0.25">
      <c r="A47" s="177" t="s">
        <v>556</v>
      </c>
      <c r="B47" t="s">
        <v>363</v>
      </c>
      <c r="C47" s="72" t="s">
        <v>362</v>
      </c>
      <c r="D47">
        <f>-(PV!$B$56*PV!$B$60)/South_Facade_PV!$B$7</f>
        <v>-10496.90625</v>
      </c>
      <c r="E47">
        <v>0</v>
      </c>
      <c r="F47">
        <v>0</v>
      </c>
      <c r="G47">
        <v>0</v>
      </c>
      <c r="H47">
        <v>0</v>
      </c>
      <c r="I47">
        <v>0</v>
      </c>
      <c r="J47">
        <v>0</v>
      </c>
      <c r="K47">
        <v>0</v>
      </c>
      <c r="L47">
        <v>0</v>
      </c>
      <c r="M47">
        <v>0</v>
      </c>
      <c r="N47">
        <f>-((PV!$B$78*PV!$B$56)/South_Facade_PV!$B$7)*(1+$C$1)^N$194</f>
        <v>-9842.206225162241</v>
      </c>
      <c r="O47">
        <v>0</v>
      </c>
      <c r="P47">
        <v>0</v>
      </c>
      <c r="Q47">
        <v>0</v>
      </c>
      <c r="R47">
        <v>0</v>
      </c>
      <c r="S47">
        <v>0</v>
      </c>
      <c r="T47">
        <v>0</v>
      </c>
      <c r="U47">
        <v>0</v>
      </c>
      <c r="V47">
        <v>0</v>
      </c>
      <c r="W47">
        <v>0</v>
      </c>
      <c r="X47">
        <f>-((PV!$B$78*PV!$B$56)/South_Facade_PV!$B$7)*(1+$C$1)^X$194</f>
        <v>-14429.388818637348</v>
      </c>
      <c r="Y47">
        <v>0</v>
      </c>
      <c r="Z47">
        <v>0</v>
      </c>
      <c r="AA47">
        <v>0</v>
      </c>
      <c r="AB47">
        <v>0</v>
      </c>
      <c r="AC47">
        <f>-(PV!$B$80*PV!$B$56/South_Facade_PV!$B$7)*(1+$C$1)^AC$194</f>
        <v>-5190.6897341338426</v>
      </c>
      <c r="AD47">
        <v>0</v>
      </c>
      <c r="AE47">
        <v>0</v>
      </c>
      <c r="AF47">
        <v>0</v>
      </c>
      <c r="AG47">
        <v>0</v>
      </c>
      <c r="AH47">
        <f>-((PV!$B$78*PV!$B$56)/South_Facade_PV!$B$7)*(1+$C$1)^AH$194</f>
        <v>-21154.531506068328</v>
      </c>
      <c r="AI47">
        <v>0</v>
      </c>
      <c r="AJ47">
        <v>0</v>
      </c>
      <c r="AK47">
        <v>0</v>
      </c>
      <c r="AL47">
        <v>0</v>
      </c>
      <c r="AM47">
        <v>0</v>
      </c>
      <c r="AN47">
        <v>0</v>
      </c>
      <c r="AO47">
        <v>0</v>
      </c>
      <c r="AP47">
        <v>0</v>
      </c>
      <c r="AQ47">
        <v>0</v>
      </c>
      <c r="AR47">
        <f>-((PV!$B$78*PV!$B$56)/South_Facade_PV!$B$7)*(1+$C$1)^AR$194</f>
        <v>-31014.07889592784</v>
      </c>
      <c r="AS47">
        <v>0</v>
      </c>
      <c r="AT47">
        <v>0</v>
      </c>
      <c r="AU47">
        <v>0</v>
      </c>
      <c r="AV47">
        <v>0</v>
      </c>
      <c r="AW47">
        <v>0</v>
      </c>
      <c r="AX47">
        <v>0</v>
      </c>
      <c r="AY47">
        <v>0</v>
      </c>
      <c r="AZ47">
        <v>0</v>
      </c>
      <c r="BA47">
        <v>0</v>
      </c>
      <c r="BB47">
        <v>0</v>
      </c>
    </row>
    <row r="48" spans="1:54" x14ac:dyDescent="0.25">
      <c r="A48" s="177"/>
      <c r="B48" t="s">
        <v>356</v>
      </c>
      <c r="C48" s="72" t="s">
        <v>362</v>
      </c>
      <c r="D48">
        <v>0</v>
      </c>
      <c r="E48" s="18">
        <f>ABS('Annual Calculations'!$Q$11)*(1+$C$3)^E$194</f>
        <v>494.82766849542583</v>
      </c>
      <c r="F48" s="18">
        <f>ABS('Annual Calculations'!$Q$11)*(1+$C$3)^F$194</f>
        <v>514.12594756674741</v>
      </c>
      <c r="G48" s="18">
        <f>ABS('Annual Calculations'!$Q$11)*(1+$C$3)^G$194</f>
        <v>534.17685952185047</v>
      </c>
      <c r="H48" s="18">
        <f>ABS('Annual Calculations'!$Q$11)*(1+$C$3)^H$194</f>
        <v>555.00975704320251</v>
      </c>
      <c r="I48" s="18">
        <f>ABS('Annual Calculations'!$Q$11)*(1+$C$3)^I$194</f>
        <v>576.65513756788732</v>
      </c>
      <c r="J48" s="18">
        <f>ABS('Annual Calculations'!$Q$11)*(1+$C$3)^J$194</f>
        <v>599.14468793303479</v>
      </c>
      <c r="K48" s="18">
        <f>ABS('Annual Calculations'!$Q$11)*(1+$C$3)^K$194</f>
        <v>622.5113307624232</v>
      </c>
      <c r="L48" s="18">
        <f>ABS('Annual Calculations'!$Q$11)*(1+$C$3)^L$194</f>
        <v>646.7892726621576</v>
      </c>
      <c r="M48" s="18">
        <f>ABS('Annual Calculations'!$Q$11)*(1+$C$3)^M$194</f>
        <v>672.01405429598174</v>
      </c>
      <c r="N48" s="18">
        <f>ABS('Annual Calculations'!$Q$11)*(1+$C$3)^N$194</f>
        <v>698.22260241352478</v>
      </c>
      <c r="O48" s="18">
        <f>ABS('Annual Calculations'!$Q$11)*(1+$C$3)^O$194</f>
        <v>725.45328390765212</v>
      </c>
      <c r="P48" s="18">
        <f>ABS('Annual Calculations'!$Q$11)*(1+$C$3)^P$194</f>
        <v>753.74596198005042</v>
      </c>
      <c r="Q48" s="18">
        <f>ABS('Annual Calculations'!$Q$11)*(1+$C$3)^Q$194</f>
        <v>783.1420544972724</v>
      </c>
      <c r="R48" s="18">
        <f>ABS('Annual Calculations'!$Q$11)*(1+$C$3)^R$194</f>
        <v>813.68459462266571</v>
      </c>
      <c r="S48" s="18">
        <f>ABS('Annual Calculations'!$Q$11)*(1+$C$3)^S$194</f>
        <v>845.41829381294974</v>
      </c>
      <c r="T48" s="18">
        <f>ABS('Annual Calculations'!$Q$11)*(1+$C$3)^T$194</f>
        <v>878.38960727165465</v>
      </c>
      <c r="U48" s="18">
        <f>ABS('Annual Calculations'!$Q$11)*(1+$C$3)^U$194</f>
        <v>912.6468019552492</v>
      </c>
      <c r="V48" s="18">
        <f>ABS('Annual Calculations'!$Q$11)*(1+$C$3)^V$194</f>
        <v>948.24002723150375</v>
      </c>
      <c r="W48" s="18">
        <f>ABS('Annual Calculations'!$Q$11)*(1+$C$3)^W$194</f>
        <v>985.22138829353219</v>
      </c>
      <c r="X48" s="18">
        <f>ABS('Annual Calculations'!$Q$11)*(1+$C$3)^X$194</f>
        <v>1023.6450224369797</v>
      </c>
      <c r="Y48" s="18">
        <f>ABS('Annual Calculations'!$Q$11)*(1+$C$3)^Y$194</f>
        <v>1063.567178312022</v>
      </c>
      <c r="Z48" s="18">
        <f>ABS('Annual Calculations'!$Q$11)*(1+$C$3)^Z$194</f>
        <v>1105.0462982661904</v>
      </c>
      <c r="AA48" s="18">
        <f>ABS('Annual Calculations'!$Q$11)*(1+$C$3)^AA$194</f>
        <v>1148.143103898572</v>
      </c>
      <c r="AB48" s="18">
        <f>ABS('Annual Calculations'!$Q$11)*(1+$C$3)^AB$194</f>
        <v>1192.9206849506161</v>
      </c>
      <c r="AC48" s="18">
        <f>ABS('Annual Calculations'!$Q$11)*(1+$C$3)^AC$194</f>
        <v>1239.4445916636901</v>
      </c>
      <c r="AD48" s="18">
        <f>ABS('Annual Calculations'!$Q$11)*(1+$C$3)^AD$194</f>
        <v>1287.7829307385737</v>
      </c>
      <c r="AE48" s="18">
        <f>ABS('Annual Calculations'!$Q$11)*(1+$C$3)^AE$194</f>
        <v>1338.0064650373777</v>
      </c>
      <c r="AF48" s="18">
        <f>ABS('Annual Calculations'!$Q$11)*(1+$C$3)^AF$194</f>
        <v>1390.1887171738351</v>
      </c>
      <c r="AG48" s="18">
        <f>ABS('Annual Calculations'!$Q$11)*(1+$C$3)^AG$194</f>
        <v>1444.4060771436148</v>
      </c>
      <c r="AH48" s="18">
        <f>ABS('Annual Calculations'!$Q$11)*(1+$C$3)^AH$194</f>
        <v>1500.7379141522151</v>
      </c>
      <c r="AI48" s="18">
        <f>ABS('Annual Calculations'!$Q$11)*(1+$C$3)^AI$194</f>
        <v>1559.2666928041515</v>
      </c>
      <c r="AJ48" s="18">
        <f>ABS('Annual Calculations'!$Q$11)*(1+$C$3)^AJ$194</f>
        <v>1620.0780938235134</v>
      </c>
      <c r="AK48" s="18">
        <f>ABS('Annual Calculations'!$Q$11)*(1+$C$3)^AK$194</f>
        <v>1683.2611394826301</v>
      </c>
      <c r="AL48" s="18">
        <f>ABS('Annual Calculations'!$Q$11)*(1+$C$3)^AL$194</f>
        <v>1748.9083239224524</v>
      </c>
      <c r="AM48" s="18">
        <f>ABS('Annual Calculations'!$Q$11)*(1+$C$3)^AM$194</f>
        <v>1817.1157485554281</v>
      </c>
      <c r="AN48" s="18">
        <f>ABS('Annual Calculations'!$Q$11)*(1+$C$3)^AN$194</f>
        <v>1887.9832627490891</v>
      </c>
      <c r="AO48" s="18">
        <f>ABS('Annual Calculations'!$Q$11)*(1+$C$3)^AO$194</f>
        <v>1961.6146099963034</v>
      </c>
      <c r="AP48" s="18">
        <f>ABS('Annual Calculations'!$Q$11)*(1+$C$3)^AP$194</f>
        <v>2038.1175797861588</v>
      </c>
      <c r="AQ48" s="18">
        <f>ABS('Annual Calculations'!$Q$11)*(1+$C$3)^AQ$194</f>
        <v>2117.6041653978191</v>
      </c>
      <c r="AR48" s="18">
        <f>ABS('Annual Calculations'!$Q$11)*(1+$C$3)^AR$194</f>
        <v>2200.1907278483336</v>
      </c>
      <c r="AS48" s="18">
        <f>ABS('Annual Calculations'!$Q$11)*(1+$C$3)^AS$194</f>
        <v>2285.9981662344185</v>
      </c>
      <c r="AT48" s="18">
        <f>ABS('Annual Calculations'!$Q$11)*(1+$C$3)^AT$194</f>
        <v>2375.1520947175604</v>
      </c>
      <c r="AU48" s="18">
        <f>ABS('Annual Calculations'!$Q$11)*(1+$C$3)^AU$194</f>
        <v>2467.7830264115451</v>
      </c>
      <c r="AV48" s="18">
        <f>ABS('Annual Calculations'!$Q$11)*(1+$C$3)^AV$194</f>
        <v>2564.0265644415945</v>
      </c>
      <c r="AW48" s="18">
        <f>ABS('Annual Calculations'!$Q$11)*(1+$C$3)^AW$194</f>
        <v>2664.0236004548169</v>
      </c>
      <c r="AX48" s="18">
        <f>ABS('Annual Calculations'!$Q$11)*(1+$C$3)^AX$194</f>
        <v>2767.9205208725534</v>
      </c>
      <c r="AY48" s="18">
        <f>ABS('Annual Calculations'!$Q$11)*(1+$C$3)^AY$194</f>
        <v>2875.8694211865836</v>
      </c>
      <c r="AZ48" s="18">
        <f>ABS('Annual Calculations'!$Q$11)*(1+$C$3)^AZ$194</f>
        <v>2988.0283286128597</v>
      </c>
      <c r="BA48" s="18">
        <f>ABS('Annual Calculations'!$Q$11)*(1+$C$3)^BA$194</f>
        <v>3104.5614334287611</v>
      </c>
      <c r="BB48" s="18">
        <f>ABS('Annual Calculations'!$Q$11)*(1+$C$3)^BB$194</f>
        <v>3225.6393293324822</v>
      </c>
    </row>
    <row r="49" spans="1:54" x14ac:dyDescent="0.25">
      <c r="A49" s="177"/>
      <c r="B49" t="s">
        <v>357</v>
      </c>
      <c r="C49" s="72" t="s">
        <v>362</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row>
    <row r="50" spans="1:54" x14ac:dyDescent="0.25">
      <c r="A50" s="177"/>
      <c r="B50" t="s">
        <v>358</v>
      </c>
      <c r="C50" s="72" t="s">
        <v>362</v>
      </c>
      <c r="D50">
        <f>SUM(D47:D49)</f>
        <v>-10496.90625</v>
      </c>
      <c r="E50" s="18">
        <f t="shared" ref="E50:BB50" si="224">SUM(E47:E49)</f>
        <v>494.82766849542583</v>
      </c>
      <c r="F50" s="18">
        <f t="shared" si="224"/>
        <v>514.12594756674741</v>
      </c>
      <c r="G50" s="18">
        <f t="shared" si="224"/>
        <v>534.17685952185047</v>
      </c>
      <c r="H50" s="18">
        <f t="shared" si="224"/>
        <v>555.00975704320251</v>
      </c>
      <c r="I50" s="18">
        <f t="shared" si="224"/>
        <v>576.65513756788732</v>
      </c>
      <c r="J50" s="18">
        <f t="shared" si="224"/>
        <v>599.14468793303479</v>
      </c>
      <c r="K50" s="18">
        <f t="shared" si="224"/>
        <v>622.5113307624232</v>
      </c>
      <c r="L50" s="18">
        <f t="shared" si="224"/>
        <v>646.7892726621576</v>
      </c>
      <c r="M50" s="18">
        <f t="shared" si="224"/>
        <v>672.01405429598174</v>
      </c>
      <c r="N50" s="18">
        <f t="shared" si="224"/>
        <v>-9143.9836227487158</v>
      </c>
      <c r="O50" s="18">
        <f t="shared" si="224"/>
        <v>725.45328390765212</v>
      </c>
      <c r="P50" s="18">
        <f t="shared" si="224"/>
        <v>753.74596198005042</v>
      </c>
      <c r="Q50" s="18">
        <f t="shared" si="224"/>
        <v>783.1420544972724</v>
      </c>
      <c r="R50" s="18">
        <f t="shared" si="224"/>
        <v>813.68459462266571</v>
      </c>
      <c r="S50" s="18">
        <f t="shared" si="224"/>
        <v>845.41829381294974</v>
      </c>
      <c r="T50" s="18">
        <f t="shared" si="224"/>
        <v>878.38960727165465</v>
      </c>
      <c r="U50" s="18">
        <f t="shared" si="224"/>
        <v>912.6468019552492</v>
      </c>
      <c r="V50" s="18">
        <f t="shared" si="224"/>
        <v>948.24002723150375</v>
      </c>
      <c r="W50" s="18">
        <f t="shared" si="224"/>
        <v>985.22138829353219</v>
      </c>
      <c r="X50" s="18">
        <f t="shared" si="224"/>
        <v>-13405.743796200368</v>
      </c>
      <c r="Y50" s="18">
        <f t="shared" si="224"/>
        <v>1063.567178312022</v>
      </c>
      <c r="Z50" s="18">
        <f t="shared" si="224"/>
        <v>1105.0462982661904</v>
      </c>
      <c r="AA50" s="18">
        <f t="shared" si="224"/>
        <v>1148.143103898572</v>
      </c>
      <c r="AB50" s="18">
        <f t="shared" si="224"/>
        <v>1192.9206849506161</v>
      </c>
      <c r="AC50" s="18">
        <f t="shared" si="224"/>
        <v>-3951.2451424701526</v>
      </c>
      <c r="AD50" s="18">
        <f t="shared" si="224"/>
        <v>1287.7829307385737</v>
      </c>
      <c r="AE50" s="18">
        <f t="shared" si="224"/>
        <v>1338.0064650373777</v>
      </c>
      <c r="AF50" s="18">
        <f t="shared" si="224"/>
        <v>1390.1887171738351</v>
      </c>
      <c r="AG50" s="18">
        <f t="shared" si="224"/>
        <v>1444.4060771436148</v>
      </c>
      <c r="AH50" s="18">
        <f t="shared" si="224"/>
        <v>-19653.793591916114</v>
      </c>
      <c r="AI50" s="18">
        <f t="shared" si="224"/>
        <v>1559.2666928041515</v>
      </c>
      <c r="AJ50" s="18">
        <f t="shared" si="224"/>
        <v>1620.0780938235134</v>
      </c>
      <c r="AK50" s="18">
        <f t="shared" si="224"/>
        <v>1683.2611394826301</v>
      </c>
      <c r="AL50" s="18">
        <f t="shared" si="224"/>
        <v>1748.9083239224524</v>
      </c>
      <c r="AM50" s="18">
        <f t="shared" si="224"/>
        <v>1817.1157485554281</v>
      </c>
      <c r="AN50" s="18">
        <f t="shared" si="224"/>
        <v>1887.9832627490891</v>
      </c>
      <c r="AO50" s="18">
        <f t="shared" si="224"/>
        <v>1961.6146099963034</v>
      </c>
      <c r="AP50" s="18">
        <f t="shared" si="224"/>
        <v>2038.1175797861588</v>
      </c>
      <c r="AQ50" s="18">
        <f t="shared" si="224"/>
        <v>2117.6041653978191</v>
      </c>
      <c r="AR50" s="18">
        <f t="shared" si="224"/>
        <v>-28813.888168079506</v>
      </c>
      <c r="AS50" s="18">
        <f t="shared" si="224"/>
        <v>2285.9981662344185</v>
      </c>
      <c r="AT50" s="18">
        <f t="shared" si="224"/>
        <v>2375.1520947175604</v>
      </c>
      <c r="AU50" s="18">
        <f t="shared" si="224"/>
        <v>2467.7830264115451</v>
      </c>
      <c r="AV50" s="18">
        <f t="shared" si="224"/>
        <v>2564.0265644415945</v>
      </c>
      <c r="AW50" s="18">
        <f t="shared" si="224"/>
        <v>2664.0236004548169</v>
      </c>
      <c r="AX50" s="18">
        <f t="shared" si="224"/>
        <v>2767.9205208725534</v>
      </c>
      <c r="AY50" s="18">
        <f t="shared" si="224"/>
        <v>2875.8694211865836</v>
      </c>
      <c r="AZ50" s="18">
        <f t="shared" si="224"/>
        <v>2988.0283286128597</v>
      </c>
      <c r="BA50" s="18">
        <f t="shared" si="224"/>
        <v>3104.5614334287611</v>
      </c>
      <c r="BB50" s="18">
        <f t="shared" si="224"/>
        <v>3225.6393293324822</v>
      </c>
    </row>
    <row r="51" spans="1:54" x14ac:dyDescent="0.25">
      <c r="A51" s="177"/>
      <c r="B51" t="s">
        <v>359</v>
      </c>
      <c r="C51" s="72"/>
      <c r="D51">
        <f t="shared" ref="D51:AI51" si="225">(1+$C$2)^D$194</f>
        <v>1</v>
      </c>
      <c r="E51" s="40">
        <f t="shared" si="225"/>
        <v>1.1219999999999999</v>
      </c>
      <c r="F51" s="40">
        <f t="shared" si="225"/>
        <v>1.2588839999999997</v>
      </c>
      <c r="G51" s="40">
        <f t="shared" si="225"/>
        <v>1.4124678479999995</v>
      </c>
      <c r="H51" s="40">
        <f t="shared" si="225"/>
        <v>1.5847889254559993</v>
      </c>
      <c r="I51" s="40">
        <f t="shared" si="225"/>
        <v>1.7781331743616309</v>
      </c>
      <c r="J51" s="40">
        <f t="shared" si="225"/>
        <v>1.9950654216337496</v>
      </c>
      <c r="K51" s="40">
        <f t="shared" si="225"/>
        <v>2.2384634030730668</v>
      </c>
      <c r="L51" s="40">
        <f t="shared" si="225"/>
        <v>2.5115559382479806</v>
      </c>
      <c r="M51" s="40">
        <f t="shared" si="225"/>
        <v>2.817965762714234</v>
      </c>
      <c r="N51" s="40">
        <f t="shared" si="225"/>
        <v>3.1617575857653701</v>
      </c>
      <c r="O51" s="40">
        <f t="shared" si="225"/>
        <v>3.5474920112287447</v>
      </c>
      <c r="P51" s="40">
        <f t="shared" si="225"/>
        <v>3.9802860365986512</v>
      </c>
      <c r="Q51" s="40">
        <f t="shared" si="225"/>
        <v>4.4658809330636862</v>
      </c>
      <c r="R51" s="40">
        <f t="shared" si="225"/>
        <v>5.0107184068974551</v>
      </c>
      <c r="S51" s="40">
        <f t="shared" si="225"/>
        <v>5.6220260525389438</v>
      </c>
      <c r="T51" s="40">
        <f t="shared" si="225"/>
        <v>6.307913230948694</v>
      </c>
      <c r="U51" s="40">
        <f t="shared" si="225"/>
        <v>7.077478645124434</v>
      </c>
      <c r="V51" s="40">
        <f t="shared" si="225"/>
        <v>7.9409310398296133</v>
      </c>
      <c r="W51" s="40">
        <f t="shared" si="225"/>
        <v>8.9097246266888259</v>
      </c>
      <c r="X51" s="40">
        <f t="shared" si="225"/>
        <v>9.9967110311448621</v>
      </c>
      <c r="Y51" s="40">
        <f t="shared" si="225"/>
        <v>11.216309776944533</v>
      </c>
      <c r="Z51" s="40">
        <f t="shared" si="225"/>
        <v>12.584699569731765</v>
      </c>
      <c r="AA51" s="40">
        <f t="shared" si="225"/>
        <v>14.120032917239037</v>
      </c>
      <c r="AB51" s="40">
        <f t="shared" si="225"/>
        <v>15.842676933142199</v>
      </c>
      <c r="AC51" s="40">
        <f t="shared" si="225"/>
        <v>17.775483518985546</v>
      </c>
      <c r="AD51" s="40">
        <f t="shared" si="225"/>
        <v>19.944092508301779</v>
      </c>
      <c r="AE51" s="40">
        <f t="shared" si="225"/>
        <v>22.377271794314591</v>
      </c>
      <c r="AF51" s="40">
        <f t="shared" si="225"/>
        <v>25.107298953220969</v>
      </c>
      <c r="AG51" s="40">
        <f t="shared" si="225"/>
        <v>28.170389425513925</v>
      </c>
      <c r="AH51" s="40">
        <f t="shared" si="225"/>
        <v>31.607176935426619</v>
      </c>
      <c r="AI51" s="40">
        <f t="shared" si="225"/>
        <v>35.463252521548661</v>
      </c>
      <c r="AJ51" s="40">
        <f t="shared" ref="AJ51:BB51" si="226">(1+$C$2)^AJ$194</f>
        <v>39.789769329177595</v>
      </c>
      <c r="AK51" s="40">
        <f t="shared" si="226"/>
        <v>44.644121187337255</v>
      </c>
      <c r="AL51" s="40">
        <f t="shared" si="226"/>
        <v>50.090703972192394</v>
      </c>
      <c r="AM51" s="40">
        <f t="shared" si="226"/>
        <v>56.201769856799864</v>
      </c>
      <c r="AN51" s="40">
        <f t="shared" si="226"/>
        <v>63.058385779329434</v>
      </c>
      <c r="AO51" s="40">
        <f t="shared" si="226"/>
        <v>70.751508844407624</v>
      </c>
      <c r="AP51" s="40">
        <f t="shared" si="226"/>
        <v>79.383192923425341</v>
      </c>
      <c r="AQ51" s="40">
        <f t="shared" si="226"/>
        <v>89.067942460083216</v>
      </c>
      <c r="AR51" s="40">
        <f t="shared" si="226"/>
        <v>99.934231440213352</v>
      </c>
      <c r="AS51" s="40">
        <f t="shared" si="226"/>
        <v>112.12620767591937</v>
      </c>
      <c r="AT51" s="40">
        <f t="shared" si="226"/>
        <v>125.80560501238152</v>
      </c>
      <c r="AU51" s="40">
        <f t="shared" si="226"/>
        <v>141.15388882389203</v>
      </c>
      <c r="AV51" s="40">
        <f t="shared" si="226"/>
        <v>158.37466326040686</v>
      </c>
      <c r="AW51" s="40">
        <f t="shared" si="226"/>
        <v>177.69637217817649</v>
      </c>
      <c r="AX51" s="40">
        <f t="shared" si="226"/>
        <v>199.37532958391398</v>
      </c>
      <c r="AY51" s="40">
        <f t="shared" si="226"/>
        <v>223.69911979315145</v>
      </c>
      <c r="AZ51" s="40">
        <f t="shared" si="226"/>
        <v>250.9904124079159</v>
      </c>
      <c r="BA51" s="40">
        <f t="shared" si="226"/>
        <v>281.61124272168161</v>
      </c>
      <c r="BB51" s="40">
        <f t="shared" si="226"/>
        <v>315.96781433372672</v>
      </c>
    </row>
    <row r="52" spans="1:54" x14ac:dyDescent="0.25">
      <c r="A52" s="177"/>
      <c r="B52" t="s">
        <v>360</v>
      </c>
      <c r="C52" s="72" t="s">
        <v>362</v>
      </c>
      <c r="D52">
        <f>D50/D51</f>
        <v>-10496.90625</v>
      </c>
      <c r="E52" s="18">
        <f>E50/E51</f>
        <v>441.02287744690364</v>
      </c>
      <c r="F52" s="18">
        <f>F50/F51</f>
        <v>408.39819043434306</v>
      </c>
      <c r="G52" s="18">
        <f t="shared" ref="G52:BB52" si="227">G50/G51</f>
        <v>378.18691609739966</v>
      </c>
      <c r="H52" s="18">
        <f t="shared" si="227"/>
        <v>350.2105221258451</v>
      </c>
      <c r="I52" s="18">
        <f t="shared" si="227"/>
        <v>324.3036831450562</v>
      </c>
      <c r="J52" s="18">
        <f t="shared" si="227"/>
        <v>300.31330373236483</v>
      </c>
      <c r="K52" s="18">
        <f t="shared" si="227"/>
        <v>278.09761370581742</v>
      </c>
      <c r="L52" s="18">
        <f t="shared" si="227"/>
        <v>257.52533033898777</v>
      </c>
      <c r="M52" s="18">
        <f t="shared" si="227"/>
        <v>238.47488255098781</v>
      </c>
      <c r="N52" s="18">
        <f t="shared" si="227"/>
        <v>-2892.0571469223569</v>
      </c>
      <c r="O52" s="18">
        <f t="shared" si="227"/>
        <v>204.49751024425194</v>
      </c>
      <c r="P52" s="18">
        <f t="shared" si="227"/>
        <v>189.36979781085361</v>
      </c>
      <c r="Q52" s="18">
        <f t="shared" si="227"/>
        <v>175.36115857885642</v>
      </c>
      <c r="R52" s="18">
        <f t="shared" si="227"/>
        <v>162.38880905831709</v>
      </c>
      <c r="S52" s="18">
        <f t="shared" si="227"/>
        <v>150.37608967165019</v>
      </c>
      <c r="T52" s="18">
        <f t="shared" si="227"/>
        <v>139.2520117369381</v>
      </c>
      <c r="U52" s="18">
        <f t="shared" si="227"/>
        <v>128.95083796317175</v>
      </c>
      <c r="V52" s="18">
        <f t="shared" si="227"/>
        <v>119.41169397837383</v>
      </c>
      <c r="W52" s="18">
        <f t="shared" si="227"/>
        <v>110.57820859494687</v>
      </c>
      <c r="X52" s="18">
        <f t="shared" si="227"/>
        <v>-1341.0154354201725</v>
      </c>
      <c r="Y52" s="18">
        <f t="shared" si="227"/>
        <v>94.82327070693222</v>
      </c>
      <c r="Z52" s="18">
        <f t="shared" si="227"/>
        <v>87.808715030750932</v>
      </c>
      <c r="AA52" s="18">
        <f t="shared" si="227"/>
        <v>81.31306142330682</v>
      </c>
      <c r="AB52" s="18">
        <f t="shared" si="227"/>
        <v>75.297924080940973</v>
      </c>
      <c r="AC52" s="18">
        <f t="shared" si="227"/>
        <v>-222.28622575863702</v>
      </c>
      <c r="AD52" s="18">
        <f t="shared" si="227"/>
        <v>64.569642875579859</v>
      </c>
      <c r="AE52" s="18">
        <f t="shared" si="227"/>
        <v>59.793100666423769</v>
      </c>
      <c r="AF52" s="18">
        <f t="shared" si="227"/>
        <v>55.369903380048392</v>
      </c>
      <c r="AG52" s="18">
        <f t="shared" si="227"/>
        <v>51.273912310044814</v>
      </c>
      <c r="AH52" s="18">
        <f t="shared" si="227"/>
        <v>-621.81426807173455</v>
      </c>
      <c r="AI52" s="18">
        <f t="shared" si="227"/>
        <v>43.968519014342768</v>
      </c>
      <c r="AJ52" s="18">
        <f t="shared" si="227"/>
        <v>40.715945860875351</v>
      </c>
      <c r="AK52" s="18">
        <f t="shared" si="227"/>
        <v>37.703981951381003</v>
      </c>
      <c r="AL52" s="18">
        <f t="shared" si="227"/>
        <v>34.914828206314496</v>
      </c>
      <c r="AM52" s="18">
        <f t="shared" si="227"/>
        <v>32.332002233833123</v>
      </c>
      <c r="AN52" s="18">
        <f t="shared" si="227"/>
        <v>29.940240927765245</v>
      </c>
      <c r="AO52" s="18">
        <f t="shared" si="227"/>
        <v>27.725410270898475</v>
      </c>
      <c r="AP52" s="18">
        <f t="shared" si="227"/>
        <v>25.674421810573541</v>
      </c>
      <c r="AQ52" s="18">
        <f t="shared" si="227"/>
        <v>23.775155312999924</v>
      </c>
      <c r="AR52" s="18">
        <f t="shared" si="227"/>
        <v>-288.32851119005903</v>
      </c>
      <c r="AS52" s="18">
        <f t="shared" si="227"/>
        <v>20.387723919475498</v>
      </c>
      <c r="AT52" s="18">
        <f t="shared" si="227"/>
        <v>18.87954113398845</v>
      </c>
      <c r="AU52" s="18">
        <f t="shared" si="227"/>
        <v>17.482926237267382</v>
      </c>
      <c r="AV52" s="18">
        <f t="shared" si="227"/>
        <v>16.189625989768988</v>
      </c>
      <c r="AW52" s="18">
        <f t="shared" si="227"/>
        <v>14.991997685712995</v>
      </c>
      <c r="AX52" s="18">
        <f t="shared" si="227"/>
        <v>13.882963988819784</v>
      </c>
      <c r="AY52" s="18">
        <f t="shared" si="227"/>
        <v>12.855971109076435</v>
      </c>
      <c r="AZ52" s="18">
        <f t="shared" si="227"/>
        <v>11.904950073378266</v>
      </c>
      <c r="BA52" s="18">
        <f t="shared" si="227"/>
        <v>11.024280861176488</v>
      </c>
      <c r="BB52" s="18">
        <f t="shared" si="227"/>
        <v>10.208759193192844</v>
      </c>
    </row>
    <row r="53" spans="1:54" x14ac:dyDescent="0.25">
      <c r="A53" s="177"/>
      <c r="B53" s="76" t="s">
        <v>645</v>
      </c>
      <c r="C53" s="77" t="s">
        <v>362</v>
      </c>
      <c r="D53" s="76">
        <f>D52</f>
        <v>-10496.90625</v>
      </c>
      <c r="E53" s="78">
        <f>E52+D53</f>
        <v>-10055.883372553097</v>
      </c>
      <c r="F53" s="78">
        <f t="shared" ref="F53" si="228">F52+E53</f>
        <v>-9647.4851821187531</v>
      </c>
      <c r="G53" s="78">
        <f t="shared" ref="G53" si="229">G52+F53</f>
        <v>-9269.2982660213529</v>
      </c>
      <c r="H53" s="78">
        <f t="shared" ref="H53" si="230">H52+G53</f>
        <v>-8919.0877438955085</v>
      </c>
      <c r="I53" s="78">
        <f t="shared" ref="I53" si="231">I52+H53</f>
        <v>-8594.7840607504531</v>
      </c>
      <c r="J53" s="78">
        <f t="shared" ref="J53" si="232">J52+I53</f>
        <v>-8294.470757018089</v>
      </c>
      <c r="K53" s="78">
        <f t="shared" ref="K53" si="233">K52+J53</f>
        <v>-8016.3731433122712</v>
      </c>
      <c r="L53" s="78">
        <f t="shared" ref="L53" si="234">L52+K53</f>
        <v>-7758.847812973283</v>
      </c>
      <c r="M53" s="78">
        <f t="shared" ref="M53" si="235">M52+L53</f>
        <v>-7520.3729304222952</v>
      </c>
      <c r="N53" s="78">
        <f t="shared" ref="N53" si="236">N52+M53</f>
        <v>-10412.430077344652</v>
      </c>
      <c r="O53" s="78">
        <f t="shared" ref="O53" si="237">O52+N53</f>
        <v>-10207.932567100401</v>
      </c>
      <c r="P53" s="78">
        <f t="shared" ref="P53" si="238">P52+O53</f>
        <v>-10018.562769289547</v>
      </c>
      <c r="Q53" s="78">
        <f t="shared" ref="Q53" si="239">Q52+P53</f>
        <v>-9843.2016107106901</v>
      </c>
      <c r="R53" s="78">
        <f t="shared" ref="R53" si="240">R52+Q53</f>
        <v>-9680.8128016523733</v>
      </c>
      <c r="S53" s="78">
        <f t="shared" ref="S53" si="241">S52+R53</f>
        <v>-9530.436711980723</v>
      </c>
      <c r="T53" s="78">
        <f t="shared" ref="T53" si="242">T52+S53</f>
        <v>-9391.1847002437844</v>
      </c>
      <c r="U53" s="78">
        <f t="shared" ref="U53" si="243">U52+T53</f>
        <v>-9262.2338622806128</v>
      </c>
      <c r="V53" s="78">
        <f t="shared" ref="V53" si="244">V52+U53</f>
        <v>-9142.8221683022384</v>
      </c>
      <c r="W53" s="78">
        <f t="shared" ref="W53" si="245">W52+V53</f>
        <v>-9032.2439597072917</v>
      </c>
      <c r="X53" s="78">
        <f t="shared" ref="X53" si="246">X52+W53</f>
        <v>-10373.259395127465</v>
      </c>
      <c r="Y53" s="78">
        <f t="shared" ref="Y53" si="247">Y52+X53</f>
        <v>-10278.436124420532</v>
      </c>
      <c r="Z53" s="78">
        <f t="shared" ref="Z53" si="248">Z52+Y53</f>
        <v>-10190.627409389781</v>
      </c>
      <c r="AA53" s="78">
        <f t="shared" ref="AA53" si="249">AA52+Z53</f>
        <v>-10109.314347966474</v>
      </c>
      <c r="AB53" s="78">
        <f t="shared" ref="AB53" si="250">AB52+AA53</f>
        <v>-10034.016423885532</v>
      </c>
      <c r="AC53" s="78">
        <f t="shared" ref="AC53" si="251">AC52+AB53</f>
        <v>-10256.302649644169</v>
      </c>
      <c r="AD53" s="78">
        <f t="shared" ref="AD53" si="252">AD52+AC53</f>
        <v>-10191.733006768589</v>
      </c>
      <c r="AE53" s="78">
        <f t="shared" ref="AE53" si="253">AE52+AD53</f>
        <v>-10131.939906102165</v>
      </c>
      <c r="AF53" s="78">
        <f t="shared" ref="AF53" si="254">AF52+AE53</f>
        <v>-10076.570002722117</v>
      </c>
      <c r="AG53" s="78">
        <f t="shared" ref="AG53" si="255">AG52+AF53</f>
        <v>-10025.296090412072</v>
      </c>
      <c r="AH53" s="78">
        <f t="shared" ref="AH53" si="256">AH52+AG53</f>
        <v>-10647.110358483806</v>
      </c>
      <c r="AI53" s="78">
        <f t="shared" ref="AI53" si="257">AI52+AH53</f>
        <v>-10603.141839469463</v>
      </c>
      <c r="AJ53" s="78">
        <f t="shared" ref="AJ53" si="258">AJ52+AI53</f>
        <v>-10562.425893608588</v>
      </c>
      <c r="AK53" s="78">
        <f t="shared" ref="AK53" si="259">AK52+AJ53</f>
        <v>-10524.721911657207</v>
      </c>
      <c r="AL53" s="78">
        <f t="shared" ref="AL53" si="260">AL52+AK53</f>
        <v>-10489.807083450893</v>
      </c>
      <c r="AM53" s="78">
        <f t="shared" ref="AM53" si="261">AM52+AL53</f>
        <v>-10457.475081217059</v>
      </c>
      <c r="AN53" s="78">
        <f t="shared" ref="AN53" si="262">AN52+AM53</f>
        <v>-10427.534840289294</v>
      </c>
      <c r="AO53" s="78">
        <f t="shared" ref="AO53" si="263">AO52+AN53</f>
        <v>-10399.809430018395</v>
      </c>
      <c r="AP53" s="78">
        <f t="shared" ref="AP53" si="264">AP52+AO53</f>
        <v>-10374.135008207821</v>
      </c>
      <c r="AQ53" s="78">
        <f t="shared" ref="AQ53" si="265">AQ52+AP53</f>
        <v>-10350.359852894821</v>
      </c>
      <c r="AR53" s="78">
        <f t="shared" ref="AR53" si="266">AR52+AQ53</f>
        <v>-10638.688364084879</v>
      </c>
      <c r="AS53" s="78">
        <f t="shared" ref="AS53" si="267">AS52+AR53</f>
        <v>-10618.300640165404</v>
      </c>
      <c r="AT53" s="78">
        <f t="shared" ref="AT53" si="268">AT52+AS53</f>
        <v>-10599.421099031415</v>
      </c>
      <c r="AU53" s="78">
        <f t="shared" ref="AU53" si="269">AU52+AT53</f>
        <v>-10581.938172794147</v>
      </c>
      <c r="AV53" s="78">
        <f t="shared" ref="AV53" si="270">AV52+AU53</f>
        <v>-10565.748546804378</v>
      </c>
      <c r="AW53" s="78">
        <f t="shared" ref="AW53" si="271">AW52+AV53</f>
        <v>-10550.756549118665</v>
      </c>
      <c r="AX53" s="78">
        <f t="shared" ref="AX53" si="272">AX52+AW53</f>
        <v>-10536.873585129846</v>
      </c>
      <c r="AY53" s="78">
        <f t="shared" ref="AY53" si="273">AY52+AX53</f>
        <v>-10524.01761402077</v>
      </c>
      <c r="AZ53" s="78">
        <f t="shared" ref="AZ53" si="274">AZ52+AY53</f>
        <v>-10512.112663947391</v>
      </c>
      <c r="BA53" s="78">
        <f t="shared" ref="BA53" si="275">BA52+AZ53</f>
        <v>-10501.088383086215</v>
      </c>
      <c r="BB53" s="78">
        <f t="shared" ref="BB53" si="276">BB52+BA53</f>
        <v>-10490.879623893023</v>
      </c>
    </row>
    <row r="54" spans="1:54" x14ac:dyDescent="0.25">
      <c r="A54" s="177"/>
      <c r="B54" s="22" t="s">
        <v>361</v>
      </c>
      <c r="C54" s="75" t="s">
        <v>362</v>
      </c>
      <c r="D54" s="93">
        <f>SUM(D52:BB52)</f>
        <v>-10490.879623893023</v>
      </c>
    </row>
    <row r="55" spans="1:54" x14ac:dyDescent="0.25">
      <c r="A55" s="177" t="s">
        <v>852</v>
      </c>
      <c r="B55" t="s">
        <v>363</v>
      </c>
      <c r="C55" s="72" t="s">
        <v>362</v>
      </c>
      <c r="D55">
        <f>-(PV!$B$56*PV!$E$60)/South_Facade_PV!$B$7</f>
        <v>-4533.875</v>
      </c>
      <c r="E55">
        <v>0</v>
      </c>
      <c r="F55">
        <v>0</v>
      </c>
      <c r="G55">
        <v>0</v>
      </c>
      <c r="H55">
        <v>0</v>
      </c>
      <c r="I55">
        <v>0</v>
      </c>
      <c r="J55">
        <v>0</v>
      </c>
      <c r="K55">
        <v>0</v>
      </c>
      <c r="L55">
        <v>0</v>
      </c>
      <c r="M55">
        <v>0</v>
      </c>
      <c r="N55">
        <f>-((PV!$B$79*PV!$B$56)/South_Facade_PV!$B$7)*(1+$C$1)^N$194</f>
        <v>-1986.8719766574104</v>
      </c>
      <c r="O55">
        <v>0</v>
      </c>
      <c r="P55">
        <v>0</v>
      </c>
      <c r="Q55">
        <v>0</v>
      </c>
      <c r="R55">
        <v>0</v>
      </c>
      <c r="S55">
        <v>0</v>
      </c>
      <c r="T55">
        <v>0</v>
      </c>
      <c r="U55">
        <v>0</v>
      </c>
      <c r="V55">
        <v>0</v>
      </c>
      <c r="W55">
        <v>0</v>
      </c>
      <c r="X55">
        <f>-((PV!$B$79*PV!$B$56)/South_Facade_PV!$B$7)*(1+$C$1)^X$194</f>
        <v>-2912.8985542641108</v>
      </c>
      <c r="Y55">
        <v>0</v>
      </c>
      <c r="Z55">
        <v>0</v>
      </c>
      <c r="AA55">
        <v>0</v>
      </c>
      <c r="AB55">
        <v>0</v>
      </c>
      <c r="AC55">
        <f>-(PV!$B$80*PV!$B$56/South_Facade_PV!$B$7)*(1+$C$1)^AC$194</f>
        <v>-5190.6897341338426</v>
      </c>
      <c r="AD55">
        <v>0</v>
      </c>
      <c r="AE55">
        <v>0</v>
      </c>
      <c r="AF55">
        <v>0</v>
      </c>
      <c r="AG55">
        <v>0</v>
      </c>
      <c r="AH55">
        <f>-((PV!$B$79*PV!$B$56)/South_Facade_PV!$B$7)*(1+$C$1)^AH$194</f>
        <v>-4270.5207417080501</v>
      </c>
      <c r="AI55">
        <v>0</v>
      </c>
      <c r="AJ55">
        <v>0</v>
      </c>
      <c r="AK55">
        <v>0</v>
      </c>
      <c r="AL55">
        <v>0</v>
      </c>
      <c r="AM55">
        <v>0</v>
      </c>
      <c r="AN55">
        <v>0</v>
      </c>
      <c r="AO55">
        <v>0</v>
      </c>
      <c r="AP55">
        <v>0</v>
      </c>
      <c r="AQ55">
        <v>0</v>
      </c>
      <c r="AR55">
        <f>-((PV!$B$79*PV!$B$56)/South_Facade_PV!$B$7)*(1+$C$1)^AR$194</f>
        <v>-6260.8934247509369</v>
      </c>
      <c r="AS55">
        <v>0</v>
      </c>
      <c r="AT55">
        <v>0</v>
      </c>
      <c r="AU55">
        <v>0</v>
      </c>
      <c r="AV55">
        <v>0</v>
      </c>
      <c r="AW55">
        <v>0</v>
      </c>
      <c r="AX55">
        <v>0</v>
      </c>
      <c r="AY55">
        <v>0</v>
      </c>
      <c r="AZ55">
        <v>0</v>
      </c>
      <c r="BA55">
        <v>0</v>
      </c>
      <c r="BB55">
        <v>0</v>
      </c>
    </row>
    <row r="56" spans="1:54" x14ac:dyDescent="0.25">
      <c r="A56" s="177"/>
      <c r="B56" t="s">
        <v>356</v>
      </c>
      <c r="C56" s="72" t="s">
        <v>362</v>
      </c>
      <c r="D56">
        <v>0</v>
      </c>
      <c r="E56" s="18">
        <f>ABS('Annual Calculations'!$Q$11)*(1+$C$3)^E$194</f>
        <v>494.82766849542583</v>
      </c>
      <c r="F56" s="18">
        <f>ABS('Annual Calculations'!$Q$11)*(1+$C$3)^F$194</f>
        <v>514.12594756674741</v>
      </c>
      <c r="G56" s="18">
        <f>ABS('Annual Calculations'!$Q$11)*(1+$C$3)^G$194</f>
        <v>534.17685952185047</v>
      </c>
      <c r="H56" s="18">
        <f>ABS('Annual Calculations'!$Q$11)*(1+$C$3)^H$194</f>
        <v>555.00975704320251</v>
      </c>
      <c r="I56" s="18">
        <f>ABS('Annual Calculations'!$Q$11)*(1+$C$3)^I$194</f>
        <v>576.65513756788732</v>
      </c>
      <c r="J56" s="18">
        <f>ABS('Annual Calculations'!$Q$11)*(1+$C$3)^J$194</f>
        <v>599.14468793303479</v>
      </c>
      <c r="K56" s="18">
        <f>ABS('Annual Calculations'!$Q$11)*(1+$C$3)^K$194</f>
        <v>622.5113307624232</v>
      </c>
      <c r="L56" s="18">
        <f>ABS('Annual Calculations'!$Q$11)*(1+$C$3)^L$194</f>
        <v>646.7892726621576</v>
      </c>
      <c r="M56" s="18">
        <f>ABS('Annual Calculations'!$Q$11)*(1+$C$3)^M$194</f>
        <v>672.01405429598174</v>
      </c>
      <c r="N56" s="18">
        <f>ABS('Annual Calculations'!$Q$11)*(1+$C$3)^N$194</f>
        <v>698.22260241352478</v>
      </c>
      <c r="O56" s="18">
        <f>ABS('Annual Calculations'!$Q$11)*(1+$C$3)^O$194</f>
        <v>725.45328390765212</v>
      </c>
      <c r="P56" s="18">
        <f>ABS('Annual Calculations'!$Q$11)*(1+$C$3)^P$194</f>
        <v>753.74596198005042</v>
      </c>
      <c r="Q56" s="18">
        <f>ABS('Annual Calculations'!$Q$11)*(1+$C$3)^Q$194</f>
        <v>783.1420544972724</v>
      </c>
      <c r="R56" s="18">
        <f>ABS('Annual Calculations'!$Q$11)*(1+$C$3)^R$194</f>
        <v>813.68459462266571</v>
      </c>
      <c r="S56" s="18">
        <f>ABS('Annual Calculations'!$Q$11)*(1+$C$3)^S$194</f>
        <v>845.41829381294974</v>
      </c>
      <c r="T56" s="18">
        <f>ABS('Annual Calculations'!$Q$11)*(1+$C$3)^T$194</f>
        <v>878.38960727165465</v>
      </c>
      <c r="U56" s="18">
        <f>ABS('Annual Calculations'!$Q$11)*(1+$C$3)^U$194</f>
        <v>912.6468019552492</v>
      </c>
      <c r="V56" s="18">
        <f>ABS('Annual Calculations'!$Q$11)*(1+$C$3)^V$194</f>
        <v>948.24002723150375</v>
      </c>
      <c r="W56" s="18">
        <f>ABS('Annual Calculations'!$Q$11)*(1+$C$3)^W$194</f>
        <v>985.22138829353219</v>
      </c>
      <c r="X56" s="18">
        <f>ABS('Annual Calculations'!$Q$11)*(1+$C$3)^X$194</f>
        <v>1023.6450224369797</v>
      </c>
      <c r="Y56" s="18">
        <f>ABS('Annual Calculations'!$Q$11)*(1+$C$3)^Y$194</f>
        <v>1063.567178312022</v>
      </c>
      <c r="Z56" s="18">
        <f>ABS('Annual Calculations'!$Q$11)*(1+$C$3)^Z$194</f>
        <v>1105.0462982661904</v>
      </c>
      <c r="AA56" s="18">
        <f>ABS('Annual Calculations'!$Q$11)*(1+$C$3)^AA$194</f>
        <v>1148.143103898572</v>
      </c>
      <c r="AB56" s="18">
        <f>ABS('Annual Calculations'!$Q$11)*(1+$C$3)^AB$194</f>
        <v>1192.9206849506161</v>
      </c>
      <c r="AC56" s="18">
        <f>ABS('Annual Calculations'!$Q$11)*(1+$C$3)^AC$194</f>
        <v>1239.4445916636901</v>
      </c>
      <c r="AD56" s="18">
        <f>ABS('Annual Calculations'!$Q$11)*(1+$C$3)^AD$194</f>
        <v>1287.7829307385737</v>
      </c>
      <c r="AE56" s="18">
        <f>ABS('Annual Calculations'!$Q$11)*(1+$C$3)^AE$194</f>
        <v>1338.0064650373777</v>
      </c>
      <c r="AF56" s="18">
        <f>ABS('Annual Calculations'!$Q$11)*(1+$C$3)^AF$194</f>
        <v>1390.1887171738351</v>
      </c>
      <c r="AG56" s="18">
        <f>ABS('Annual Calculations'!$Q$11)*(1+$C$3)^AG$194</f>
        <v>1444.4060771436148</v>
      </c>
      <c r="AH56" s="18">
        <f>ABS('Annual Calculations'!$Q$11)*(1+$C$3)^AH$194</f>
        <v>1500.7379141522151</v>
      </c>
      <c r="AI56" s="18">
        <f>ABS('Annual Calculations'!$Q$11)*(1+$C$3)^AI$194</f>
        <v>1559.2666928041515</v>
      </c>
      <c r="AJ56" s="18">
        <f>ABS('Annual Calculations'!$Q$11)*(1+$C$3)^AJ$194</f>
        <v>1620.0780938235134</v>
      </c>
      <c r="AK56" s="18">
        <f>ABS('Annual Calculations'!$Q$11)*(1+$C$3)^AK$194</f>
        <v>1683.2611394826301</v>
      </c>
      <c r="AL56" s="18">
        <f>ABS('Annual Calculations'!$Q$11)*(1+$C$3)^AL$194</f>
        <v>1748.9083239224524</v>
      </c>
      <c r="AM56" s="18">
        <f>ABS('Annual Calculations'!$Q$11)*(1+$C$3)^AM$194</f>
        <v>1817.1157485554281</v>
      </c>
      <c r="AN56" s="18">
        <f>ABS('Annual Calculations'!$Q$11)*(1+$C$3)^AN$194</f>
        <v>1887.9832627490891</v>
      </c>
      <c r="AO56" s="18">
        <f>ABS('Annual Calculations'!$Q$11)*(1+$C$3)^AO$194</f>
        <v>1961.6146099963034</v>
      </c>
      <c r="AP56" s="18">
        <f>ABS('Annual Calculations'!$Q$11)*(1+$C$3)^AP$194</f>
        <v>2038.1175797861588</v>
      </c>
      <c r="AQ56" s="18">
        <f>ABS('Annual Calculations'!$Q$11)*(1+$C$3)^AQ$194</f>
        <v>2117.6041653978191</v>
      </c>
      <c r="AR56" s="18">
        <f>ABS('Annual Calculations'!$Q$11)*(1+$C$3)^AR$194</f>
        <v>2200.1907278483336</v>
      </c>
      <c r="AS56" s="18">
        <f>ABS('Annual Calculations'!$Q$11)*(1+$C$3)^AS$194</f>
        <v>2285.9981662344185</v>
      </c>
      <c r="AT56" s="18">
        <f>ABS('Annual Calculations'!$Q$11)*(1+$C$3)^AT$194</f>
        <v>2375.1520947175604</v>
      </c>
      <c r="AU56" s="18">
        <f>ABS('Annual Calculations'!$Q$11)*(1+$C$3)^AU$194</f>
        <v>2467.7830264115451</v>
      </c>
      <c r="AV56" s="18">
        <f>ABS('Annual Calculations'!$Q$11)*(1+$C$3)^AV$194</f>
        <v>2564.0265644415945</v>
      </c>
      <c r="AW56" s="18">
        <f>ABS('Annual Calculations'!$Q$11)*(1+$C$3)^AW$194</f>
        <v>2664.0236004548169</v>
      </c>
      <c r="AX56" s="18">
        <f>ABS('Annual Calculations'!$Q$11)*(1+$C$3)^AX$194</f>
        <v>2767.9205208725534</v>
      </c>
      <c r="AY56" s="18">
        <f>ABS('Annual Calculations'!$Q$11)*(1+$C$3)^AY$194</f>
        <v>2875.8694211865836</v>
      </c>
      <c r="AZ56" s="18">
        <f>ABS('Annual Calculations'!$Q$11)*(1+$C$3)^AZ$194</f>
        <v>2988.0283286128597</v>
      </c>
      <c r="BA56" s="18">
        <f>ABS('Annual Calculations'!$Q$11)*(1+$C$3)^BA$194</f>
        <v>3104.5614334287611</v>
      </c>
      <c r="BB56" s="18">
        <f>ABS('Annual Calculations'!$Q$11)*(1+$C$3)^BB$194</f>
        <v>3225.6393293324822</v>
      </c>
    </row>
    <row r="57" spans="1:54" x14ac:dyDescent="0.25">
      <c r="A57" s="177"/>
      <c r="B57" t="s">
        <v>357</v>
      </c>
      <c r="C57" s="72" t="s">
        <v>362</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row>
    <row r="58" spans="1:54" x14ac:dyDescent="0.25">
      <c r="A58" s="177"/>
      <c r="B58" t="s">
        <v>358</v>
      </c>
      <c r="C58" s="72" t="s">
        <v>362</v>
      </c>
      <c r="D58">
        <f>SUM(D55:D57)</f>
        <v>-4533.875</v>
      </c>
      <c r="E58" s="18">
        <f t="shared" ref="E58:BB58" si="277">SUM(E55:E57)</f>
        <v>494.82766849542583</v>
      </c>
      <c r="F58" s="18">
        <f t="shared" si="277"/>
        <v>514.12594756674741</v>
      </c>
      <c r="G58" s="18">
        <f t="shared" si="277"/>
        <v>534.17685952185047</v>
      </c>
      <c r="H58" s="18">
        <f t="shared" si="277"/>
        <v>555.00975704320251</v>
      </c>
      <c r="I58" s="18">
        <f t="shared" si="277"/>
        <v>576.65513756788732</v>
      </c>
      <c r="J58" s="18">
        <f t="shared" si="277"/>
        <v>599.14468793303479</v>
      </c>
      <c r="K58" s="18">
        <f t="shared" si="277"/>
        <v>622.5113307624232</v>
      </c>
      <c r="L58" s="18">
        <f t="shared" si="277"/>
        <v>646.7892726621576</v>
      </c>
      <c r="M58" s="18">
        <f t="shared" si="277"/>
        <v>672.01405429598174</v>
      </c>
      <c r="N58" s="18">
        <f t="shared" si="277"/>
        <v>-1288.6493742438856</v>
      </c>
      <c r="O58" s="18">
        <f t="shared" si="277"/>
        <v>725.45328390765212</v>
      </c>
      <c r="P58" s="18">
        <f t="shared" si="277"/>
        <v>753.74596198005042</v>
      </c>
      <c r="Q58" s="18">
        <f t="shared" si="277"/>
        <v>783.1420544972724</v>
      </c>
      <c r="R58" s="18">
        <f t="shared" si="277"/>
        <v>813.68459462266571</v>
      </c>
      <c r="S58" s="18">
        <f t="shared" si="277"/>
        <v>845.41829381294974</v>
      </c>
      <c r="T58" s="18">
        <f t="shared" si="277"/>
        <v>878.38960727165465</v>
      </c>
      <c r="U58" s="18">
        <f t="shared" si="277"/>
        <v>912.6468019552492</v>
      </c>
      <c r="V58" s="18">
        <f t="shared" si="277"/>
        <v>948.24002723150375</v>
      </c>
      <c r="W58" s="18">
        <f t="shared" si="277"/>
        <v>985.22138829353219</v>
      </c>
      <c r="X58" s="18">
        <f t="shared" si="277"/>
        <v>-1889.2535318271312</v>
      </c>
      <c r="Y58" s="18">
        <f t="shared" si="277"/>
        <v>1063.567178312022</v>
      </c>
      <c r="Z58" s="18">
        <f t="shared" si="277"/>
        <v>1105.0462982661904</v>
      </c>
      <c r="AA58" s="18">
        <f t="shared" si="277"/>
        <v>1148.143103898572</v>
      </c>
      <c r="AB58" s="18">
        <f t="shared" si="277"/>
        <v>1192.9206849506161</v>
      </c>
      <c r="AC58" s="18">
        <f t="shared" si="277"/>
        <v>-3951.2451424701526</v>
      </c>
      <c r="AD58" s="18">
        <f t="shared" si="277"/>
        <v>1287.7829307385737</v>
      </c>
      <c r="AE58" s="18">
        <f t="shared" si="277"/>
        <v>1338.0064650373777</v>
      </c>
      <c r="AF58" s="18">
        <f t="shared" si="277"/>
        <v>1390.1887171738351</v>
      </c>
      <c r="AG58" s="18">
        <f t="shared" si="277"/>
        <v>1444.4060771436148</v>
      </c>
      <c r="AH58" s="18">
        <f t="shared" si="277"/>
        <v>-2769.782827555835</v>
      </c>
      <c r="AI58" s="18">
        <f t="shared" si="277"/>
        <v>1559.2666928041515</v>
      </c>
      <c r="AJ58" s="18">
        <f t="shared" si="277"/>
        <v>1620.0780938235134</v>
      </c>
      <c r="AK58" s="18">
        <f t="shared" si="277"/>
        <v>1683.2611394826301</v>
      </c>
      <c r="AL58" s="18">
        <f t="shared" si="277"/>
        <v>1748.9083239224524</v>
      </c>
      <c r="AM58" s="18">
        <f t="shared" si="277"/>
        <v>1817.1157485554281</v>
      </c>
      <c r="AN58" s="18">
        <f t="shared" si="277"/>
        <v>1887.9832627490891</v>
      </c>
      <c r="AO58" s="18">
        <f t="shared" si="277"/>
        <v>1961.6146099963034</v>
      </c>
      <c r="AP58" s="18">
        <f t="shared" si="277"/>
        <v>2038.1175797861588</v>
      </c>
      <c r="AQ58" s="18">
        <f t="shared" si="277"/>
        <v>2117.6041653978191</v>
      </c>
      <c r="AR58" s="18">
        <f t="shared" si="277"/>
        <v>-4060.7026969026033</v>
      </c>
      <c r="AS58" s="18">
        <f t="shared" si="277"/>
        <v>2285.9981662344185</v>
      </c>
      <c r="AT58" s="18">
        <f t="shared" si="277"/>
        <v>2375.1520947175604</v>
      </c>
      <c r="AU58" s="18">
        <f t="shared" si="277"/>
        <v>2467.7830264115451</v>
      </c>
      <c r="AV58" s="18">
        <f t="shared" si="277"/>
        <v>2564.0265644415945</v>
      </c>
      <c r="AW58" s="18">
        <f t="shared" si="277"/>
        <v>2664.0236004548169</v>
      </c>
      <c r="AX58" s="18">
        <f t="shared" si="277"/>
        <v>2767.9205208725534</v>
      </c>
      <c r="AY58" s="18">
        <f t="shared" si="277"/>
        <v>2875.8694211865836</v>
      </c>
      <c r="AZ58" s="18">
        <f t="shared" si="277"/>
        <v>2988.0283286128597</v>
      </c>
      <c r="BA58" s="18">
        <f t="shared" si="277"/>
        <v>3104.5614334287611</v>
      </c>
      <c r="BB58" s="18">
        <f t="shared" si="277"/>
        <v>3225.6393293324822</v>
      </c>
    </row>
    <row r="59" spans="1:54" x14ac:dyDescent="0.25">
      <c r="A59" s="177"/>
      <c r="B59" t="s">
        <v>359</v>
      </c>
      <c r="C59" s="72"/>
      <c r="D59">
        <f t="shared" ref="D59:AI59" si="278">(1+$C$2)^D$194</f>
        <v>1</v>
      </c>
      <c r="E59" s="40">
        <f t="shared" si="278"/>
        <v>1.1219999999999999</v>
      </c>
      <c r="F59" s="40">
        <f t="shared" si="278"/>
        <v>1.2588839999999997</v>
      </c>
      <c r="G59" s="40">
        <f t="shared" si="278"/>
        <v>1.4124678479999995</v>
      </c>
      <c r="H59" s="40">
        <f t="shared" si="278"/>
        <v>1.5847889254559993</v>
      </c>
      <c r="I59" s="40">
        <f t="shared" si="278"/>
        <v>1.7781331743616309</v>
      </c>
      <c r="J59" s="40">
        <f t="shared" si="278"/>
        <v>1.9950654216337496</v>
      </c>
      <c r="K59" s="40">
        <f t="shared" si="278"/>
        <v>2.2384634030730668</v>
      </c>
      <c r="L59" s="40">
        <f t="shared" si="278"/>
        <v>2.5115559382479806</v>
      </c>
      <c r="M59" s="40">
        <f t="shared" si="278"/>
        <v>2.817965762714234</v>
      </c>
      <c r="N59" s="40">
        <f t="shared" si="278"/>
        <v>3.1617575857653701</v>
      </c>
      <c r="O59" s="40">
        <f t="shared" si="278"/>
        <v>3.5474920112287447</v>
      </c>
      <c r="P59" s="40">
        <f t="shared" si="278"/>
        <v>3.9802860365986512</v>
      </c>
      <c r="Q59" s="40">
        <f t="shared" si="278"/>
        <v>4.4658809330636862</v>
      </c>
      <c r="R59" s="40">
        <f t="shared" si="278"/>
        <v>5.0107184068974551</v>
      </c>
      <c r="S59" s="40">
        <f t="shared" si="278"/>
        <v>5.6220260525389438</v>
      </c>
      <c r="T59" s="40">
        <f t="shared" si="278"/>
        <v>6.307913230948694</v>
      </c>
      <c r="U59" s="40">
        <f t="shared" si="278"/>
        <v>7.077478645124434</v>
      </c>
      <c r="V59" s="40">
        <f t="shared" si="278"/>
        <v>7.9409310398296133</v>
      </c>
      <c r="W59" s="40">
        <f t="shared" si="278"/>
        <v>8.9097246266888259</v>
      </c>
      <c r="X59" s="40">
        <f t="shared" si="278"/>
        <v>9.9967110311448621</v>
      </c>
      <c r="Y59" s="40">
        <f t="shared" si="278"/>
        <v>11.216309776944533</v>
      </c>
      <c r="Z59" s="40">
        <f t="shared" si="278"/>
        <v>12.584699569731765</v>
      </c>
      <c r="AA59" s="40">
        <f t="shared" si="278"/>
        <v>14.120032917239037</v>
      </c>
      <c r="AB59" s="40">
        <f t="shared" si="278"/>
        <v>15.842676933142199</v>
      </c>
      <c r="AC59" s="40">
        <f t="shared" si="278"/>
        <v>17.775483518985546</v>
      </c>
      <c r="AD59" s="40">
        <f t="shared" si="278"/>
        <v>19.944092508301779</v>
      </c>
      <c r="AE59" s="40">
        <f t="shared" si="278"/>
        <v>22.377271794314591</v>
      </c>
      <c r="AF59" s="40">
        <f t="shared" si="278"/>
        <v>25.107298953220969</v>
      </c>
      <c r="AG59" s="40">
        <f t="shared" si="278"/>
        <v>28.170389425513925</v>
      </c>
      <c r="AH59" s="40">
        <f t="shared" si="278"/>
        <v>31.607176935426619</v>
      </c>
      <c r="AI59" s="40">
        <f t="shared" si="278"/>
        <v>35.463252521548661</v>
      </c>
      <c r="AJ59" s="40">
        <f t="shared" ref="AJ59:BB59" si="279">(1+$C$2)^AJ$194</f>
        <v>39.789769329177595</v>
      </c>
      <c r="AK59" s="40">
        <f t="shared" si="279"/>
        <v>44.644121187337255</v>
      </c>
      <c r="AL59" s="40">
        <f t="shared" si="279"/>
        <v>50.090703972192394</v>
      </c>
      <c r="AM59" s="40">
        <f t="shared" si="279"/>
        <v>56.201769856799864</v>
      </c>
      <c r="AN59" s="40">
        <f t="shared" si="279"/>
        <v>63.058385779329434</v>
      </c>
      <c r="AO59" s="40">
        <f t="shared" si="279"/>
        <v>70.751508844407624</v>
      </c>
      <c r="AP59" s="40">
        <f t="shared" si="279"/>
        <v>79.383192923425341</v>
      </c>
      <c r="AQ59" s="40">
        <f t="shared" si="279"/>
        <v>89.067942460083216</v>
      </c>
      <c r="AR59" s="40">
        <f t="shared" si="279"/>
        <v>99.934231440213352</v>
      </c>
      <c r="AS59" s="40">
        <f t="shared" si="279"/>
        <v>112.12620767591937</v>
      </c>
      <c r="AT59" s="40">
        <f t="shared" si="279"/>
        <v>125.80560501238152</v>
      </c>
      <c r="AU59" s="40">
        <f t="shared" si="279"/>
        <v>141.15388882389203</v>
      </c>
      <c r="AV59" s="40">
        <f t="shared" si="279"/>
        <v>158.37466326040686</v>
      </c>
      <c r="AW59" s="40">
        <f t="shared" si="279"/>
        <v>177.69637217817649</v>
      </c>
      <c r="AX59" s="40">
        <f t="shared" si="279"/>
        <v>199.37532958391398</v>
      </c>
      <c r="AY59" s="40">
        <f t="shared" si="279"/>
        <v>223.69911979315145</v>
      </c>
      <c r="AZ59" s="40">
        <f t="shared" si="279"/>
        <v>250.9904124079159</v>
      </c>
      <c r="BA59" s="40">
        <f t="shared" si="279"/>
        <v>281.61124272168161</v>
      </c>
      <c r="BB59" s="40">
        <f t="shared" si="279"/>
        <v>315.96781433372672</v>
      </c>
    </row>
    <row r="60" spans="1:54" x14ac:dyDescent="0.25">
      <c r="A60" s="177"/>
      <c r="B60" t="s">
        <v>360</v>
      </c>
      <c r="C60" s="72" t="s">
        <v>362</v>
      </c>
      <c r="D60">
        <f>D58/D59</f>
        <v>-4533.875</v>
      </c>
      <c r="E60" s="18">
        <f>E58/E59</f>
        <v>441.02287744690364</v>
      </c>
      <c r="F60" s="18">
        <f>F58/F59</f>
        <v>408.39819043434306</v>
      </c>
      <c r="G60" s="18">
        <f t="shared" ref="G60:BB60" si="280">G58/G59</f>
        <v>378.18691609739966</v>
      </c>
      <c r="H60" s="18">
        <f t="shared" si="280"/>
        <v>350.2105221258451</v>
      </c>
      <c r="I60" s="18">
        <f t="shared" si="280"/>
        <v>324.3036831450562</v>
      </c>
      <c r="J60" s="18">
        <f t="shared" si="280"/>
        <v>300.31330373236483</v>
      </c>
      <c r="K60" s="18">
        <f t="shared" si="280"/>
        <v>278.09761370581742</v>
      </c>
      <c r="L60" s="18">
        <f t="shared" si="280"/>
        <v>257.52533033898777</v>
      </c>
      <c r="M60" s="18">
        <f t="shared" si="280"/>
        <v>238.47488255098781</v>
      </c>
      <c r="N60" s="18">
        <f t="shared" si="280"/>
        <v>-407.57374317548789</v>
      </c>
      <c r="O60" s="18">
        <f t="shared" si="280"/>
        <v>204.49751024425194</v>
      </c>
      <c r="P60" s="18">
        <f t="shared" si="280"/>
        <v>189.36979781085361</v>
      </c>
      <c r="Q60" s="18">
        <f t="shared" si="280"/>
        <v>175.36115857885642</v>
      </c>
      <c r="R60" s="18">
        <f t="shared" si="280"/>
        <v>162.38880905831709</v>
      </c>
      <c r="S60" s="18">
        <f t="shared" si="280"/>
        <v>150.37608967165019</v>
      </c>
      <c r="T60" s="18">
        <f t="shared" si="280"/>
        <v>139.2520117369381</v>
      </c>
      <c r="U60" s="18">
        <f t="shared" si="280"/>
        <v>128.95083796317175</v>
      </c>
      <c r="V60" s="18">
        <f t="shared" si="280"/>
        <v>119.41169397837383</v>
      </c>
      <c r="W60" s="18">
        <f t="shared" si="280"/>
        <v>110.57820859494687</v>
      </c>
      <c r="X60" s="18">
        <f t="shared" si="280"/>
        <v>-188.98751058634596</v>
      </c>
      <c r="Y60" s="18">
        <f t="shared" si="280"/>
        <v>94.82327070693222</v>
      </c>
      <c r="Z60" s="18">
        <f t="shared" si="280"/>
        <v>87.808715030750932</v>
      </c>
      <c r="AA60" s="18">
        <f t="shared" si="280"/>
        <v>81.31306142330682</v>
      </c>
      <c r="AB60" s="18">
        <f t="shared" si="280"/>
        <v>75.297924080940973</v>
      </c>
      <c r="AC60" s="18">
        <f t="shared" si="280"/>
        <v>-222.28622575863702</v>
      </c>
      <c r="AD60" s="18">
        <f t="shared" si="280"/>
        <v>64.569642875579859</v>
      </c>
      <c r="AE60" s="18">
        <f t="shared" si="280"/>
        <v>59.793100666423769</v>
      </c>
      <c r="AF60" s="18">
        <f t="shared" si="280"/>
        <v>55.369903380048392</v>
      </c>
      <c r="AG60" s="18">
        <f t="shared" si="280"/>
        <v>51.273912310044814</v>
      </c>
      <c r="AH60" s="18">
        <f t="shared" si="280"/>
        <v>-87.631452603770782</v>
      </c>
      <c r="AI60" s="18">
        <f t="shared" si="280"/>
        <v>43.968519014342768</v>
      </c>
      <c r="AJ60" s="18">
        <f t="shared" si="280"/>
        <v>40.715945860875351</v>
      </c>
      <c r="AK60" s="18">
        <f t="shared" si="280"/>
        <v>37.703981951381003</v>
      </c>
      <c r="AL60" s="18">
        <f t="shared" si="280"/>
        <v>34.914828206314496</v>
      </c>
      <c r="AM60" s="18">
        <f t="shared" si="280"/>
        <v>32.332002233833123</v>
      </c>
      <c r="AN60" s="18">
        <f t="shared" si="280"/>
        <v>29.940240927765245</v>
      </c>
      <c r="AO60" s="18">
        <f t="shared" si="280"/>
        <v>27.725410270898475</v>
      </c>
      <c r="AP60" s="18">
        <f t="shared" si="280"/>
        <v>25.674421810573541</v>
      </c>
      <c r="AQ60" s="18">
        <f t="shared" si="280"/>
        <v>23.775155312999924</v>
      </c>
      <c r="AR60" s="18">
        <f t="shared" si="280"/>
        <v>-40.63375120197886</v>
      </c>
      <c r="AS60" s="18">
        <f t="shared" si="280"/>
        <v>20.387723919475498</v>
      </c>
      <c r="AT60" s="18">
        <f t="shared" si="280"/>
        <v>18.87954113398845</v>
      </c>
      <c r="AU60" s="18">
        <f t="shared" si="280"/>
        <v>17.482926237267382</v>
      </c>
      <c r="AV60" s="18">
        <f t="shared" si="280"/>
        <v>16.189625989768988</v>
      </c>
      <c r="AW60" s="18">
        <f t="shared" si="280"/>
        <v>14.991997685712995</v>
      </c>
      <c r="AX60" s="18">
        <f t="shared" si="280"/>
        <v>13.882963988819784</v>
      </c>
      <c r="AY60" s="18">
        <f t="shared" si="280"/>
        <v>12.855971109076435</v>
      </c>
      <c r="AZ60" s="18">
        <f t="shared" si="280"/>
        <v>11.904950073378266</v>
      </c>
      <c r="BA60" s="18">
        <f t="shared" si="280"/>
        <v>11.024280861176488</v>
      </c>
      <c r="BB60" s="18">
        <f t="shared" si="280"/>
        <v>10.208759193192844</v>
      </c>
    </row>
    <row r="61" spans="1:54" x14ac:dyDescent="0.25">
      <c r="A61" s="177"/>
      <c r="B61" s="76" t="s">
        <v>645</v>
      </c>
      <c r="C61" s="77" t="s">
        <v>362</v>
      </c>
      <c r="D61" s="76">
        <f>D60</f>
        <v>-4533.875</v>
      </c>
      <c r="E61" s="78">
        <f>E60+D61</f>
        <v>-4092.8521225530963</v>
      </c>
      <c r="F61" s="78">
        <f t="shared" ref="F61" si="281">F60+E61</f>
        <v>-3684.4539321187531</v>
      </c>
      <c r="G61" s="78">
        <f t="shared" ref="G61" si="282">G60+F61</f>
        <v>-3306.2670160213534</v>
      </c>
      <c r="H61" s="78">
        <f t="shared" ref="H61" si="283">H60+G61</f>
        <v>-2956.0564938955081</v>
      </c>
      <c r="I61" s="78">
        <f t="shared" ref="I61" si="284">I60+H61</f>
        <v>-2631.7528107504518</v>
      </c>
      <c r="J61" s="78">
        <f t="shared" ref="J61" si="285">J60+I61</f>
        <v>-2331.4395070180872</v>
      </c>
      <c r="K61" s="78">
        <f t="shared" ref="K61" si="286">K60+J61</f>
        <v>-2053.3418933122698</v>
      </c>
      <c r="L61" s="78">
        <f t="shared" ref="L61" si="287">L60+K61</f>
        <v>-1795.8165629732821</v>
      </c>
      <c r="M61" s="78">
        <f t="shared" ref="M61" si="288">M60+L61</f>
        <v>-1557.3416804222943</v>
      </c>
      <c r="N61" s="78">
        <f t="shared" ref="N61" si="289">N60+M61</f>
        <v>-1964.9154235977821</v>
      </c>
      <c r="O61" s="78">
        <f t="shared" ref="O61" si="290">O60+N61</f>
        <v>-1760.4179133535301</v>
      </c>
      <c r="P61" s="78">
        <f t="shared" ref="P61" si="291">P60+O61</f>
        <v>-1571.0481155426764</v>
      </c>
      <c r="Q61" s="78">
        <f t="shared" ref="Q61" si="292">Q60+P61</f>
        <v>-1395.68695696382</v>
      </c>
      <c r="R61" s="78">
        <f t="shared" ref="R61" si="293">R60+Q61</f>
        <v>-1233.2981479055029</v>
      </c>
      <c r="S61" s="78">
        <f t="shared" ref="S61" si="294">S60+R61</f>
        <v>-1082.9220582338528</v>
      </c>
      <c r="T61" s="78">
        <f t="shared" ref="T61" si="295">T60+S61</f>
        <v>-943.67004649691467</v>
      </c>
      <c r="U61" s="78">
        <f t="shared" ref="U61" si="296">U60+T61</f>
        <v>-814.71920853374286</v>
      </c>
      <c r="V61" s="78">
        <f t="shared" ref="V61" si="297">V60+U61</f>
        <v>-695.30751455536904</v>
      </c>
      <c r="W61" s="78">
        <f t="shared" ref="W61" si="298">W60+V61</f>
        <v>-584.72930596042215</v>
      </c>
      <c r="X61" s="78">
        <f t="shared" ref="X61" si="299">X60+W61</f>
        <v>-773.71681654676809</v>
      </c>
      <c r="Y61" s="78">
        <f t="shared" ref="Y61" si="300">Y60+X61</f>
        <v>-678.89354583983584</v>
      </c>
      <c r="Z61" s="78">
        <f t="shared" ref="Z61" si="301">Z60+Y61</f>
        <v>-591.08483080908491</v>
      </c>
      <c r="AA61" s="78">
        <f t="shared" ref="AA61" si="302">AA60+Z61</f>
        <v>-509.7717693857781</v>
      </c>
      <c r="AB61" s="78">
        <f t="shared" ref="AB61" si="303">AB60+AA61</f>
        <v>-434.47384530483714</v>
      </c>
      <c r="AC61" s="78">
        <f t="shared" ref="AC61" si="304">AC60+AB61</f>
        <v>-656.76007106347413</v>
      </c>
      <c r="AD61" s="78">
        <f t="shared" ref="AD61" si="305">AD60+AC61</f>
        <v>-592.19042818789421</v>
      </c>
      <c r="AE61" s="78">
        <f t="shared" ref="AE61" si="306">AE60+AD61</f>
        <v>-532.3973275214704</v>
      </c>
      <c r="AF61" s="78">
        <f t="shared" ref="AF61" si="307">AF60+AE61</f>
        <v>-477.02742414142199</v>
      </c>
      <c r="AG61" s="78">
        <f t="shared" ref="AG61" si="308">AG60+AF61</f>
        <v>-425.75351183137718</v>
      </c>
      <c r="AH61" s="78">
        <f t="shared" ref="AH61" si="309">AH60+AG61</f>
        <v>-513.38496443514794</v>
      </c>
      <c r="AI61" s="78">
        <f t="shared" ref="AI61" si="310">AI60+AH61</f>
        <v>-469.41644542080519</v>
      </c>
      <c r="AJ61" s="78">
        <f t="shared" ref="AJ61" si="311">AJ60+AI61</f>
        <v>-428.70049955992982</v>
      </c>
      <c r="AK61" s="78">
        <f t="shared" ref="AK61" si="312">AK60+AJ61</f>
        <v>-390.9965176085488</v>
      </c>
      <c r="AL61" s="78">
        <f t="shared" ref="AL61" si="313">AL60+AK61</f>
        <v>-356.0816894022343</v>
      </c>
      <c r="AM61" s="78">
        <f t="shared" ref="AM61" si="314">AM60+AL61</f>
        <v>-323.74968716840118</v>
      </c>
      <c r="AN61" s="78">
        <f t="shared" ref="AN61" si="315">AN60+AM61</f>
        <v>-293.80944624063591</v>
      </c>
      <c r="AO61" s="78">
        <f t="shared" ref="AO61" si="316">AO60+AN61</f>
        <v>-266.08403596973744</v>
      </c>
      <c r="AP61" s="78">
        <f t="shared" ref="AP61" si="317">AP60+AO61</f>
        <v>-240.40961415916391</v>
      </c>
      <c r="AQ61" s="78">
        <f t="shared" ref="AQ61" si="318">AQ60+AP61</f>
        <v>-216.63445884616399</v>
      </c>
      <c r="AR61" s="78">
        <f t="shared" ref="AR61" si="319">AR60+AQ61</f>
        <v>-257.26821004814286</v>
      </c>
      <c r="AS61" s="78">
        <f t="shared" ref="AS61" si="320">AS60+AR61</f>
        <v>-236.88048612866737</v>
      </c>
      <c r="AT61" s="78">
        <f t="shared" ref="AT61" si="321">AT60+AS61</f>
        <v>-218.00094499467892</v>
      </c>
      <c r="AU61" s="78">
        <f t="shared" ref="AU61" si="322">AU60+AT61</f>
        <v>-200.51801875741154</v>
      </c>
      <c r="AV61" s="78">
        <f t="shared" ref="AV61" si="323">AV60+AU61</f>
        <v>-184.32839276764255</v>
      </c>
      <c r="AW61" s="78">
        <f t="shared" ref="AW61" si="324">AW60+AV61</f>
        <v>-169.33639508192957</v>
      </c>
      <c r="AX61" s="78">
        <f t="shared" ref="AX61" si="325">AX60+AW61</f>
        <v>-155.45343109310977</v>
      </c>
      <c r="AY61" s="78">
        <f t="shared" ref="AY61" si="326">AY60+AX61</f>
        <v>-142.59745998403332</v>
      </c>
      <c r="AZ61" s="78">
        <f t="shared" ref="AZ61" si="327">AZ60+AY61</f>
        <v>-130.69250991065505</v>
      </c>
      <c r="BA61" s="78">
        <f t="shared" ref="BA61" si="328">BA60+AZ61</f>
        <v>-119.66822904947855</v>
      </c>
      <c r="BB61" s="78">
        <f t="shared" ref="BB61" si="329">BB60+BA61</f>
        <v>-109.45946985628571</v>
      </c>
    </row>
    <row r="62" spans="1:54" x14ac:dyDescent="0.25">
      <c r="A62" s="177"/>
      <c r="B62" s="22" t="s">
        <v>361</v>
      </c>
      <c r="C62" s="75" t="s">
        <v>362</v>
      </c>
      <c r="D62" s="93">
        <f>SUM(D60:BB60)</f>
        <v>-109.45946985628571</v>
      </c>
    </row>
    <row r="63" spans="1:54" x14ac:dyDescent="0.25">
      <c r="A63" s="180" t="s">
        <v>715</v>
      </c>
      <c r="B63" s="76" t="s">
        <v>363</v>
      </c>
      <c r="C63" s="77" t="s">
        <v>362</v>
      </c>
      <c r="D63" s="78">
        <f>-(PV!$B$56*PV!$B$60)/South_Facade_PV_5S!$B$7</f>
        <v>-8397.5249999999996</v>
      </c>
      <c r="E63" s="76">
        <v>0</v>
      </c>
      <c r="F63" s="76">
        <v>0</v>
      </c>
      <c r="G63" s="76">
        <v>0</v>
      </c>
      <c r="H63" s="76">
        <v>0</v>
      </c>
      <c r="I63" s="76">
        <v>0</v>
      </c>
      <c r="J63" s="76">
        <v>0</v>
      </c>
      <c r="K63" s="76">
        <v>0</v>
      </c>
      <c r="L63" s="76">
        <v>0</v>
      </c>
      <c r="M63" s="76">
        <v>0</v>
      </c>
      <c r="N63" s="76">
        <f>-((PV!$B$78*PV!$B$56)/South_Facade_PV_5S!$B$7)*(1+$C$1)^N$194</f>
        <v>-7873.764980129793</v>
      </c>
      <c r="O63" s="76">
        <v>0</v>
      </c>
      <c r="P63" s="76">
        <v>0</v>
      </c>
      <c r="Q63" s="76">
        <v>0</v>
      </c>
      <c r="R63" s="76">
        <v>0</v>
      </c>
      <c r="S63" s="76">
        <v>0</v>
      </c>
      <c r="T63" s="76">
        <v>0</v>
      </c>
      <c r="U63" s="76">
        <v>0</v>
      </c>
      <c r="V63" s="76">
        <v>0</v>
      </c>
      <c r="W63" s="76">
        <v>0</v>
      </c>
      <c r="X63" s="76">
        <f>-((PV!$B$78*PV!$B$56)/South_Facade_PV_5S!$B$7)*(1+$C$1)^X$194</f>
        <v>-11543.511054909879</v>
      </c>
      <c r="Y63" s="76">
        <v>0</v>
      </c>
      <c r="Z63" s="76">
        <v>0</v>
      </c>
      <c r="AA63" s="76">
        <v>0</v>
      </c>
      <c r="AB63" s="76">
        <v>0</v>
      </c>
      <c r="AC63" s="76">
        <f>-(PV!$B$80*PV!$B$56/South_Facade_PV_5S!$B$7)*(1+$C$1)^AC$194</f>
        <v>-4152.5517873070739</v>
      </c>
      <c r="AD63" s="76">
        <v>0</v>
      </c>
      <c r="AE63" s="76">
        <v>0</v>
      </c>
      <c r="AF63" s="76">
        <v>0</v>
      </c>
      <c r="AG63" s="76">
        <v>0</v>
      </c>
      <c r="AH63" s="76">
        <f>-((PV!$B$78*PV!$B$56)/South_Facade_PV_5S!$B$7)*(1+$C$1)^AH$194</f>
        <v>-16923.625204854663</v>
      </c>
      <c r="AI63" s="76">
        <v>0</v>
      </c>
      <c r="AJ63" s="76">
        <v>0</v>
      </c>
      <c r="AK63" s="76">
        <v>0</v>
      </c>
      <c r="AL63" s="76">
        <v>0</v>
      </c>
      <c r="AM63" s="76">
        <v>0</v>
      </c>
      <c r="AN63" s="76">
        <v>0</v>
      </c>
      <c r="AO63" s="76">
        <v>0</v>
      </c>
      <c r="AP63" s="76">
        <v>0</v>
      </c>
      <c r="AQ63" s="76">
        <v>0</v>
      </c>
      <c r="AR63" s="76">
        <f>-((PV!$B$78*PV!$B$56)/South_Facade_PV_5S!$B$7)*(1+$C$1)^AR$194</f>
        <v>-24811.26311674227</v>
      </c>
      <c r="AS63" s="76">
        <v>0</v>
      </c>
      <c r="AT63" s="76">
        <v>0</v>
      </c>
      <c r="AU63" s="76">
        <v>0</v>
      </c>
      <c r="AV63" s="76">
        <v>0</v>
      </c>
      <c r="AW63" s="76">
        <v>0</v>
      </c>
      <c r="AX63" s="76">
        <v>0</v>
      </c>
      <c r="AY63" s="76">
        <v>0</v>
      </c>
      <c r="AZ63" s="76">
        <v>0</v>
      </c>
      <c r="BA63" s="76">
        <v>0</v>
      </c>
      <c r="BB63" s="76">
        <v>0</v>
      </c>
    </row>
    <row r="64" spans="1:54" x14ac:dyDescent="0.25">
      <c r="A64" s="180"/>
      <c r="B64" s="76" t="s">
        <v>356</v>
      </c>
      <c r="C64" s="77" t="s">
        <v>362</v>
      </c>
      <c r="D64" s="76">
        <v>0</v>
      </c>
      <c r="E64" s="78">
        <f>ABS('Annual Calculations'!$Q$12)*(1+$C$3)^E$194</f>
        <v>412.9465748510853</v>
      </c>
      <c r="F64" s="78">
        <f>ABS('Annual Calculations'!$Q$12)*(1+$C$3)^F$194</f>
        <v>429.05149127027755</v>
      </c>
      <c r="G64" s="78">
        <f>ABS('Annual Calculations'!$Q$12)*(1+$C$3)^G$194</f>
        <v>445.78449942981837</v>
      </c>
      <c r="H64" s="78">
        <f>ABS('Annual Calculations'!$Q$12)*(1+$C$3)^H$194</f>
        <v>463.17009490758113</v>
      </c>
      <c r="I64" s="78">
        <f>ABS('Annual Calculations'!$Q$12)*(1+$C$3)^I$194</f>
        <v>481.23372860897678</v>
      </c>
      <c r="J64" s="78">
        <f>ABS('Annual Calculations'!$Q$12)*(1+$C$3)^J$194</f>
        <v>500.00184402472678</v>
      </c>
      <c r="K64" s="78">
        <f>ABS('Annual Calculations'!$Q$12)*(1+$C$3)^K$194</f>
        <v>519.5019159416911</v>
      </c>
      <c r="L64" s="78">
        <f>ABS('Annual Calculations'!$Q$12)*(1+$C$3)^L$194</f>
        <v>539.76249066341688</v>
      </c>
      <c r="M64" s="78">
        <f>ABS('Annual Calculations'!$Q$12)*(1+$C$3)^M$194</f>
        <v>560.81322779929019</v>
      </c>
      <c r="N64" s="78">
        <f>ABS('Annual Calculations'!$Q$12)*(1+$C$3)^N$194</f>
        <v>582.68494368346239</v>
      </c>
      <c r="O64" s="78">
        <f>ABS('Annual Calculations'!$Q$12)*(1+$C$3)^O$194</f>
        <v>605.40965648711733</v>
      </c>
      <c r="P64" s="78">
        <f>ABS('Annual Calculations'!$Q$12)*(1+$C$3)^P$194</f>
        <v>629.02063309011476</v>
      </c>
      <c r="Q64" s="78">
        <f>ABS('Annual Calculations'!$Q$12)*(1+$C$3)^Q$194</f>
        <v>653.55243778062925</v>
      </c>
      <c r="R64" s="78">
        <f>ABS('Annual Calculations'!$Q$12)*(1+$C$3)^R$194</f>
        <v>679.04098285407349</v>
      </c>
      <c r="S64" s="78">
        <f>ABS('Annual Calculations'!$Q$12)*(1+$C$3)^S$194</f>
        <v>705.52358118538245</v>
      </c>
      <c r="T64" s="78">
        <f>ABS('Annual Calculations'!$Q$12)*(1+$C$3)^T$194</f>
        <v>733.03900085161229</v>
      </c>
      <c r="U64" s="78">
        <f>ABS('Annual Calculations'!$Q$12)*(1+$C$3)^U$194</f>
        <v>761.62752188482511</v>
      </c>
      <c r="V64" s="78">
        <f>ABS('Annual Calculations'!$Q$12)*(1+$C$3)^V$194</f>
        <v>791.33099523833312</v>
      </c>
      <c r="W64" s="78">
        <f>ABS('Annual Calculations'!$Q$12)*(1+$C$3)^W$194</f>
        <v>822.19290405262802</v>
      </c>
      <c r="X64" s="78">
        <f>ABS('Annual Calculations'!$Q$12)*(1+$C$3)^X$194</f>
        <v>854.2584273106803</v>
      </c>
      <c r="Y64" s="78">
        <f>ABS('Annual Calculations'!$Q$12)*(1+$C$3)^Y$194</f>
        <v>887.5745059757968</v>
      </c>
      <c r="Z64" s="78">
        <f>ABS('Annual Calculations'!$Q$12)*(1+$C$3)^Z$194</f>
        <v>922.18991170885261</v>
      </c>
      <c r="AA64" s="78">
        <f>ABS('Annual Calculations'!$Q$12)*(1+$C$3)^AA$194</f>
        <v>958.15531826549795</v>
      </c>
      <c r="AB64" s="78">
        <f>ABS('Annual Calculations'!$Q$12)*(1+$C$3)^AB$194</f>
        <v>995.52337567785219</v>
      </c>
      <c r="AC64" s="78">
        <f>ABS('Annual Calculations'!$Q$12)*(1+$C$3)^AC$194</f>
        <v>1034.3487873292884</v>
      </c>
      <c r="AD64" s="78">
        <f>ABS('Annual Calculations'!$Q$12)*(1+$C$3)^AD$194</f>
        <v>1074.6883900351304</v>
      </c>
      <c r="AE64" s="78">
        <f>ABS('Annual Calculations'!$Q$12)*(1+$C$3)^AE$194</f>
        <v>1116.6012372465002</v>
      </c>
      <c r="AF64" s="78">
        <f>ABS('Annual Calculations'!$Q$12)*(1+$C$3)^AF$194</f>
        <v>1160.1486854991133</v>
      </c>
      <c r="AG64" s="78">
        <f>ABS('Annual Calculations'!$Q$12)*(1+$C$3)^AG$194</f>
        <v>1205.3944842335791</v>
      </c>
      <c r="AH64" s="78">
        <f>ABS('Annual Calculations'!$Q$12)*(1+$C$3)^AH$194</f>
        <v>1252.4048691186881</v>
      </c>
      <c r="AI64" s="78">
        <f>ABS('Annual Calculations'!$Q$12)*(1+$C$3)^AI$194</f>
        <v>1301.2486590143169</v>
      </c>
      <c r="AJ64" s="78">
        <f>ABS('Annual Calculations'!$Q$12)*(1+$C$3)^AJ$194</f>
        <v>1351.9973567158752</v>
      </c>
      <c r="AK64" s="78">
        <f>ABS('Annual Calculations'!$Q$12)*(1+$C$3)^AK$194</f>
        <v>1404.725253627794</v>
      </c>
      <c r="AL64" s="78">
        <f>ABS('Annual Calculations'!$Q$12)*(1+$C$3)^AL$194</f>
        <v>1459.5095385192778</v>
      </c>
      <c r="AM64" s="78">
        <f>ABS('Annual Calculations'!$Q$12)*(1+$C$3)^AM$194</f>
        <v>1516.4304105215297</v>
      </c>
      <c r="AN64" s="78">
        <f>ABS('Annual Calculations'!$Q$12)*(1+$C$3)^AN$194</f>
        <v>1575.5711965318687</v>
      </c>
      <c r="AO64" s="78">
        <f>ABS('Annual Calculations'!$Q$12)*(1+$C$3)^AO$194</f>
        <v>1637.0184731966115</v>
      </c>
      <c r="AP64" s="78">
        <f>ABS('Annual Calculations'!$Q$12)*(1+$C$3)^AP$194</f>
        <v>1700.8621936512791</v>
      </c>
      <c r="AQ64" s="78">
        <f>ABS('Annual Calculations'!$Q$12)*(1+$C$3)^AQ$194</f>
        <v>1767.1958192036789</v>
      </c>
      <c r="AR64" s="78">
        <f>ABS('Annual Calculations'!$Q$12)*(1+$C$3)^AR$194</f>
        <v>1836.116456152622</v>
      </c>
      <c r="AS64" s="78">
        <f>ABS('Annual Calculations'!$Q$12)*(1+$C$3)^AS$194</f>
        <v>1907.7249979425744</v>
      </c>
      <c r="AT64" s="78">
        <f>ABS('Annual Calculations'!$Q$12)*(1+$C$3)^AT$194</f>
        <v>1982.1262728623342</v>
      </c>
      <c r="AU64" s="78">
        <f>ABS('Annual Calculations'!$Q$12)*(1+$C$3)^AU$194</f>
        <v>2059.429197503965</v>
      </c>
      <c r="AV64" s="78">
        <f>ABS('Annual Calculations'!$Q$12)*(1+$C$3)^AV$194</f>
        <v>2139.746936206619</v>
      </c>
      <c r="AW64" s="78">
        <f>ABS('Annual Calculations'!$Q$12)*(1+$C$3)^AW$194</f>
        <v>2223.1970667186774</v>
      </c>
      <c r="AX64" s="78">
        <f>ABS('Annual Calculations'!$Q$12)*(1+$C$3)^AX$194</f>
        <v>2309.9017523207049</v>
      </c>
      <c r="AY64" s="78">
        <f>ABS('Annual Calculations'!$Q$12)*(1+$C$3)^AY$194</f>
        <v>2399.9879206612127</v>
      </c>
      <c r="AZ64" s="78">
        <f>ABS('Annual Calculations'!$Q$12)*(1+$C$3)^AZ$194</f>
        <v>2493.5874495669996</v>
      </c>
      <c r="BA64" s="78">
        <f>ABS('Annual Calculations'!$Q$12)*(1+$C$3)^BA$194</f>
        <v>2590.8373601001122</v>
      </c>
      <c r="BB64" s="78">
        <f>ABS('Annual Calculations'!$Q$12)*(1+$C$3)^BB$194</f>
        <v>2691.8800171440162</v>
      </c>
    </row>
    <row r="65" spans="1:54" x14ac:dyDescent="0.25">
      <c r="A65" s="180"/>
      <c r="B65" s="76" t="s">
        <v>357</v>
      </c>
      <c r="C65" s="77" t="s">
        <v>362</v>
      </c>
      <c r="D65" s="76">
        <v>0</v>
      </c>
      <c r="E65" s="76">
        <v>0</v>
      </c>
      <c r="F65" s="76">
        <v>0</v>
      </c>
      <c r="G65" s="76">
        <v>0</v>
      </c>
      <c r="H65" s="76">
        <v>0</v>
      </c>
      <c r="I65" s="76">
        <v>0</v>
      </c>
      <c r="J65" s="76">
        <v>0</v>
      </c>
      <c r="K65" s="76">
        <v>0</v>
      </c>
      <c r="L65" s="76">
        <v>0</v>
      </c>
      <c r="M65" s="76">
        <v>0</v>
      </c>
      <c r="N65" s="76">
        <v>0</v>
      </c>
      <c r="O65" s="76">
        <v>0</v>
      </c>
      <c r="P65" s="76">
        <v>0</v>
      </c>
      <c r="Q65" s="76">
        <v>0</v>
      </c>
      <c r="R65" s="76">
        <v>0</v>
      </c>
      <c r="S65" s="76">
        <v>0</v>
      </c>
      <c r="T65" s="76">
        <v>0</v>
      </c>
      <c r="U65" s="76">
        <v>0</v>
      </c>
      <c r="V65" s="76">
        <v>0</v>
      </c>
      <c r="W65" s="76">
        <v>0</v>
      </c>
      <c r="X65" s="76">
        <v>0</v>
      </c>
      <c r="Y65" s="76">
        <v>0</v>
      </c>
      <c r="Z65" s="76">
        <v>0</v>
      </c>
      <c r="AA65" s="76">
        <v>0</v>
      </c>
      <c r="AB65" s="76">
        <v>0</v>
      </c>
      <c r="AC65" s="76">
        <v>0</v>
      </c>
      <c r="AD65" s="76">
        <v>0</v>
      </c>
      <c r="AE65" s="76">
        <v>0</v>
      </c>
      <c r="AF65" s="76">
        <v>0</v>
      </c>
      <c r="AG65" s="76">
        <v>0</v>
      </c>
      <c r="AH65" s="76">
        <v>0</v>
      </c>
      <c r="AI65" s="76">
        <v>0</v>
      </c>
      <c r="AJ65" s="76">
        <v>0</v>
      </c>
      <c r="AK65" s="76">
        <v>0</v>
      </c>
      <c r="AL65" s="76">
        <v>0</v>
      </c>
      <c r="AM65" s="76">
        <v>0</v>
      </c>
      <c r="AN65" s="76">
        <v>0</v>
      </c>
      <c r="AO65" s="76">
        <v>0</v>
      </c>
      <c r="AP65" s="76">
        <v>0</v>
      </c>
      <c r="AQ65" s="76">
        <v>0</v>
      </c>
      <c r="AR65" s="76">
        <v>0</v>
      </c>
      <c r="AS65" s="76">
        <v>0</v>
      </c>
      <c r="AT65" s="76">
        <v>0</v>
      </c>
      <c r="AU65" s="76">
        <v>0</v>
      </c>
      <c r="AV65" s="76">
        <v>0</v>
      </c>
      <c r="AW65" s="76">
        <v>0</v>
      </c>
      <c r="AX65" s="76">
        <v>0</v>
      </c>
      <c r="AY65" s="76">
        <v>0</v>
      </c>
      <c r="AZ65" s="76">
        <v>0</v>
      </c>
      <c r="BA65" s="76">
        <v>0</v>
      </c>
      <c r="BB65" s="76">
        <v>0</v>
      </c>
    </row>
    <row r="66" spans="1:54" x14ac:dyDescent="0.25">
      <c r="A66" s="180"/>
      <c r="B66" s="76" t="s">
        <v>358</v>
      </c>
      <c r="C66" s="77" t="s">
        <v>362</v>
      </c>
      <c r="D66" s="76">
        <f>SUM(D63:D65)</f>
        <v>-8397.5249999999996</v>
      </c>
      <c r="E66" s="78">
        <f t="shared" ref="E66:BB66" si="330">SUM(E63:E65)</f>
        <v>412.9465748510853</v>
      </c>
      <c r="F66" s="78">
        <f t="shared" si="330"/>
        <v>429.05149127027755</v>
      </c>
      <c r="G66" s="78">
        <f t="shared" si="330"/>
        <v>445.78449942981837</v>
      </c>
      <c r="H66" s="78">
        <f t="shared" si="330"/>
        <v>463.17009490758113</v>
      </c>
      <c r="I66" s="78">
        <f t="shared" si="330"/>
        <v>481.23372860897678</v>
      </c>
      <c r="J66" s="78">
        <f t="shared" si="330"/>
        <v>500.00184402472678</v>
      </c>
      <c r="K66" s="78">
        <f t="shared" si="330"/>
        <v>519.5019159416911</v>
      </c>
      <c r="L66" s="78">
        <f t="shared" si="330"/>
        <v>539.76249066341688</v>
      </c>
      <c r="M66" s="78">
        <f t="shared" si="330"/>
        <v>560.81322779929019</v>
      </c>
      <c r="N66" s="78">
        <f t="shared" si="330"/>
        <v>-7291.0800364463303</v>
      </c>
      <c r="O66" s="78">
        <f t="shared" si="330"/>
        <v>605.40965648711733</v>
      </c>
      <c r="P66" s="78">
        <f t="shared" si="330"/>
        <v>629.02063309011476</v>
      </c>
      <c r="Q66" s="78">
        <f t="shared" si="330"/>
        <v>653.55243778062925</v>
      </c>
      <c r="R66" s="78">
        <f t="shared" si="330"/>
        <v>679.04098285407349</v>
      </c>
      <c r="S66" s="78">
        <f t="shared" si="330"/>
        <v>705.52358118538245</v>
      </c>
      <c r="T66" s="78">
        <f t="shared" si="330"/>
        <v>733.03900085161229</v>
      </c>
      <c r="U66" s="78">
        <f t="shared" si="330"/>
        <v>761.62752188482511</v>
      </c>
      <c r="V66" s="78">
        <f t="shared" si="330"/>
        <v>791.33099523833312</v>
      </c>
      <c r="W66" s="78">
        <f t="shared" si="330"/>
        <v>822.19290405262802</v>
      </c>
      <c r="X66" s="78">
        <f t="shared" si="330"/>
        <v>-10689.252627599199</v>
      </c>
      <c r="Y66" s="78">
        <f t="shared" si="330"/>
        <v>887.5745059757968</v>
      </c>
      <c r="Z66" s="78">
        <f t="shared" si="330"/>
        <v>922.18991170885261</v>
      </c>
      <c r="AA66" s="78">
        <f t="shared" si="330"/>
        <v>958.15531826549795</v>
      </c>
      <c r="AB66" s="78">
        <f t="shared" si="330"/>
        <v>995.52337567785219</v>
      </c>
      <c r="AC66" s="78">
        <f t="shared" si="330"/>
        <v>-3118.2029999777856</v>
      </c>
      <c r="AD66" s="78">
        <f t="shared" si="330"/>
        <v>1074.6883900351304</v>
      </c>
      <c r="AE66" s="78">
        <f t="shared" si="330"/>
        <v>1116.6012372465002</v>
      </c>
      <c r="AF66" s="78">
        <f t="shared" si="330"/>
        <v>1160.1486854991133</v>
      </c>
      <c r="AG66" s="78">
        <f t="shared" si="330"/>
        <v>1205.3944842335791</v>
      </c>
      <c r="AH66" s="78">
        <f t="shared" si="330"/>
        <v>-15671.220335735976</v>
      </c>
      <c r="AI66" s="78">
        <f t="shared" si="330"/>
        <v>1301.2486590143169</v>
      </c>
      <c r="AJ66" s="78">
        <f t="shared" si="330"/>
        <v>1351.9973567158752</v>
      </c>
      <c r="AK66" s="78">
        <f t="shared" si="330"/>
        <v>1404.725253627794</v>
      </c>
      <c r="AL66" s="78">
        <f t="shared" si="330"/>
        <v>1459.5095385192778</v>
      </c>
      <c r="AM66" s="78">
        <f t="shared" si="330"/>
        <v>1516.4304105215297</v>
      </c>
      <c r="AN66" s="78">
        <f t="shared" si="330"/>
        <v>1575.5711965318687</v>
      </c>
      <c r="AO66" s="78">
        <f t="shared" si="330"/>
        <v>1637.0184731966115</v>
      </c>
      <c r="AP66" s="78">
        <f t="shared" si="330"/>
        <v>1700.8621936512791</v>
      </c>
      <c r="AQ66" s="78">
        <f t="shared" si="330"/>
        <v>1767.1958192036789</v>
      </c>
      <c r="AR66" s="78">
        <f t="shared" si="330"/>
        <v>-22975.146660589649</v>
      </c>
      <c r="AS66" s="78">
        <f t="shared" si="330"/>
        <v>1907.7249979425744</v>
      </c>
      <c r="AT66" s="78">
        <f t="shared" si="330"/>
        <v>1982.1262728623342</v>
      </c>
      <c r="AU66" s="78">
        <f t="shared" si="330"/>
        <v>2059.429197503965</v>
      </c>
      <c r="AV66" s="78">
        <f t="shared" si="330"/>
        <v>2139.746936206619</v>
      </c>
      <c r="AW66" s="78">
        <f t="shared" si="330"/>
        <v>2223.1970667186774</v>
      </c>
      <c r="AX66" s="78">
        <f t="shared" si="330"/>
        <v>2309.9017523207049</v>
      </c>
      <c r="AY66" s="78">
        <f t="shared" si="330"/>
        <v>2399.9879206612127</v>
      </c>
      <c r="AZ66" s="78">
        <f t="shared" si="330"/>
        <v>2493.5874495669996</v>
      </c>
      <c r="BA66" s="78">
        <f t="shared" si="330"/>
        <v>2590.8373601001122</v>
      </c>
      <c r="BB66" s="78">
        <f t="shared" si="330"/>
        <v>2691.8800171440162</v>
      </c>
    </row>
    <row r="67" spans="1:54" x14ac:dyDescent="0.25">
      <c r="A67" s="180"/>
      <c r="B67" s="76" t="s">
        <v>359</v>
      </c>
      <c r="C67" s="77"/>
      <c r="D67" s="76">
        <f t="shared" ref="D67:AI67" si="331">(1+$C$2)^D$194</f>
        <v>1</v>
      </c>
      <c r="E67" s="79">
        <f t="shared" si="331"/>
        <v>1.1219999999999999</v>
      </c>
      <c r="F67" s="79">
        <f t="shared" si="331"/>
        <v>1.2588839999999997</v>
      </c>
      <c r="G67" s="79">
        <f t="shared" si="331"/>
        <v>1.4124678479999995</v>
      </c>
      <c r="H67" s="79">
        <f t="shared" si="331"/>
        <v>1.5847889254559993</v>
      </c>
      <c r="I67" s="79">
        <f t="shared" si="331"/>
        <v>1.7781331743616309</v>
      </c>
      <c r="J67" s="79">
        <f t="shared" si="331"/>
        <v>1.9950654216337496</v>
      </c>
      <c r="K67" s="79">
        <f t="shared" si="331"/>
        <v>2.2384634030730668</v>
      </c>
      <c r="L67" s="79">
        <f t="shared" si="331"/>
        <v>2.5115559382479806</v>
      </c>
      <c r="M67" s="79">
        <f t="shared" si="331"/>
        <v>2.817965762714234</v>
      </c>
      <c r="N67" s="79">
        <f t="shared" si="331"/>
        <v>3.1617575857653701</v>
      </c>
      <c r="O67" s="79">
        <f t="shared" si="331"/>
        <v>3.5474920112287447</v>
      </c>
      <c r="P67" s="79">
        <f t="shared" si="331"/>
        <v>3.9802860365986512</v>
      </c>
      <c r="Q67" s="79">
        <f t="shared" si="331"/>
        <v>4.4658809330636862</v>
      </c>
      <c r="R67" s="79">
        <f t="shared" si="331"/>
        <v>5.0107184068974551</v>
      </c>
      <c r="S67" s="79">
        <f t="shared" si="331"/>
        <v>5.6220260525389438</v>
      </c>
      <c r="T67" s="79">
        <f t="shared" si="331"/>
        <v>6.307913230948694</v>
      </c>
      <c r="U67" s="79">
        <f t="shared" si="331"/>
        <v>7.077478645124434</v>
      </c>
      <c r="V67" s="79">
        <f t="shared" si="331"/>
        <v>7.9409310398296133</v>
      </c>
      <c r="W67" s="79">
        <f t="shared" si="331"/>
        <v>8.9097246266888259</v>
      </c>
      <c r="X67" s="79">
        <f t="shared" si="331"/>
        <v>9.9967110311448621</v>
      </c>
      <c r="Y67" s="79">
        <f t="shared" si="331"/>
        <v>11.216309776944533</v>
      </c>
      <c r="Z67" s="79">
        <f t="shared" si="331"/>
        <v>12.584699569731765</v>
      </c>
      <c r="AA67" s="79">
        <f t="shared" si="331"/>
        <v>14.120032917239037</v>
      </c>
      <c r="AB67" s="79">
        <f t="shared" si="331"/>
        <v>15.842676933142199</v>
      </c>
      <c r="AC67" s="79">
        <f t="shared" si="331"/>
        <v>17.775483518985546</v>
      </c>
      <c r="AD67" s="79">
        <f t="shared" si="331"/>
        <v>19.944092508301779</v>
      </c>
      <c r="AE67" s="79">
        <f t="shared" si="331"/>
        <v>22.377271794314591</v>
      </c>
      <c r="AF67" s="79">
        <f t="shared" si="331"/>
        <v>25.107298953220969</v>
      </c>
      <c r="AG67" s="79">
        <f t="shared" si="331"/>
        <v>28.170389425513925</v>
      </c>
      <c r="AH67" s="79">
        <f t="shared" si="331"/>
        <v>31.607176935426619</v>
      </c>
      <c r="AI67" s="79">
        <f t="shared" si="331"/>
        <v>35.463252521548661</v>
      </c>
      <c r="AJ67" s="79">
        <f t="shared" ref="AJ67:BB67" si="332">(1+$C$2)^AJ$194</f>
        <v>39.789769329177595</v>
      </c>
      <c r="AK67" s="79">
        <f t="shared" si="332"/>
        <v>44.644121187337255</v>
      </c>
      <c r="AL67" s="79">
        <f t="shared" si="332"/>
        <v>50.090703972192394</v>
      </c>
      <c r="AM67" s="79">
        <f t="shared" si="332"/>
        <v>56.201769856799864</v>
      </c>
      <c r="AN67" s="79">
        <f t="shared" si="332"/>
        <v>63.058385779329434</v>
      </c>
      <c r="AO67" s="79">
        <f t="shared" si="332"/>
        <v>70.751508844407624</v>
      </c>
      <c r="AP67" s="79">
        <f t="shared" si="332"/>
        <v>79.383192923425341</v>
      </c>
      <c r="AQ67" s="79">
        <f t="shared" si="332"/>
        <v>89.067942460083216</v>
      </c>
      <c r="AR67" s="79">
        <f t="shared" si="332"/>
        <v>99.934231440213352</v>
      </c>
      <c r="AS67" s="79">
        <f t="shared" si="332"/>
        <v>112.12620767591937</v>
      </c>
      <c r="AT67" s="79">
        <f t="shared" si="332"/>
        <v>125.80560501238152</v>
      </c>
      <c r="AU67" s="79">
        <f t="shared" si="332"/>
        <v>141.15388882389203</v>
      </c>
      <c r="AV67" s="79">
        <f t="shared" si="332"/>
        <v>158.37466326040686</v>
      </c>
      <c r="AW67" s="79">
        <f t="shared" si="332"/>
        <v>177.69637217817649</v>
      </c>
      <c r="AX67" s="79">
        <f t="shared" si="332"/>
        <v>199.37532958391398</v>
      </c>
      <c r="AY67" s="79">
        <f t="shared" si="332"/>
        <v>223.69911979315145</v>
      </c>
      <c r="AZ67" s="79">
        <f t="shared" si="332"/>
        <v>250.9904124079159</v>
      </c>
      <c r="BA67" s="79">
        <f t="shared" si="332"/>
        <v>281.61124272168161</v>
      </c>
      <c r="BB67" s="79">
        <f t="shared" si="332"/>
        <v>315.96781433372672</v>
      </c>
    </row>
    <row r="68" spans="1:54" x14ac:dyDescent="0.25">
      <c r="A68" s="180"/>
      <c r="B68" s="76" t="s">
        <v>360</v>
      </c>
      <c r="C68" s="77" t="s">
        <v>362</v>
      </c>
      <c r="D68" s="76">
        <f>D66/D67</f>
        <v>-8397.5249999999996</v>
      </c>
      <c r="E68" s="78">
        <f>E66/E67</f>
        <v>368.04507562485327</v>
      </c>
      <c r="F68" s="78">
        <f>F66/F67</f>
        <v>340.81892475420904</v>
      </c>
      <c r="G68" s="78">
        <f t="shared" ref="G68:BB68" si="333">G66/G67</f>
        <v>315.60682960750734</v>
      </c>
      <c r="H68" s="78">
        <f t="shared" si="333"/>
        <v>292.25980032281643</v>
      </c>
      <c r="I68" s="78">
        <f t="shared" si="333"/>
        <v>270.63986856988083</v>
      </c>
      <c r="J68" s="78">
        <f t="shared" si="333"/>
        <v>250.61927223182369</v>
      </c>
      <c r="K68" s="78">
        <f t="shared" si="333"/>
        <v>232.07970040005776</v>
      </c>
      <c r="L68" s="78">
        <f t="shared" si="333"/>
        <v>214.91159422073082</v>
      </c>
      <c r="M68" s="78">
        <f t="shared" si="333"/>
        <v>199.01349946108678</v>
      </c>
      <c r="N68" s="78">
        <f t="shared" si="333"/>
        <v>-2306.0212045577714</v>
      </c>
      <c r="O68" s="78">
        <f t="shared" si="333"/>
        <v>170.65849748803848</v>
      </c>
      <c r="P68" s="78">
        <f t="shared" si="333"/>
        <v>158.03402753125843</v>
      </c>
      <c r="Q68" s="78">
        <f t="shared" si="333"/>
        <v>146.343453302119</v>
      </c>
      <c r="R68" s="78">
        <f t="shared" si="333"/>
        <v>135.51768982255047</v>
      </c>
      <c r="S68" s="78">
        <f t="shared" si="333"/>
        <v>125.49276267881459</v>
      </c>
      <c r="T68" s="78">
        <f t="shared" si="333"/>
        <v>116.20942996728017</v>
      </c>
      <c r="U68" s="78">
        <f t="shared" si="333"/>
        <v>107.61283220677728</v>
      </c>
      <c r="V68" s="78">
        <f t="shared" si="333"/>
        <v>99.65216814870017</v>
      </c>
      <c r="W68" s="78">
        <f t="shared" si="333"/>
        <v>92.280394569072612</v>
      </c>
      <c r="X68" s="78">
        <f t="shared" si="333"/>
        <v>-1069.2769446167561</v>
      </c>
      <c r="Y68" s="78">
        <f t="shared" si="333"/>
        <v>79.132488637237302</v>
      </c>
      <c r="Z68" s="78">
        <f t="shared" si="333"/>
        <v>73.278659263894411</v>
      </c>
      <c r="AA68" s="78">
        <f t="shared" si="333"/>
        <v>67.857867179310446</v>
      </c>
      <c r="AB68" s="78">
        <f t="shared" si="333"/>
        <v>62.838078430751821</v>
      </c>
      <c r="AC68" s="78">
        <f t="shared" si="333"/>
        <v>-175.42155726156824</v>
      </c>
      <c r="AD68" s="78">
        <f t="shared" si="333"/>
        <v>53.885048396550943</v>
      </c>
      <c r="AE68" s="78">
        <f t="shared" si="333"/>
        <v>49.89889954012159</v>
      </c>
      <c r="AF68" s="78">
        <f t="shared" si="333"/>
        <v>46.207626222982462</v>
      </c>
      <c r="AG68" s="78">
        <f t="shared" si="333"/>
        <v>42.789415013973972</v>
      </c>
      <c r="AH68" s="78">
        <f t="shared" si="333"/>
        <v>-495.81208621548956</v>
      </c>
      <c r="AI68" s="78">
        <f t="shared" si="333"/>
        <v>36.69287407362409</v>
      </c>
      <c r="AJ68" s="78">
        <f t="shared" si="333"/>
        <v>33.978517078872926</v>
      </c>
      <c r="AK68" s="78">
        <f t="shared" si="333"/>
        <v>31.464954763769136</v>
      </c>
      <c r="AL68" s="78">
        <f t="shared" si="333"/>
        <v>29.137333332937732</v>
      </c>
      <c r="AM68" s="78">
        <f t="shared" si="333"/>
        <v>26.981897801178523</v>
      </c>
      <c r="AN68" s="78">
        <f t="shared" si="333"/>
        <v>24.985910708934476</v>
      </c>
      <c r="AO68" s="78">
        <f t="shared" si="333"/>
        <v>23.137576850786914</v>
      </c>
      <c r="AP68" s="78">
        <f t="shared" si="333"/>
        <v>21.425973572163642</v>
      </c>
      <c r="AQ68" s="78">
        <f t="shared" si="333"/>
        <v>19.84098622235118</v>
      </c>
      <c r="AR68" s="78">
        <f t="shared" si="333"/>
        <v>-229.9026702810514</v>
      </c>
      <c r="AS68" s="78">
        <f t="shared" si="333"/>
        <v>17.014086514515057</v>
      </c>
      <c r="AT68" s="78">
        <f t="shared" si="333"/>
        <v>15.755468706400304</v>
      </c>
      <c r="AU68" s="78">
        <f t="shared" si="333"/>
        <v>14.589957206728982</v>
      </c>
      <c r="AV68" s="78">
        <f t="shared" si="333"/>
        <v>13.510664472184855</v>
      </c>
      <c r="AW68" s="78">
        <f t="shared" si="333"/>
        <v>12.511212465775461</v>
      </c>
      <c r="AX68" s="78">
        <f t="shared" si="333"/>
        <v>11.585694966079055</v>
      </c>
      <c r="AY68" s="78">
        <f t="shared" si="333"/>
        <v>10.728642664666793</v>
      </c>
      <c r="AZ68" s="78">
        <f t="shared" si="333"/>
        <v>9.9349908454445615</v>
      </c>
      <c r="BA68" s="78">
        <f t="shared" si="333"/>
        <v>9.2000494549170231</v>
      </c>
      <c r="BB68" s="78">
        <f t="shared" si="333"/>
        <v>8.5194753865051567</v>
      </c>
    </row>
    <row r="69" spans="1:54" x14ac:dyDescent="0.25">
      <c r="A69" s="180"/>
      <c r="B69" s="76" t="s">
        <v>645</v>
      </c>
      <c r="C69" s="77" t="s">
        <v>362</v>
      </c>
      <c r="D69" s="76">
        <f>D68</f>
        <v>-8397.5249999999996</v>
      </c>
      <c r="E69" s="78">
        <f>E68+D69</f>
        <v>-8029.4799243751468</v>
      </c>
      <c r="F69" s="78">
        <f t="shared" ref="F69" si="334">F68+E69</f>
        <v>-7688.6609996209381</v>
      </c>
      <c r="G69" s="78">
        <f t="shared" ref="G69" si="335">G68+F69</f>
        <v>-7373.0541700134308</v>
      </c>
      <c r="H69" s="78">
        <f t="shared" ref="H69" si="336">H68+G69</f>
        <v>-7080.7943696906141</v>
      </c>
      <c r="I69" s="78">
        <f t="shared" ref="I69" si="337">I68+H69</f>
        <v>-6810.1545011207336</v>
      </c>
      <c r="J69" s="78">
        <f t="shared" ref="J69" si="338">J68+I69</f>
        <v>-6559.5352288889098</v>
      </c>
      <c r="K69" s="78">
        <f t="shared" ref="K69" si="339">K68+J69</f>
        <v>-6327.455528488852</v>
      </c>
      <c r="L69" s="78">
        <f t="shared" ref="L69" si="340">L68+K69</f>
        <v>-6112.5439342681211</v>
      </c>
      <c r="M69" s="78">
        <f t="shared" ref="M69" si="341">M68+L69</f>
        <v>-5913.530434807034</v>
      </c>
      <c r="N69" s="78">
        <f t="shared" ref="N69" si="342">N68+M69</f>
        <v>-8219.5516393648049</v>
      </c>
      <c r="O69" s="78">
        <f t="shared" ref="O69" si="343">O68+N69</f>
        <v>-8048.8931418767661</v>
      </c>
      <c r="P69" s="78">
        <f t="shared" ref="P69" si="344">P68+O69</f>
        <v>-7890.8591143455078</v>
      </c>
      <c r="Q69" s="78">
        <f t="shared" ref="Q69" si="345">Q68+P69</f>
        <v>-7744.5156610433887</v>
      </c>
      <c r="R69" s="78">
        <f t="shared" ref="R69" si="346">R68+Q69</f>
        <v>-7608.9979712208378</v>
      </c>
      <c r="S69" s="78">
        <f t="shared" ref="S69" si="347">S68+R69</f>
        <v>-7483.505208542023</v>
      </c>
      <c r="T69" s="78">
        <f t="shared" ref="T69" si="348">T68+S69</f>
        <v>-7367.2957785747431</v>
      </c>
      <c r="U69" s="78">
        <f t="shared" ref="U69" si="349">U68+T69</f>
        <v>-7259.682946367966</v>
      </c>
      <c r="V69" s="78">
        <f t="shared" ref="V69" si="350">V68+U69</f>
        <v>-7160.0307782192658</v>
      </c>
      <c r="W69" s="78">
        <f t="shared" ref="W69" si="351">W68+V69</f>
        <v>-7067.7503836501928</v>
      </c>
      <c r="X69" s="78">
        <f t="shared" ref="X69" si="352">X68+W69</f>
        <v>-8137.0273282669486</v>
      </c>
      <c r="Y69" s="78">
        <f t="shared" ref="Y69" si="353">Y68+X69</f>
        <v>-8057.894839629711</v>
      </c>
      <c r="Z69" s="78">
        <f t="shared" ref="Z69" si="354">Z68+Y69</f>
        <v>-7984.6161803658169</v>
      </c>
      <c r="AA69" s="78">
        <f t="shared" ref="AA69" si="355">AA68+Z69</f>
        <v>-7916.7583131865067</v>
      </c>
      <c r="AB69" s="78">
        <f t="shared" ref="AB69" si="356">AB68+AA69</f>
        <v>-7853.9202347557548</v>
      </c>
      <c r="AC69" s="78">
        <f t="shared" ref="AC69" si="357">AC68+AB69</f>
        <v>-8029.3417920173233</v>
      </c>
      <c r="AD69" s="78">
        <f t="shared" ref="AD69" si="358">AD68+AC69</f>
        <v>-7975.4567436207726</v>
      </c>
      <c r="AE69" s="78">
        <f t="shared" ref="AE69" si="359">AE68+AD69</f>
        <v>-7925.5578440806512</v>
      </c>
      <c r="AF69" s="78">
        <f t="shared" ref="AF69" si="360">AF68+AE69</f>
        <v>-7879.3502178576691</v>
      </c>
      <c r="AG69" s="78">
        <f t="shared" ref="AG69" si="361">AG68+AF69</f>
        <v>-7836.5608028436955</v>
      </c>
      <c r="AH69" s="78">
        <f t="shared" ref="AH69" si="362">AH68+AG69</f>
        <v>-8332.3728890591847</v>
      </c>
      <c r="AI69" s="78">
        <f t="shared" ref="AI69" si="363">AI68+AH69</f>
        <v>-8295.6800149855608</v>
      </c>
      <c r="AJ69" s="78">
        <f t="shared" ref="AJ69" si="364">AJ68+AI69</f>
        <v>-8261.701497906688</v>
      </c>
      <c r="AK69" s="78">
        <f t="shared" ref="AK69" si="365">AK68+AJ69</f>
        <v>-8230.2365431429189</v>
      </c>
      <c r="AL69" s="78">
        <f t="shared" ref="AL69" si="366">AL68+AK69</f>
        <v>-8201.0992098099814</v>
      </c>
      <c r="AM69" s="78">
        <f t="shared" ref="AM69" si="367">AM68+AL69</f>
        <v>-8174.1173120088033</v>
      </c>
      <c r="AN69" s="78">
        <f t="shared" ref="AN69" si="368">AN68+AM69</f>
        <v>-8149.1314012998691</v>
      </c>
      <c r="AO69" s="78">
        <f t="shared" ref="AO69" si="369">AO68+AN69</f>
        <v>-8125.9938244490822</v>
      </c>
      <c r="AP69" s="78">
        <f t="shared" ref="AP69" si="370">AP68+AO69</f>
        <v>-8104.5678508769188</v>
      </c>
      <c r="AQ69" s="78">
        <f t="shared" ref="AQ69" si="371">AQ68+AP69</f>
        <v>-8084.7268646545672</v>
      </c>
      <c r="AR69" s="78">
        <f t="shared" ref="AR69" si="372">AR68+AQ69</f>
        <v>-8314.6295349356187</v>
      </c>
      <c r="AS69" s="78">
        <f t="shared" ref="AS69" si="373">AS68+AR69</f>
        <v>-8297.6154484211038</v>
      </c>
      <c r="AT69" s="78">
        <f t="shared" ref="AT69" si="374">AT68+AS69</f>
        <v>-8281.8599797147035</v>
      </c>
      <c r="AU69" s="78">
        <f t="shared" ref="AU69" si="375">AU68+AT69</f>
        <v>-8267.2700225079752</v>
      </c>
      <c r="AV69" s="78">
        <f t="shared" ref="AV69" si="376">AV68+AU69</f>
        <v>-8253.7593580357898</v>
      </c>
      <c r="AW69" s="78">
        <f t="shared" ref="AW69" si="377">AW68+AV69</f>
        <v>-8241.2481455700145</v>
      </c>
      <c r="AX69" s="78">
        <f t="shared" ref="AX69" si="378">AX68+AW69</f>
        <v>-8229.6624506039352</v>
      </c>
      <c r="AY69" s="78">
        <f t="shared" ref="AY69" si="379">AY68+AX69</f>
        <v>-8218.9338079392692</v>
      </c>
      <c r="AZ69" s="78">
        <f t="shared" ref="AZ69" si="380">AZ68+AY69</f>
        <v>-8208.998817093825</v>
      </c>
      <c r="BA69" s="78">
        <f t="shared" ref="BA69" si="381">BA68+AZ69</f>
        <v>-8199.7987676389075</v>
      </c>
      <c r="BB69" s="78">
        <f t="shared" ref="BB69" si="382">BB68+BA69</f>
        <v>-8191.2792922524022</v>
      </c>
    </row>
    <row r="70" spans="1:54" x14ac:dyDescent="0.25">
      <c r="A70" s="180"/>
      <c r="B70" s="80" t="s">
        <v>361</v>
      </c>
      <c r="C70" s="81" t="s">
        <v>362</v>
      </c>
      <c r="D70" s="92">
        <f>SUM(D68:BB68)</f>
        <v>-8191.2792922524022</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row>
    <row r="71" spans="1:54" x14ac:dyDescent="0.25">
      <c r="A71" s="177" t="s">
        <v>716</v>
      </c>
      <c r="B71" t="s">
        <v>363</v>
      </c>
      <c r="C71" s="72" t="s">
        <v>362</v>
      </c>
      <c r="D71">
        <f>-(PV!$B$56*PV!$B$60)/South_Facade_PV_10S!$B$7</f>
        <v>-4198.7624999999998</v>
      </c>
      <c r="E71">
        <v>0</v>
      </c>
      <c r="F71">
        <v>0</v>
      </c>
      <c r="G71">
        <v>0</v>
      </c>
      <c r="H71">
        <v>0</v>
      </c>
      <c r="I71">
        <v>0</v>
      </c>
      <c r="J71">
        <v>0</v>
      </c>
      <c r="K71">
        <v>0</v>
      </c>
      <c r="L71">
        <v>0</v>
      </c>
      <c r="M71">
        <v>0</v>
      </c>
      <c r="N71">
        <f>-((PV!$B$78*PV!$B$56)/South_Facade_PV_10S!$B$7)*(1+$C$1)^N$194</f>
        <v>-3936.8824900648965</v>
      </c>
      <c r="O71">
        <v>0</v>
      </c>
      <c r="P71">
        <v>0</v>
      </c>
      <c r="Q71">
        <v>0</v>
      </c>
      <c r="R71">
        <v>0</v>
      </c>
      <c r="S71">
        <v>0</v>
      </c>
      <c r="T71">
        <v>0</v>
      </c>
      <c r="U71">
        <v>0</v>
      </c>
      <c r="V71">
        <v>0</v>
      </c>
      <c r="W71">
        <v>0</v>
      </c>
      <c r="X71">
        <f>-((PV!$B$78*PV!$B$56)/South_Facade_PV_10S!$B$7)*(1+$C$1)^X$194</f>
        <v>-5771.7555274549395</v>
      </c>
      <c r="Y71">
        <v>0</v>
      </c>
      <c r="Z71">
        <v>0</v>
      </c>
      <c r="AA71">
        <v>0</v>
      </c>
      <c r="AB71">
        <v>0</v>
      </c>
      <c r="AC71">
        <f>-(PV!$B$80*PV!$B$56/South_Facade_PV_10S!$B$7)*(1+$C$1)^AC$194</f>
        <v>-2076.275893653537</v>
      </c>
      <c r="AD71">
        <v>0</v>
      </c>
      <c r="AE71">
        <v>0</v>
      </c>
      <c r="AF71">
        <v>0</v>
      </c>
      <c r="AG71">
        <v>0</v>
      </c>
      <c r="AH71">
        <f>-((PV!$B$78*PV!$B$56)/South_Facade_PV_10S!$B$7)*(1+$C$1)^AH$194</f>
        <v>-8461.8126024273315</v>
      </c>
      <c r="AI71">
        <v>0</v>
      </c>
      <c r="AJ71">
        <v>0</v>
      </c>
      <c r="AK71">
        <v>0</v>
      </c>
      <c r="AL71">
        <v>0</v>
      </c>
      <c r="AM71">
        <v>0</v>
      </c>
      <c r="AN71">
        <v>0</v>
      </c>
      <c r="AO71">
        <v>0</v>
      </c>
      <c r="AP71">
        <v>0</v>
      </c>
      <c r="AQ71">
        <v>0</v>
      </c>
      <c r="AR71">
        <f>-((PV!$B$78*PV!$B$56)/South_Facade_PV_10S!$B$7)*(1+$C$1)^AR$194</f>
        <v>-12405.631558371135</v>
      </c>
      <c r="AS71">
        <v>0</v>
      </c>
      <c r="AT71">
        <v>0</v>
      </c>
      <c r="AU71">
        <v>0</v>
      </c>
      <c r="AV71">
        <v>0</v>
      </c>
      <c r="AW71">
        <v>0</v>
      </c>
      <c r="AX71">
        <v>0</v>
      </c>
      <c r="AY71">
        <v>0</v>
      </c>
      <c r="AZ71">
        <v>0</v>
      </c>
      <c r="BA71">
        <v>0</v>
      </c>
      <c r="BB71">
        <v>0</v>
      </c>
    </row>
    <row r="72" spans="1:54" x14ac:dyDescent="0.25">
      <c r="A72" s="177"/>
      <c r="B72" t="s">
        <v>356</v>
      </c>
      <c r="C72" s="72" t="s">
        <v>362</v>
      </c>
      <c r="D72">
        <v>0</v>
      </c>
      <c r="E72" s="18">
        <f>ABS('Annual Calculations'!$Q$13)*(1+$C$3)^E$194</f>
        <v>220.93742152408811</v>
      </c>
      <c r="F72" s="18">
        <f>ABS('Annual Calculations'!$Q$13)*(1+$C$3)^F$194</f>
        <v>229.55398096352749</v>
      </c>
      <c r="G72" s="18">
        <f>ABS('Annual Calculations'!$Q$13)*(1+$C$3)^G$194</f>
        <v>238.50658622110507</v>
      </c>
      <c r="H72" s="18">
        <f>ABS('Annual Calculations'!$Q$13)*(1+$C$3)^H$194</f>
        <v>247.80834308372809</v>
      </c>
      <c r="I72" s="18">
        <f>ABS('Annual Calculations'!$Q$13)*(1+$C$3)^I$194</f>
        <v>257.47286846399345</v>
      </c>
      <c r="J72" s="18">
        <f>ABS('Annual Calculations'!$Q$13)*(1+$C$3)^J$194</f>
        <v>267.51431033408915</v>
      </c>
      <c r="K72" s="18">
        <f>ABS('Annual Calculations'!$Q$13)*(1+$C$3)^K$194</f>
        <v>277.94736843711866</v>
      </c>
      <c r="L72" s="18">
        <f>ABS('Annual Calculations'!$Q$13)*(1+$C$3)^L$194</f>
        <v>288.78731580616619</v>
      </c>
      <c r="M72" s="18">
        <f>ABS('Annual Calculations'!$Q$13)*(1+$C$3)^M$194</f>
        <v>300.05002112260667</v>
      </c>
      <c r="N72" s="18">
        <f>ABS('Annual Calculations'!$Q$13)*(1+$C$3)^N$194</f>
        <v>311.75197194638827</v>
      </c>
      <c r="O72" s="18">
        <f>ABS('Annual Calculations'!$Q$13)*(1+$C$3)^O$194</f>
        <v>323.91029885229733</v>
      </c>
      <c r="P72" s="18">
        <f>ABS('Annual Calculations'!$Q$13)*(1+$C$3)^P$194</f>
        <v>336.54280050753687</v>
      </c>
      <c r="Q72" s="18">
        <f>ABS('Annual Calculations'!$Q$13)*(1+$C$3)^Q$194</f>
        <v>349.66796972733084</v>
      </c>
      <c r="R72" s="18">
        <f>ABS('Annual Calculations'!$Q$13)*(1+$C$3)^R$194</f>
        <v>363.3050205466966</v>
      </c>
      <c r="S72" s="18">
        <f>ABS('Annual Calculations'!$Q$13)*(1+$C$3)^S$194</f>
        <v>377.47391634801778</v>
      </c>
      <c r="T72" s="18">
        <f>ABS('Annual Calculations'!$Q$13)*(1+$C$3)^T$194</f>
        <v>392.1953990855904</v>
      </c>
      <c r="U72" s="18">
        <f>ABS('Annual Calculations'!$Q$13)*(1+$C$3)^U$194</f>
        <v>407.49101964992843</v>
      </c>
      <c r="V72" s="18">
        <f>ABS('Annual Calculations'!$Q$13)*(1+$C$3)^V$194</f>
        <v>423.38316941627556</v>
      </c>
      <c r="W72" s="18">
        <f>ABS('Annual Calculations'!$Q$13)*(1+$C$3)^W$194</f>
        <v>439.89511302351025</v>
      </c>
      <c r="X72" s="18">
        <f>ABS('Annual Calculations'!$Q$13)*(1+$C$3)^X$194</f>
        <v>457.05102243142704</v>
      </c>
      <c r="Y72" s="18">
        <f>ABS('Annual Calculations'!$Q$13)*(1+$C$3)^Y$194</f>
        <v>474.87601230625268</v>
      </c>
      <c r="Z72" s="18">
        <f>ABS('Annual Calculations'!$Q$13)*(1+$C$3)^Z$194</f>
        <v>493.39617678619635</v>
      </c>
      <c r="AA72" s="18">
        <f>ABS('Annual Calculations'!$Q$13)*(1+$C$3)^AA$194</f>
        <v>512.63862768085812</v>
      </c>
      <c r="AB72" s="18">
        <f>ABS('Annual Calculations'!$Q$13)*(1+$C$3)^AB$194</f>
        <v>532.63153416041143</v>
      </c>
      <c r="AC72" s="18">
        <f>ABS('Annual Calculations'!$Q$13)*(1+$C$3)^AC$194</f>
        <v>553.40416399266746</v>
      </c>
      <c r="AD72" s="18">
        <f>ABS('Annual Calculations'!$Q$13)*(1+$C$3)^AD$194</f>
        <v>574.98692638838133</v>
      </c>
      <c r="AE72" s="18">
        <f>ABS('Annual Calculations'!$Q$13)*(1+$C$3)^AE$194</f>
        <v>597.4114165175281</v>
      </c>
      <c r="AF72" s="18">
        <f>ABS('Annual Calculations'!$Q$13)*(1+$C$3)^AF$194</f>
        <v>620.7104617617116</v>
      </c>
      <c r="AG72" s="18">
        <f>ABS('Annual Calculations'!$Q$13)*(1+$C$3)^AG$194</f>
        <v>644.91816977041844</v>
      </c>
      <c r="AH72" s="18">
        <f>ABS('Annual Calculations'!$Q$13)*(1+$C$3)^AH$194</f>
        <v>670.06997839146447</v>
      </c>
      <c r="AI72" s="18">
        <f>ABS('Annual Calculations'!$Q$13)*(1+$C$3)^AI$194</f>
        <v>696.2027075487315</v>
      </c>
      <c r="AJ72" s="18">
        <f>ABS('Annual Calculations'!$Q$13)*(1+$C$3)^AJ$194</f>
        <v>723.35461314313204</v>
      </c>
      <c r="AK72" s="18">
        <f>ABS('Annual Calculations'!$Q$13)*(1+$C$3)^AK$194</f>
        <v>751.56544305571401</v>
      </c>
      <c r="AL72" s="18">
        <f>ABS('Annual Calculations'!$Q$13)*(1+$C$3)^AL$194</f>
        <v>780.87649533488673</v>
      </c>
      <c r="AM72" s="18">
        <f>ABS('Annual Calculations'!$Q$13)*(1+$C$3)^AM$194</f>
        <v>811.33067865294731</v>
      </c>
      <c r="AN72" s="18">
        <f>ABS('Annual Calculations'!$Q$13)*(1+$C$3)^AN$194</f>
        <v>842.9725751204121</v>
      </c>
      <c r="AO72" s="18">
        <f>ABS('Annual Calculations'!$Q$13)*(1+$C$3)^AO$194</f>
        <v>875.84850555010803</v>
      </c>
      <c r="AP72" s="18">
        <f>ABS('Annual Calculations'!$Q$13)*(1+$C$3)^AP$194</f>
        <v>910.00659726656204</v>
      </c>
      <c r="AQ72" s="18">
        <f>ABS('Annual Calculations'!$Q$13)*(1+$C$3)^AQ$194</f>
        <v>945.49685455995791</v>
      </c>
      <c r="AR72" s="18">
        <f>ABS('Annual Calculations'!$Q$13)*(1+$C$3)^AR$194</f>
        <v>982.37123188779617</v>
      </c>
      <c r="AS72" s="18">
        <f>ABS('Annual Calculations'!$Q$13)*(1+$C$3)^AS$194</f>
        <v>1020.6837099314203</v>
      </c>
      <c r="AT72" s="18">
        <f>ABS('Annual Calculations'!$Q$13)*(1+$C$3)^AT$194</f>
        <v>1060.4903746187454</v>
      </c>
      <c r="AU72" s="18">
        <f>ABS('Annual Calculations'!$Q$13)*(1+$C$3)^AU$194</f>
        <v>1101.8494992288763</v>
      </c>
      <c r="AV72" s="18">
        <f>ABS('Annual Calculations'!$Q$13)*(1+$C$3)^AV$194</f>
        <v>1144.8216296988021</v>
      </c>
      <c r="AW72" s="18">
        <f>ABS('Annual Calculations'!$Q$13)*(1+$C$3)^AW$194</f>
        <v>1189.4696732570555</v>
      </c>
      <c r="AX72" s="18">
        <f>ABS('Annual Calculations'!$Q$13)*(1+$C$3)^AX$194</f>
        <v>1235.8589905140802</v>
      </c>
      <c r="AY72" s="18">
        <f>ABS('Annual Calculations'!$Q$13)*(1+$C$3)^AY$194</f>
        <v>1284.0574911441295</v>
      </c>
      <c r="AZ72" s="18">
        <f>ABS('Annual Calculations'!$Q$13)*(1+$C$3)^AZ$194</f>
        <v>1334.1357332987502</v>
      </c>
      <c r="BA72" s="18">
        <f>ABS('Annual Calculations'!$Q$13)*(1+$C$3)^BA$194</f>
        <v>1386.1670268974015</v>
      </c>
      <c r="BB72" s="18">
        <f>ABS('Annual Calculations'!$Q$13)*(1+$C$3)^BB$194</f>
        <v>1440.2275409463998</v>
      </c>
    </row>
    <row r="73" spans="1:54" x14ac:dyDescent="0.25">
      <c r="A73" s="177"/>
      <c r="B73" t="s">
        <v>357</v>
      </c>
      <c r="C73" s="72" t="s">
        <v>362</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25">
      <c r="A74" s="177"/>
      <c r="B74" t="s">
        <v>358</v>
      </c>
      <c r="C74" s="72" t="s">
        <v>362</v>
      </c>
      <c r="D74">
        <f>SUM(D71:D73)</f>
        <v>-4198.7624999999998</v>
      </c>
      <c r="E74" s="18">
        <f t="shared" ref="E74:BB74" si="383">SUM(E71:E73)</f>
        <v>220.93742152408811</v>
      </c>
      <c r="F74" s="18">
        <f t="shared" si="383"/>
        <v>229.55398096352749</v>
      </c>
      <c r="G74" s="18">
        <f t="shared" si="383"/>
        <v>238.50658622110507</v>
      </c>
      <c r="H74" s="18">
        <f t="shared" si="383"/>
        <v>247.80834308372809</v>
      </c>
      <c r="I74" s="18">
        <f t="shared" si="383"/>
        <v>257.47286846399345</v>
      </c>
      <c r="J74" s="18">
        <f t="shared" si="383"/>
        <v>267.51431033408915</v>
      </c>
      <c r="K74" s="18">
        <f t="shared" si="383"/>
        <v>277.94736843711866</v>
      </c>
      <c r="L74" s="18">
        <f t="shared" si="383"/>
        <v>288.78731580616619</v>
      </c>
      <c r="M74" s="18">
        <f t="shared" si="383"/>
        <v>300.05002112260667</v>
      </c>
      <c r="N74" s="18">
        <f t="shared" si="383"/>
        <v>-3625.130518118508</v>
      </c>
      <c r="O74" s="18">
        <f t="shared" si="383"/>
        <v>323.91029885229733</v>
      </c>
      <c r="P74" s="18">
        <f t="shared" si="383"/>
        <v>336.54280050753687</v>
      </c>
      <c r="Q74" s="18">
        <f t="shared" si="383"/>
        <v>349.66796972733084</v>
      </c>
      <c r="R74" s="18">
        <f t="shared" si="383"/>
        <v>363.3050205466966</v>
      </c>
      <c r="S74" s="18">
        <f t="shared" si="383"/>
        <v>377.47391634801778</v>
      </c>
      <c r="T74" s="18">
        <f t="shared" si="383"/>
        <v>392.1953990855904</v>
      </c>
      <c r="U74" s="18">
        <f t="shared" si="383"/>
        <v>407.49101964992843</v>
      </c>
      <c r="V74" s="18">
        <f t="shared" si="383"/>
        <v>423.38316941627556</v>
      </c>
      <c r="W74" s="18">
        <f t="shared" si="383"/>
        <v>439.89511302351025</v>
      </c>
      <c r="X74" s="18">
        <f t="shared" si="383"/>
        <v>-5314.7045050235129</v>
      </c>
      <c r="Y74" s="18">
        <f t="shared" si="383"/>
        <v>474.87601230625268</v>
      </c>
      <c r="Z74" s="18">
        <f t="shared" si="383"/>
        <v>493.39617678619635</v>
      </c>
      <c r="AA74" s="18">
        <f t="shared" si="383"/>
        <v>512.63862768085812</v>
      </c>
      <c r="AB74" s="18">
        <f t="shared" si="383"/>
        <v>532.63153416041143</v>
      </c>
      <c r="AC74" s="18">
        <f t="shared" si="383"/>
        <v>-1522.8717296608695</v>
      </c>
      <c r="AD74" s="18">
        <f t="shared" si="383"/>
        <v>574.98692638838133</v>
      </c>
      <c r="AE74" s="18">
        <f t="shared" si="383"/>
        <v>597.4114165175281</v>
      </c>
      <c r="AF74" s="18">
        <f t="shared" si="383"/>
        <v>620.7104617617116</v>
      </c>
      <c r="AG74" s="18">
        <f t="shared" si="383"/>
        <v>644.91816977041844</v>
      </c>
      <c r="AH74" s="18">
        <f t="shared" si="383"/>
        <v>-7791.7426240358673</v>
      </c>
      <c r="AI74" s="18">
        <f t="shared" si="383"/>
        <v>696.2027075487315</v>
      </c>
      <c r="AJ74" s="18">
        <f t="shared" si="383"/>
        <v>723.35461314313204</v>
      </c>
      <c r="AK74" s="18">
        <f t="shared" si="383"/>
        <v>751.56544305571401</v>
      </c>
      <c r="AL74" s="18">
        <f t="shared" si="383"/>
        <v>780.87649533488673</v>
      </c>
      <c r="AM74" s="18">
        <f t="shared" si="383"/>
        <v>811.33067865294731</v>
      </c>
      <c r="AN74" s="18">
        <f t="shared" si="383"/>
        <v>842.9725751204121</v>
      </c>
      <c r="AO74" s="18">
        <f t="shared" si="383"/>
        <v>875.84850555010803</v>
      </c>
      <c r="AP74" s="18">
        <f t="shared" si="383"/>
        <v>910.00659726656204</v>
      </c>
      <c r="AQ74" s="18">
        <f t="shared" si="383"/>
        <v>945.49685455995791</v>
      </c>
      <c r="AR74" s="18">
        <f t="shared" si="383"/>
        <v>-11423.260326483338</v>
      </c>
      <c r="AS74" s="18">
        <f t="shared" si="383"/>
        <v>1020.6837099314203</v>
      </c>
      <c r="AT74" s="18">
        <f t="shared" si="383"/>
        <v>1060.4903746187454</v>
      </c>
      <c r="AU74" s="18">
        <f t="shared" si="383"/>
        <v>1101.8494992288763</v>
      </c>
      <c r="AV74" s="18">
        <f t="shared" si="383"/>
        <v>1144.8216296988021</v>
      </c>
      <c r="AW74" s="18">
        <f t="shared" si="383"/>
        <v>1189.4696732570555</v>
      </c>
      <c r="AX74" s="18">
        <f t="shared" si="383"/>
        <v>1235.8589905140802</v>
      </c>
      <c r="AY74" s="18">
        <f t="shared" si="383"/>
        <v>1284.0574911441295</v>
      </c>
      <c r="AZ74" s="18">
        <f t="shared" si="383"/>
        <v>1334.1357332987502</v>
      </c>
      <c r="BA74" s="18">
        <f t="shared" si="383"/>
        <v>1386.1670268974015</v>
      </c>
      <c r="BB74" s="18">
        <f t="shared" si="383"/>
        <v>1440.2275409463998</v>
      </c>
    </row>
    <row r="75" spans="1:54" x14ac:dyDescent="0.25">
      <c r="A75" s="177"/>
      <c r="B75" t="s">
        <v>359</v>
      </c>
      <c r="C75" s="72"/>
      <c r="D75">
        <f t="shared" ref="D75:AI75" si="384">(1+$C$2)^D$194</f>
        <v>1</v>
      </c>
      <c r="E75" s="40">
        <f t="shared" si="384"/>
        <v>1.1219999999999999</v>
      </c>
      <c r="F75" s="40">
        <f t="shared" si="384"/>
        <v>1.2588839999999997</v>
      </c>
      <c r="G75" s="40">
        <f t="shared" si="384"/>
        <v>1.4124678479999995</v>
      </c>
      <c r="H75" s="40">
        <f t="shared" si="384"/>
        <v>1.5847889254559993</v>
      </c>
      <c r="I75" s="40">
        <f t="shared" si="384"/>
        <v>1.7781331743616309</v>
      </c>
      <c r="J75" s="40">
        <f t="shared" si="384"/>
        <v>1.9950654216337496</v>
      </c>
      <c r="K75" s="40">
        <f t="shared" si="384"/>
        <v>2.2384634030730668</v>
      </c>
      <c r="L75" s="40">
        <f t="shared" si="384"/>
        <v>2.5115559382479806</v>
      </c>
      <c r="M75" s="40">
        <f t="shared" si="384"/>
        <v>2.817965762714234</v>
      </c>
      <c r="N75" s="40">
        <f t="shared" si="384"/>
        <v>3.1617575857653701</v>
      </c>
      <c r="O75" s="40">
        <f t="shared" si="384"/>
        <v>3.5474920112287447</v>
      </c>
      <c r="P75" s="40">
        <f t="shared" si="384"/>
        <v>3.9802860365986512</v>
      </c>
      <c r="Q75" s="40">
        <f t="shared" si="384"/>
        <v>4.4658809330636862</v>
      </c>
      <c r="R75" s="40">
        <f t="shared" si="384"/>
        <v>5.0107184068974551</v>
      </c>
      <c r="S75" s="40">
        <f t="shared" si="384"/>
        <v>5.6220260525389438</v>
      </c>
      <c r="T75" s="40">
        <f t="shared" si="384"/>
        <v>6.307913230948694</v>
      </c>
      <c r="U75" s="40">
        <f t="shared" si="384"/>
        <v>7.077478645124434</v>
      </c>
      <c r="V75" s="40">
        <f t="shared" si="384"/>
        <v>7.9409310398296133</v>
      </c>
      <c r="W75" s="40">
        <f t="shared" si="384"/>
        <v>8.9097246266888259</v>
      </c>
      <c r="X75" s="40">
        <f t="shared" si="384"/>
        <v>9.9967110311448621</v>
      </c>
      <c r="Y75" s="40">
        <f t="shared" si="384"/>
        <v>11.216309776944533</v>
      </c>
      <c r="Z75" s="40">
        <f t="shared" si="384"/>
        <v>12.584699569731765</v>
      </c>
      <c r="AA75" s="40">
        <f t="shared" si="384"/>
        <v>14.120032917239037</v>
      </c>
      <c r="AB75" s="40">
        <f t="shared" si="384"/>
        <v>15.842676933142199</v>
      </c>
      <c r="AC75" s="40">
        <f t="shared" si="384"/>
        <v>17.775483518985546</v>
      </c>
      <c r="AD75" s="40">
        <f t="shared" si="384"/>
        <v>19.944092508301779</v>
      </c>
      <c r="AE75" s="40">
        <f t="shared" si="384"/>
        <v>22.377271794314591</v>
      </c>
      <c r="AF75" s="40">
        <f t="shared" si="384"/>
        <v>25.107298953220969</v>
      </c>
      <c r="AG75" s="40">
        <f t="shared" si="384"/>
        <v>28.170389425513925</v>
      </c>
      <c r="AH75" s="40">
        <f t="shared" si="384"/>
        <v>31.607176935426619</v>
      </c>
      <c r="AI75" s="40">
        <f t="shared" si="384"/>
        <v>35.463252521548661</v>
      </c>
      <c r="AJ75" s="40">
        <f t="shared" ref="AJ75:BB75" si="385">(1+$C$2)^AJ$194</f>
        <v>39.789769329177595</v>
      </c>
      <c r="AK75" s="40">
        <f t="shared" si="385"/>
        <v>44.644121187337255</v>
      </c>
      <c r="AL75" s="40">
        <f t="shared" si="385"/>
        <v>50.090703972192394</v>
      </c>
      <c r="AM75" s="40">
        <f t="shared" si="385"/>
        <v>56.201769856799864</v>
      </c>
      <c r="AN75" s="40">
        <f t="shared" si="385"/>
        <v>63.058385779329434</v>
      </c>
      <c r="AO75" s="40">
        <f t="shared" si="385"/>
        <v>70.751508844407624</v>
      </c>
      <c r="AP75" s="40">
        <f t="shared" si="385"/>
        <v>79.383192923425341</v>
      </c>
      <c r="AQ75" s="40">
        <f t="shared" si="385"/>
        <v>89.067942460083216</v>
      </c>
      <c r="AR75" s="40">
        <f t="shared" si="385"/>
        <v>99.934231440213352</v>
      </c>
      <c r="AS75" s="40">
        <f t="shared" si="385"/>
        <v>112.12620767591937</v>
      </c>
      <c r="AT75" s="40">
        <f t="shared" si="385"/>
        <v>125.80560501238152</v>
      </c>
      <c r="AU75" s="40">
        <f t="shared" si="385"/>
        <v>141.15388882389203</v>
      </c>
      <c r="AV75" s="40">
        <f t="shared" si="385"/>
        <v>158.37466326040686</v>
      </c>
      <c r="AW75" s="40">
        <f t="shared" si="385"/>
        <v>177.69637217817649</v>
      </c>
      <c r="AX75" s="40">
        <f t="shared" si="385"/>
        <v>199.37532958391398</v>
      </c>
      <c r="AY75" s="40">
        <f t="shared" si="385"/>
        <v>223.69911979315145</v>
      </c>
      <c r="AZ75" s="40">
        <f t="shared" si="385"/>
        <v>250.9904124079159</v>
      </c>
      <c r="BA75" s="40">
        <f t="shared" si="385"/>
        <v>281.61124272168161</v>
      </c>
      <c r="BB75" s="40">
        <f t="shared" si="385"/>
        <v>315.96781433372672</v>
      </c>
    </row>
    <row r="76" spans="1:54" x14ac:dyDescent="0.25">
      <c r="A76" s="177"/>
      <c r="B76" t="s">
        <v>360</v>
      </c>
      <c r="C76" s="72" t="s">
        <v>362</v>
      </c>
      <c r="D76">
        <f>D74/D75</f>
        <v>-4198.7624999999998</v>
      </c>
      <c r="E76" s="18">
        <f>E74/E75</f>
        <v>196.91392292699476</v>
      </c>
      <c r="F76" s="18">
        <f>F74/F75</f>
        <v>182.34720670334008</v>
      </c>
      <c r="G76" s="18">
        <f t="shared" ref="G76:BB76" si="386">G74/G75</f>
        <v>168.85806396147089</v>
      </c>
      <c r="H76" s="18">
        <f t="shared" si="386"/>
        <v>156.36678115505191</v>
      </c>
      <c r="I76" s="18">
        <f t="shared" si="386"/>
        <v>144.7995415508903</v>
      </c>
      <c r="J76" s="18">
        <f t="shared" si="386"/>
        <v>134.08798901192071</v>
      </c>
      <c r="K76" s="18">
        <f t="shared" si="386"/>
        <v>124.16882404936331</v>
      </c>
      <c r="L76" s="18">
        <f t="shared" si="386"/>
        <v>114.98342975694159</v>
      </c>
      <c r="M76" s="18">
        <f t="shared" si="386"/>
        <v>106.47752541663307</v>
      </c>
      <c r="N76" s="18">
        <f t="shared" si="386"/>
        <v>-1146.5554900348152</v>
      </c>
      <c r="O76" s="18">
        <f t="shared" si="386"/>
        <v>91.306843772173721</v>
      </c>
      <c r="P76" s="18">
        <f t="shared" si="386"/>
        <v>84.55241593519473</v>
      </c>
      <c r="Q76" s="18">
        <f t="shared" si="386"/>
        <v>78.297647198455735</v>
      </c>
      <c r="R76" s="18">
        <f t="shared" si="386"/>
        <v>72.505575257749996</v>
      </c>
      <c r="S76" s="18">
        <f t="shared" si="386"/>
        <v>67.141972096971713</v>
      </c>
      <c r="T76" s="18">
        <f t="shared" si="386"/>
        <v>62.175141719031735</v>
      </c>
      <c r="U76" s="18">
        <f t="shared" si="386"/>
        <v>57.575732839638128</v>
      </c>
      <c r="V76" s="18">
        <f t="shared" si="386"/>
        <v>53.316565437062401</v>
      </c>
      <c r="W76" s="18">
        <f t="shared" si="386"/>
        <v>49.372470132894676</v>
      </c>
      <c r="X76" s="18">
        <f t="shared" si="386"/>
        <v>-531.64530698801764</v>
      </c>
      <c r="Y76" s="18">
        <f t="shared" si="386"/>
        <v>42.337990101020111</v>
      </c>
      <c r="Z76" s="18">
        <f t="shared" si="386"/>
        <v>39.206035396577434</v>
      </c>
      <c r="AA76" s="18">
        <f t="shared" si="386"/>
        <v>36.305767180966107</v>
      </c>
      <c r="AB76" s="18">
        <f t="shared" si="386"/>
        <v>33.620046435850064</v>
      </c>
      <c r="AC76" s="18">
        <f t="shared" si="386"/>
        <v>-85.672591017528646</v>
      </c>
      <c r="AD76" s="18">
        <f t="shared" si="386"/>
        <v>28.829936792012049</v>
      </c>
      <c r="AE76" s="18">
        <f t="shared" si="386"/>
        <v>26.697240933066418</v>
      </c>
      <c r="AF76" s="18">
        <f t="shared" si="386"/>
        <v>24.722311345326208</v>
      </c>
      <c r="AG76" s="18">
        <f t="shared" si="386"/>
        <v>22.893477261848428</v>
      </c>
      <c r="AH76" s="18">
        <f t="shared" si="386"/>
        <v>-246.5181449122893</v>
      </c>
      <c r="AI76" s="18">
        <f t="shared" si="386"/>
        <v>19.6316654014094</v>
      </c>
      <c r="AJ76" s="18">
        <f t="shared" si="386"/>
        <v>18.179412078488742</v>
      </c>
      <c r="AK76" s="18">
        <f t="shared" si="386"/>
        <v>16.834589259848308</v>
      </c>
      <c r="AL76" s="18">
        <f t="shared" si="386"/>
        <v>15.589249769146516</v>
      </c>
      <c r="AM76" s="18">
        <f t="shared" si="386"/>
        <v>14.436034322765803</v>
      </c>
      <c r="AN76" s="18">
        <f t="shared" si="386"/>
        <v>13.368128040422166</v>
      </c>
      <c r="AO76" s="18">
        <f t="shared" si="386"/>
        <v>12.379220172904303</v>
      </c>
      <c r="AP76" s="18">
        <f t="shared" si="386"/>
        <v>11.463466808955053</v>
      </c>
      <c r="AQ76" s="18">
        <f t="shared" si="386"/>
        <v>10.615456340912925</v>
      </c>
      <c r="AR76" s="18">
        <f t="shared" si="386"/>
        <v>-114.307781846678</v>
      </c>
      <c r="AS76" s="18">
        <f t="shared" si="386"/>
        <v>9.1029896675139756</v>
      </c>
      <c r="AT76" s="18">
        <f t="shared" si="386"/>
        <v>8.4295956012005515</v>
      </c>
      <c r="AU76" s="18">
        <f t="shared" si="386"/>
        <v>7.806015890951314</v>
      </c>
      <c r="AV76" s="18">
        <f t="shared" si="386"/>
        <v>7.2285655175565173</v>
      </c>
      <c r="AW76" s="18">
        <f t="shared" si="386"/>
        <v>6.6938320612666873</v>
      </c>
      <c r="AX76" s="18">
        <f t="shared" si="386"/>
        <v>6.1986555362353712</v>
      </c>
      <c r="AY76" s="18">
        <f t="shared" si="386"/>
        <v>5.7401097167099397</v>
      </c>
      <c r="AZ76" s="18">
        <f t="shared" si="386"/>
        <v>5.3154848446182061</v>
      </c>
      <c r="BA76" s="18">
        <f t="shared" si="386"/>
        <v>4.9222716163621358</v>
      </c>
      <c r="BB76" s="18">
        <f t="shared" si="386"/>
        <v>4.5581463541891791</v>
      </c>
    </row>
    <row r="77" spans="1:54" x14ac:dyDescent="0.25">
      <c r="A77" s="177"/>
      <c r="B77" s="76" t="s">
        <v>645</v>
      </c>
      <c r="C77" s="77" t="s">
        <v>362</v>
      </c>
      <c r="D77" s="76">
        <f>D76</f>
        <v>-4198.7624999999998</v>
      </c>
      <c r="E77" s="78">
        <f>E76+D77</f>
        <v>-4001.8485770730049</v>
      </c>
      <c r="F77" s="78">
        <f t="shared" ref="F77" si="387">F76+E77</f>
        <v>-3819.501370369665</v>
      </c>
      <c r="G77" s="78">
        <f t="shared" ref="G77" si="388">G76+F77</f>
        <v>-3650.6433064081939</v>
      </c>
      <c r="H77" s="78">
        <f t="shared" ref="H77" si="389">H76+G77</f>
        <v>-3494.2765252531422</v>
      </c>
      <c r="I77" s="78">
        <f t="shared" ref="I77" si="390">I76+H77</f>
        <v>-3349.4769837022518</v>
      </c>
      <c r="J77" s="78">
        <f t="shared" ref="J77" si="391">J76+I77</f>
        <v>-3215.3889946903309</v>
      </c>
      <c r="K77" s="78">
        <f t="shared" ref="K77" si="392">K76+J77</f>
        <v>-3091.2201706409678</v>
      </c>
      <c r="L77" s="78">
        <f t="shared" ref="L77" si="393">L76+K77</f>
        <v>-2976.2367408840264</v>
      </c>
      <c r="M77" s="78">
        <f t="shared" ref="M77" si="394">M76+L77</f>
        <v>-2869.7592154673935</v>
      </c>
      <c r="N77" s="78">
        <f t="shared" ref="N77" si="395">N76+M77</f>
        <v>-4016.3147055022087</v>
      </c>
      <c r="O77" s="78">
        <f t="shared" ref="O77" si="396">O76+N77</f>
        <v>-3925.0078617300351</v>
      </c>
      <c r="P77" s="78">
        <f t="shared" ref="P77" si="397">P76+O77</f>
        <v>-3840.4554457948402</v>
      </c>
      <c r="Q77" s="78">
        <f t="shared" ref="Q77" si="398">Q76+P77</f>
        <v>-3762.1577985963845</v>
      </c>
      <c r="R77" s="78">
        <f t="shared" ref="R77" si="399">R76+Q77</f>
        <v>-3689.6522233386345</v>
      </c>
      <c r="S77" s="78">
        <f t="shared" ref="S77" si="400">S76+R77</f>
        <v>-3622.5102512416629</v>
      </c>
      <c r="T77" s="78">
        <f t="shared" ref="T77" si="401">T76+S77</f>
        <v>-3560.3351095226312</v>
      </c>
      <c r="U77" s="78">
        <f t="shared" ref="U77" si="402">U76+T77</f>
        <v>-3502.7593766829932</v>
      </c>
      <c r="V77" s="78">
        <f t="shared" ref="V77" si="403">V76+U77</f>
        <v>-3449.4428112459309</v>
      </c>
      <c r="W77" s="78">
        <f t="shared" ref="W77" si="404">W76+V77</f>
        <v>-3400.0703411130362</v>
      </c>
      <c r="X77" s="78">
        <f t="shared" ref="X77" si="405">X76+W77</f>
        <v>-3931.7156481010538</v>
      </c>
      <c r="Y77" s="78">
        <f t="shared" ref="Y77" si="406">Y76+X77</f>
        <v>-3889.3776580000335</v>
      </c>
      <c r="Z77" s="78">
        <f t="shared" ref="Z77" si="407">Z76+Y77</f>
        <v>-3850.1716226034559</v>
      </c>
      <c r="AA77" s="78">
        <f t="shared" ref="AA77" si="408">AA76+Z77</f>
        <v>-3813.8658554224899</v>
      </c>
      <c r="AB77" s="78">
        <f t="shared" ref="AB77" si="409">AB76+AA77</f>
        <v>-3780.24580898664</v>
      </c>
      <c r="AC77" s="78">
        <f t="shared" ref="AC77" si="410">AC76+AB77</f>
        <v>-3865.9184000041687</v>
      </c>
      <c r="AD77" s="78">
        <f t="shared" ref="AD77" si="411">AD76+AC77</f>
        <v>-3837.0884632121565</v>
      </c>
      <c r="AE77" s="78">
        <f t="shared" ref="AE77" si="412">AE76+AD77</f>
        <v>-3810.39122227909</v>
      </c>
      <c r="AF77" s="78">
        <f t="shared" ref="AF77" si="413">AF76+AE77</f>
        <v>-3785.668910933764</v>
      </c>
      <c r="AG77" s="78">
        <f t="shared" ref="AG77" si="414">AG76+AF77</f>
        <v>-3762.7754336719154</v>
      </c>
      <c r="AH77" s="78">
        <f t="shared" ref="AH77" si="415">AH76+AG77</f>
        <v>-4009.2935785842046</v>
      </c>
      <c r="AI77" s="78">
        <f t="shared" ref="AI77" si="416">AI76+AH77</f>
        <v>-3989.6619131827952</v>
      </c>
      <c r="AJ77" s="78">
        <f t="shared" ref="AJ77" si="417">AJ76+AI77</f>
        <v>-3971.4825011043063</v>
      </c>
      <c r="AK77" s="78">
        <f t="shared" ref="AK77" si="418">AK76+AJ77</f>
        <v>-3954.6479118444581</v>
      </c>
      <c r="AL77" s="78">
        <f t="shared" ref="AL77" si="419">AL76+AK77</f>
        <v>-3939.0586620753115</v>
      </c>
      <c r="AM77" s="78">
        <f t="shared" ref="AM77" si="420">AM76+AL77</f>
        <v>-3924.6226277525457</v>
      </c>
      <c r="AN77" s="78">
        <f t="shared" ref="AN77" si="421">AN76+AM77</f>
        <v>-3911.2544997121236</v>
      </c>
      <c r="AO77" s="78">
        <f t="shared" ref="AO77" si="422">AO76+AN77</f>
        <v>-3898.8752795392193</v>
      </c>
      <c r="AP77" s="78">
        <f t="shared" ref="AP77" si="423">AP76+AO77</f>
        <v>-3887.411812730264</v>
      </c>
      <c r="AQ77" s="78">
        <f t="shared" ref="AQ77" si="424">AQ76+AP77</f>
        <v>-3876.7963563893513</v>
      </c>
      <c r="AR77" s="78">
        <f t="shared" ref="AR77" si="425">AR76+AQ77</f>
        <v>-3991.1041382360295</v>
      </c>
      <c r="AS77" s="78">
        <f t="shared" ref="AS77" si="426">AS76+AR77</f>
        <v>-3982.0011485685154</v>
      </c>
      <c r="AT77" s="78">
        <f t="shared" ref="AT77" si="427">AT76+AS77</f>
        <v>-3973.5715529673148</v>
      </c>
      <c r="AU77" s="78">
        <f t="shared" ref="AU77" si="428">AU76+AT77</f>
        <v>-3965.7655370763637</v>
      </c>
      <c r="AV77" s="78">
        <f t="shared" ref="AV77" si="429">AV76+AU77</f>
        <v>-3958.5369715588072</v>
      </c>
      <c r="AW77" s="78">
        <f t="shared" ref="AW77" si="430">AW76+AV77</f>
        <v>-3951.8431394975405</v>
      </c>
      <c r="AX77" s="78">
        <f t="shared" ref="AX77" si="431">AX76+AW77</f>
        <v>-3945.644483961305</v>
      </c>
      <c r="AY77" s="78">
        <f t="shared" ref="AY77" si="432">AY76+AX77</f>
        <v>-3939.9043742445951</v>
      </c>
      <c r="AZ77" s="78">
        <f t="shared" ref="AZ77" si="433">AZ76+AY77</f>
        <v>-3934.5888893999768</v>
      </c>
      <c r="BA77" s="78">
        <f t="shared" ref="BA77" si="434">BA76+AZ77</f>
        <v>-3929.6666177836146</v>
      </c>
      <c r="BB77" s="78">
        <f t="shared" ref="BB77" si="435">BB76+BA77</f>
        <v>-3925.1084714294252</v>
      </c>
    </row>
    <row r="78" spans="1:54" x14ac:dyDescent="0.25">
      <c r="A78" s="177"/>
      <c r="B78" s="22" t="s">
        <v>361</v>
      </c>
      <c r="C78" s="75" t="s">
        <v>362</v>
      </c>
      <c r="D78" s="93">
        <f>SUM(D76:BB76)</f>
        <v>-3925.1084714294252</v>
      </c>
    </row>
    <row r="79" spans="1:54" x14ac:dyDescent="0.25">
      <c r="A79" s="180" t="s">
        <v>537</v>
      </c>
      <c r="B79" s="76" t="s">
        <v>363</v>
      </c>
      <c r="C79" s="77" t="s">
        <v>362</v>
      </c>
      <c r="D79" s="78">
        <f>-South_Facade_PV!$B$23/South_Facade_PV!$B$7</f>
        <v>-3159.7999999999997</v>
      </c>
      <c r="E79" s="76">
        <v>0</v>
      </c>
      <c r="F79" s="76">
        <v>0</v>
      </c>
      <c r="G79" s="76">
        <v>0</v>
      </c>
      <c r="H79" s="76">
        <v>0</v>
      </c>
      <c r="I79" s="76">
        <v>0</v>
      </c>
      <c r="J79" s="76">
        <v>0</v>
      </c>
      <c r="K79" s="76">
        <v>0</v>
      </c>
      <c r="L79" s="76">
        <v>0</v>
      </c>
      <c r="M79" s="76">
        <v>0</v>
      </c>
      <c r="N79" s="76">
        <f>-((South_Facade_PV!$B$33*South_Facade_PV!$B$19)/South_Facade_PV!$B$7)*(1+$C$1)^N$194</f>
        <v>-4360.0705753494522</v>
      </c>
      <c r="O79" s="76">
        <v>0</v>
      </c>
      <c r="P79" s="76">
        <v>0</v>
      </c>
      <c r="Q79" s="76">
        <v>0</v>
      </c>
      <c r="R79" s="76">
        <v>0</v>
      </c>
      <c r="S79" s="76">
        <v>0</v>
      </c>
      <c r="T79" s="76">
        <v>0</v>
      </c>
      <c r="U79" s="76">
        <v>0</v>
      </c>
      <c r="V79" s="76">
        <v>0</v>
      </c>
      <c r="W79" s="76">
        <v>0</v>
      </c>
      <c r="X79" s="76">
        <f>-((South_Facade_PV!$B$33*South_Facade_PV!$B$19)/South_Facade_PV!$B$7)*(1+$C$1)^X$194</f>
        <v>-6392.1799817174651</v>
      </c>
      <c r="Y79" s="76">
        <v>0</v>
      </c>
      <c r="Z79" s="76">
        <v>0</v>
      </c>
      <c r="AA79" s="76">
        <v>0</v>
      </c>
      <c r="AB79" s="76">
        <v>0</v>
      </c>
      <c r="AC79" s="76">
        <f>-(South_Facade_PV!$B$35*South_Facade_PV!$B$19/South_Facade_PV!$B$7)*(1+$C$1)^X$194</f>
        <v>-1444.0216532905902</v>
      </c>
      <c r="AD79" s="76">
        <v>0</v>
      </c>
      <c r="AE79" s="76">
        <v>0</v>
      </c>
      <c r="AF79" s="76">
        <v>0</v>
      </c>
      <c r="AG79" s="76">
        <v>0</v>
      </c>
      <c r="AH79" s="76">
        <f>-((South_Facade_PV!$B$33*South_Facade_PV!$B$19)/South_Facade_PV!$B$7)*(1+$C$1)^AH$194</f>
        <v>-9371.3998919374426</v>
      </c>
      <c r="AI79" s="76">
        <v>0</v>
      </c>
      <c r="AJ79" s="76">
        <v>0</v>
      </c>
      <c r="AK79" s="76">
        <v>0</v>
      </c>
      <c r="AL79" s="76">
        <v>0</v>
      </c>
      <c r="AM79" s="76">
        <v>0</v>
      </c>
      <c r="AN79" s="76">
        <v>0</v>
      </c>
      <c r="AO79" s="76">
        <v>0</v>
      </c>
      <c r="AP79" s="76">
        <v>0</v>
      </c>
      <c r="AQ79" s="76">
        <v>0</v>
      </c>
      <c r="AR79" s="76">
        <f>-((South_Facade_PV!$B$33*South_Facade_PV!$B$19)/South_Facade_PV!$B$7)*(1+$C$1)^AR$194</f>
        <v>-13739.152556059385</v>
      </c>
      <c r="AS79" s="76">
        <v>0</v>
      </c>
      <c r="AT79" s="76">
        <v>0</v>
      </c>
      <c r="AU79" s="76">
        <v>0</v>
      </c>
      <c r="AV79" s="76">
        <v>0</v>
      </c>
      <c r="AW79" s="76">
        <v>0</v>
      </c>
      <c r="AX79" s="76">
        <v>0</v>
      </c>
      <c r="AY79" s="76">
        <v>0</v>
      </c>
      <c r="AZ79" s="76">
        <v>0</v>
      </c>
      <c r="BA79" s="76">
        <v>0</v>
      </c>
      <c r="BB79" s="76">
        <v>0</v>
      </c>
    </row>
    <row r="80" spans="1:54" x14ac:dyDescent="0.25">
      <c r="A80" s="180"/>
      <c r="B80" s="76" t="s">
        <v>356</v>
      </c>
      <c r="C80" s="77" t="s">
        <v>362</v>
      </c>
      <c r="D80" s="76">
        <v>0</v>
      </c>
      <c r="E80" s="78">
        <f>ABS('Annual Calculations'!$Q$14)*(1+$C$3)^E$194</f>
        <v>121.9424232992</v>
      </c>
      <c r="F80" s="78">
        <f>ABS('Annual Calculations'!$Q$14)*(1+$C$3)^F$194</f>
        <v>126.69817780786877</v>
      </c>
      <c r="G80" s="78">
        <f>ABS('Annual Calculations'!$Q$14)*(1+$C$3)^G$194</f>
        <v>131.63940674237566</v>
      </c>
      <c r="H80" s="78">
        <f>ABS('Annual Calculations'!$Q$14)*(1+$C$3)^H$194</f>
        <v>136.77334360532828</v>
      </c>
      <c r="I80" s="78">
        <f>ABS('Annual Calculations'!$Q$14)*(1+$C$3)^I$194</f>
        <v>142.10750400593605</v>
      </c>
      <c r="J80" s="78">
        <f>ABS('Annual Calculations'!$Q$14)*(1+$C$3)^J$194</f>
        <v>147.64969666216754</v>
      </c>
      <c r="K80" s="78">
        <f>ABS('Annual Calculations'!$Q$14)*(1+$C$3)^K$194</f>
        <v>153.40803483199207</v>
      </c>
      <c r="L80" s="78">
        <f>ABS('Annual Calculations'!$Q$14)*(1+$C$3)^L$194</f>
        <v>159.39094819043973</v>
      </c>
      <c r="M80" s="78">
        <f>ABS('Annual Calculations'!$Q$14)*(1+$C$3)^M$194</f>
        <v>165.60719516986686</v>
      </c>
      <c r="N80" s="78">
        <f>ABS('Annual Calculations'!$Q$14)*(1+$C$3)^N$194</f>
        <v>172.06587578149163</v>
      </c>
      <c r="O80" s="78">
        <f>ABS('Annual Calculations'!$Q$14)*(1+$C$3)^O$194</f>
        <v>178.7764449369698</v>
      </c>
      <c r="P80" s="78">
        <f>ABS('Annual Calculations'!$Q$14)*(1+$C$3)^P$194</f>
        <v>185.74872628951155</v>
      </c>
      <c r="Q80" s="78">
        <f>ABS('Annual Calculations'!$Q$14)*(1+$C$3)^Q$194</f>
        <v>192.99292661480251</v>
      </c>
      <c r="R80" s="78">
        <f>ABS('Annual Calculations'!$Q$14)*(1+$C$3)^R$194</f>
        <v>200.51965075277974</v>
      </c>
      <c r="S80" s="78">
        <f>ABS('Annual Calculations'!$Q$14)*(1+$C$3)^S$194</f>
        <v>208.33991713213817</v>
      </c>
      <c r="T80" s="78">
        <f>ABS('Annual Calculations'!$Q$14)*(1+$C$3)^T$194</f>
        <v>216.46517390029152</v>
      </c>
      <c r="U80" s="78">
        <f>ABS('Annual Calculations'!$Q$14)*(1+$C$3)^U$194</f>
        <v>224.9073156824029</v>
      </c>
      <c r="V80" s="78">
        <f>ABS('Annual Calculations'!$Q$14)*(1+$C$3)^V$194</f>
        <v>233.67870099401657</v>
      </c>
      <c r="W80" s="78">
        <f>ABS('Annual Calculations'!$Q$14)*(1+$C$3)^W$194</f>
        <v>242.79217033278314</v>
      </c>
      <c r="X80" s="78">
        <f>ABS('Annual Calculations'!$Q$14)*(1+$C$3)^X$194</f>
        <v>252.26106497576166</v>
      </c>
      <c r="Y80" s="78">
        <f>ABS('Annual Calculations'!$Q$14)*(1+$C$3)^Y$194</f>
        <v>262.09924650981634</v>
      </c>
      <c r="Z80" s="78">
        <f>ABS('Annual Calculations'!$Q$14)*(1+$C$3)^Z$194</f>
        <v>272.32111712369908</v>
      </c>
      <c r="AA80" s="78">
        <f>ABS('Annual Calculations'!$Q$14)*(1+$C$3)^AA$194</f>
        <v>282.94164069152339</v>
      </c>
      <c r="AB80" s="78">
        <f>ABS('Annual Calculations'!$Q$14)*(1+$C$3)^AB$194</f>
        <v>293.97636467849276</v>
      </c>
      <c r="AC80" s="78">
        <f>ABS('Annual Calculations'!$Q$14)*(1+$C$3)^AC$194</f>
        <v>305.44144290095397</v>
      </c>
      <c r="AD80" s="78">
        <f>ABS('Annual Calculations'!$Q$14)*(1+$C$3)^AD$194</f>
        <v>317.35365917409109</v>
      </c>
      <c r="AE80" s="78">
        <f>ABS('Annual Calculations'!$Q$14)*(1+$C$3)^AE$194</f>
        <v>329.73045188188058</v>
      </c>
      <c r="AF80" s="78">
        <f>ABS('Annual Calculations'!$Q$14)*(1+$C$3)^AF$194</f>
        <v>342.58993950527383</v>
      </c>
      <c r="AG80" s="78">
        <f>ABS('Annual Calculations'!$Q$14)*(1+$C$3)^AG$194</f>
        <v>355.95094714597957</v>
      </c>
      <c r="AH80" s="78">
        <f>ABS('Annual Calculations'!$Q$14)*(1+$C$3)^AH$194</f>
        <v>369.83303408467259</v>
      </c>
      <c r="AI80" s="78">
        <f>ABS('Annual Calculations'!$Q$14)*(1+$C$3)^AI$194</f>
        <v>384.25652241397484</v>
      </c>
      <c r="AJ80" s="78">
        <f>ABS('Annual Calculations'!$Q$14)*(1+$C$3)^AJ$194</f>
        <v>399.24252678811979</v>
      </c>
      <c r="AK80" s="78">
        <f>ABS('Annual Calculations'!$Q$14)*(1+$C$3)^AK$194</f>
        <v>414.81298533285644</v>
      </c>
      <c r="AL80" s="78">
        <f>ABS('Annual Calculations'!$Q$14)*(1+$C$3)^AL$194</f>
        <v>430.99069176083776</v>
      </c>
      <c r="AM80" s="78">
        <f>ABS('Annual Calculations'!$Q$14)*(1+$C$3)^AM$194</f>
        <v>447.79932873951043</v>
      </c>
      <c r="AN80" s="78">
        <f>ABS('Annual Calculations'!$Q$14)*(1+$C$3)^AN$194</f>
        <v>465.26350256035118</v>
      </c>
      <c r="AO80" s="78">
        <f>ABS('Annual Calculations'!$Q$14)*(1+$C$3)^AO$194</f>
        <v>483.40877916020486</v>
      </c>
      <c r="AP80" s="78">
        <f>ABS('Annual Calculations'!$Q$14)*(1+$C$3)^AP$194</f>
        <v>502.26172154745274</v>
      </c>
      <c r="AQ80" s="78">
        <f>ABS('Annual Calculations'!$Q$14)*(1+$C$3)^AQ$194</f>
        <v>521.84992868780341</v>
      </c>
      <c r="AR80" s="78">
        <f>ABS('Annual Calculations'!$Q$14)*(1+$C$3)^AR$194</f>
        <v>542.20207590662756</v>
      </c>
      <c r="AS80" s="78">
        <f>ABS('Annual Calculations'!$Q$14)*(1+$C$3)^AS$194</f>
        <v>563.34795686698612</v>
      </c>
      <c r="AT80" s="78">
        <f>ABS('Annual Calculations'!$Q$14)*(1+$C$3)^AT$194</f>
        <v>585.31852718479843</v>
      </c>
      <c r="AU80" s="78">
        <f>ABS('Annual Calculations'!$Q$14)*(1+$C$3)^AU$194</f>
        <v>608.14594974500551</v>
      </c>
      <c r="AV80" s="78">
        <f>ABS('Annual Calculations'!$Q$14)*(1+$C$3)^AV$194</f>
        <v>631.86364178506051</v>
      </c>
      <c r="AW80" s="78">
        <f>ABS('Annual Calculations'!$Q$14)*(1+$C$3)^AW$194</f>
        <v>656.5063238146779</v>
      </c>
      <c r="AX80" s="78">
        <f>ABS('Annual Calculations'!$Q$14)*(1+$C$3)^AX$194</f>
        <v>682.11007044345001</v>
      </c>
      <c r="AY80" s="78">
        <f>ABS('Annual Calculations'!$Q$14)*(1+$C$3)^AY$194</f>
        <v>708.71236319074467</v>
      </c>
      <c r="AZ80" s="78">
        <f>ABS('Annual Calculations'!$Q$14)*(1+$C$3)^AZ$194</f>
        <v>736.35214535518367</v>
      </c>
      <c r="BA80" s="78">
        <f>ABS('Annual Calculations'!$Q$14)*(1+$C$3)^BA$194</f>
        <v>765.06987902403569</v>
      </c>
      <c r="BB80" s="78">
        <f>ABS('Annual Calculations'!$Q$14)*(1+$C$3)^BB$194</f>
        <v>794.907604305973</v>
      </c>
    </row>
    <row r="81" spans="1:54" x14ac:dyDescent="0.25">
      <c r="A81" s="180"/>
      <c r="B81" s="76" t="s">
        <v>357</v>
      </c>
      <c r="C81" s="77" t="s">
        <v>362</v>
      </c>
      <c r="D81" s="76">
        <v>0</v>
      </c>
      <c r="E81" s="76">
        <v>0</v>
      </c>
      <c r="F81" s="76">
        <v>0</v>
      </c>
      <c r="G81" s="76">
        <v>0</v>
      </c>
      <c r="H81" s="76">
        <v>0</v>
      </c>
      <c r="I81" s="76">
        <v>0</v>
      </c>
      <c r="J81" s="76">
        <v>0</v>
      </c>
      <c r="K81" s="76">
        <v>0</v>
      </c>
      <c r="L81" s="76">
        <v>0</v>
      </c>
      <c r="M81" s="76">
        <v>0</v>
      </c>
      <c r="N81" s="76">
        <v>0</v>
      </c>
      <c r="O81" s="76">
        <v>0</v>
      </c>
      <c r="P81" s="76">
        <v>0</v>
      </c>
      <c r="Q81" s="76">
        <v>0</v>
      </c>
      <c r="R81" s="76">
        <v>0</v>
      </c>
      <c r="S81" s="76">
        <v>0</v>
      </c>
      <c r="T81" s="76">
        <v>0</v>
      </c>
      <c r="U81" s="76">
        <v>0</v>
      </c>
      <c r="V81" s="76">
        <v>0</v>
      </c>
      <c r="W81" s="76">
        <v>0</v>
      </c>
      <c r="X81" s="76">
        <v>0</v>
      </c>
      <c r="Y81" s="76">
        <v>0</v>
      </c>
      <c r="Z81" s="76">
        <v>0</v>
      </c>
      <c r="AA81" s="76">
        <v>0</v>
      </c>
      <c r="AB81" s="76">
        <v>0</v>
      </c>
      <c r="AC81" s="76">
        <v>0</v>
      </c>
      <c r="AD81" s="76">
        <v>0</v>
      </c>
      <c r="AE81" s="76">
        <v>0</v>
      </c>
      <c r="AF81" s="76">
        <v>0</v>
      </c>
      <c r="AG81" s="76">
        <v>0</v>
      </c>
      <c r="AH81" s="76">
        <v>0</v>
      </c>
      <c r="AI81" s="76">
        <v>0</v>
      </c>
      <c r="AJ81" s="76">
        <v>0</v>
      </c>
      <c r="AK81" s="76">
        <v>0</v>
      </c>
      <c r="AL81" s="76">
        <v>0</v>
      </c>
      <c r="AM81" s="76">
        <v>0</v>
      </c>
      <c r="AN81" s="76">
        <v>0</v>
      </c>
      <c r="AO81" s="76">
        <v>0</v>
      </c>
      <c r="AP81" s="76">
        <v>0</v>
      </c>
      <c r="AQ81" s="76">
        <v>0</v>
      </c>
      <c r="AR81" s="76">
        <v>0</v>
      </c>
      <c r="AS81" s="76">
        <v>0</v>
      </c>
      <c r="AT81" s="76">
        <v>0</v>
      </c>
      <c r="AU81" s="76">
        <v>0</v>
      </c>
      <c r="AV81" s="76">
        <v>0</v>
      </c>
      <c r="AW81" s="76">
        <v>0</v>
      </c>
      <c r="AX81" s="76">
        <v>0</v>
      </c>
      <c r="AY81" s="76">
        <v>0</v>
      </c>
      <c r="AZ81" s="76">
        <v>0</v>
      </c>
      <c r="BA81" s="76">
        <v>0</v>
      </c>
      <c r="BB81" s="76">
        <v>0</v>
      </c>
    </row>
    <row r="82" spans="1:54" x14ac:dyDescent="0.25">
      <c r="A82" s="180"/>
      <c r="B82" s="76" t="s">
        <v>358</v>
      </c>
      <c r="C82" s="77" t="s">
        <v>362</v>
      </c>
      <c r="D82" s="76">
        <f>SUM(D79:D81)</f>
        <v>-3159.7999999999997</v>
      </c>
      <c r="E82" s="78">
        <f t="shared" ref="E82:BB82" si="436">SUM(E79:E81)</f>
        <v>121.9424232992</v>
      </c>
      <c r="F82" s="78">
        <f t="shared" si="436"/>
        <v>126.69817780786877</v>
      </c>
      <c r="G82" s="78">
        <f t="shared" si="436"/>
        <v>131.63940674237566</v>
      </c>
      <c r="H82" s="78">
        <f t="shared" si="436"/>
        <v>136.77334360532828</v>
      </c>
      <c r="I82" s="78">
        <f t="shared" si="436"/>
        <v>142.10750400593605</v>
      </c>
      <c r="J82" s="78">
        <f t="shared" si="436"/>
        <v>147.64969666216754</v>
      </c>
      <c r="K82" s="78">
        <f t="shared" si="436"/>
        <v>153.40803483199207</v>
      </c>
      <c r="L82" s="78">
        <f t="shared" si="436"/>
        <v>159.39094819043973</v>
      </c>
      <c r="M82" s="78">
        <f t="shared" si="436"/>
        <v>165.60719516986686</v>
      </c>
      <c r="N82" s="78">
        <f t="shared" si="436"/>
        <v>-4188.0046995679604</v>
      </c>
      <c r="O82" s="78">
        <f t="shared" si="436"/>
        <v>178.7764449369698</v>
      </c>
      <c r="P82" s="78">
        <f t="shared" si="436"/>
        <v>185.74872628951155</v>
      </c>
      <c r="Q82" s="78">
        <f t="shared" si="436"/>
        <v>192.99292661480251</v>
      </c>
      <c r="R82" s="78">
        <f t="shared" si="436"/>
        <v>200.51965075277974</v>
      </c>
      <c r="S82" s="78">
        <f t="shared" si="436"/>
        <v>208.33991713213817</v>
      </c>
      <c r="T82" s="78">
        <f t="shared" si="436"/>
        <v>216.46517390029152</v>
      </c>
      <c r="U82" s="78">
        <f t="shared" si="436"/>
        <v>224.9073156824029</v>
      </c>
      <c r="V82" s="78">
        <f t="shared" si="436"/>
        <v>233.67870099401657</v>
      </c>
      <c r="W82" s="78">
        <f t="shared" si="436"/>
        <v>242.79217033278314</v>
      </c>
      <c r="X82" s="78">
        <f t="shared" si="436"/>
        <v>-6139.9189167417035</v>
      </c>
      <c r="Y82" s="78">
        <f t="shared" si="436"/>
        <v>262.09924650981634</v>
      </c>
      <c r="Z82" s="78">
        <f t="shared" si="436"/>
        <v>272.32111712369908</v>
      </c>
      <c r="AA82" s="78">
        <f t="shared" si="436"/>
        <v>282.94164069152339</v>
      </c>
      <c r="AB82" s="78">
        <f t="shared" si="436"/>
        <v>293.97636467849276</v>
      </c>
      <c r="AC82" s="78">
        <f t="shared" si="436"/>
        <v>-1138.5802103896362</v>
      </c>
      <c r="AD82" s="78">
        <f t="shared" si="436"/>
        <v>317.35365917409109</v>
      </c>
      <c r="AE82" s="78">
        <f t="shared" si="436"/>
        <v>329.73045188188058</v>
      </c>
      <c r="AF82" s="78">
        <f t="shared" si="436"/>
        <v>342.58993950527383</v>
      </c>
      <c r="AG82" s="78">
        <f t="shared" si="436"/>
        <v>355.95094714597957</v>
      </c>
      <c r="AH82" s="78">
        <f t="shared" si="436"/>
        <v>-9001.5668578527693</v>
      </c>
      <c r="AI82" s="78">
        <f t="shared" si="436"/>
        <v>384.25652241397484</v>
      </c>
      <c r="AJ82" s="78">
        <f t="shared" si="436"/>
        <v>399.24252678811979</v>
      </c>
      <c r="AK82" s="78">
        <f t="shared" si="436"/>
        <v>414.81298533285644</v>
      </c>
      <c r="AL82" s="78">
        <f t="shared" si="436"/>
        <v>430.99069176083776</v>
      </c>
      <c r="AM82" s="78">
        <f t="shared" si="436"/>
        <v>447.79932873951043</v>
      </c>
      <c r="AN82" s="78">
        <f t="shared" si="436"/>
        <v>465.26350256035118</v>
      </c>
      <c r="AO82" s="78">
        <f t="shared" si="436"/>
        <v>483.40877916020486</v>
      </c>
      <c r="AP82" s="78">
        <f t="shared" si="436"/>
        <v>502.26172154745274</v>
      </c>
      <c r="AQ82" s="78">
        <f t="shared" si="436"/>
        <v>521.84992868780341</v>
      </c>
      <c r="AR82" s="78">
        <f t="shared" si="436"/>
        <v>-13196.950480152758</v>
      </c>
      <c r="AS82" s="78">
        <f t="shared" si="436"/>
        <v>563.34795686698612</v>
      </c>
      <c r="AT82" s="78">
        <f t="shared" si="436"/>
        <v>585.31852718479843</v>
      </c>
      <c r="AU82" s="78">
        <f t="shared" si="436"/>
        <v>608.14594974500551</v>
      </c>
      <c r="AV82" s="78">
        <f t="shared" si="436"/>
        <v>631.86364178506051</v>
      </c>
      <c r="AW82" s="78">
        <f t="shared" si="436"/>
        <v>656.5063238146779</v>
      </c>
      <c r="AX82" s="78">
        <f t="shared" si="436"/>
        <v>682.11007044345001</v>
      </c>
      <c r="AY82" s="78">
        <f t="shared" si="436"/>
        <v>708.71236319074467</v>
      </c>
      <c r="AZ82" s="78">
        <f t="shared" si="436"/>
        <v>736.35214535518367</v>
      </c>
      <c r="BA82" s="78">
        <f t="shared" si="436"/>
        <v>765.06987902403569</v>
      </c>
      <c r="BB82" s="78">
        <f t="shared" si="436"/>
        <v>794.907604305973</v>
      </c>
    </row>
    <row r="83" spans="1:54" x14ac:dyDescent="0.25">
      <c r="A83" s="180"/>
      <c r="B83" s="76" t="s">
        <v>359</v>
      </c>
      <c r="C83" s="77"/>
      <c r="D83" s="76">
        <f t="shared" ref="D83:AI83" si="437">(1+$C$2)^D$194</f>
        <v>1</v>
      </c>
      <c r="E83" s="79">
        <f t="shared" si="437"/>
        <v>1.1219999999999999</v>
      </c>
      <c r="F83" s="79">
        <f t="shared" si="437"/>
        <v>1.2588839999999997</v>
      </c>
      <c r="G83" s="79">
        <f t="shared" si="437"/>
        <v>1.4124678479999995</v>
      </c>
      <c r="H83" s="79">
        <f t="shared" si="437"/>
        <v>1.5847889254559993</v>
      </c>
      <c r="I83" s="79">
        <f t="shared" si="437"/>
        <v>1.7781331743616309</v>
      </c>
      <c r="J83" s="79">
        <f t="shared" si="437"/>
        <v>1.9950654216337496</v>
      </c>
      <c r="K83" s="79">
        <f t="shared" si="437"/>
        <v>2.2384634030730668</v>
      </c>
      <c r="L83" s="79">
        <f t="shared" si="437"/>
        <v>2.5115559382479806</v>
      </c>
      <c r="M83" s="79">
        <f t="shared" si="437"/>
        <v>2.817965762714234</v>
      </c>
      <c r="N83" s="79">
        <f t="shared" si="437"/>
        <v>3.1617575857653701</v>
      </c>
      <c r="O83" s="79">
        <f t="shared" si="437"/>
        <v>3.5474920112287447</v>
      </c>
      <c r="P83" s="79">
        <f t="shared" si="437"/>
        <v>3.9802860365986512</v>
      </c>
      <c r="Q83" s="79">
        <f t="shared" si="437"/>
        <v>4.4658809330636862</v>
      </c>
      <c r="R83" s="79">
        <f t="shared" si="437"/>
        <v>5.0107184068974551</v>
      </c>
      <c r="S83" s="79">
        <f t="shared" si="437"/>
        <v>5.6220260525389438</v>
      </c>
      <c r="T83" s="79">
        <f t="shared" si="437"/>
        <v>6.307913230948694</v>
      </c>
      <c r="U83" s="79">
        <f t="shared" si="437"/>
        <v>7.077478645124434</v>
      </c>
      <c r="V83" s="79">
        <f t="shared" si="437"/>
        <v>7.9409310398296133</v>
      </c>
      <c r="W83" s="79">
        <f t="shared" si="437"/>
        <v>8.9097246266888259</v>
      </c>
      <c r="X83" s="79">
        <f t="shared" si="437"/>
        <v>9.9967110311448621</v>
      </c>
      <c r="Y83" s="79">
        <f t="shared" si="437"/>
        <v>11.216309776944533</v>
      </c>
      <c r="Z83" s="79">
        <f t="shared" si="437"/>
        <v>12.584699569731765</v>
      </c>
      <c r="AA83" s="79">
        <f t="shared" si="437"/>
        <v>14.120032917239037</v>
      </c>
      <c r="AB83" s="79">
        <f t="shared" si="437"/>
        <v>15.842676933142199</v>
      </c>
      <c r="AC83" s="79">
        <f t="shared" si="437"/>
        <v>17.775483518985546</v>
      </c>
      <c r="AD83" s="79">
        <f t="shared" si="437"/>
        <v>19.944092508301779</v>
      </c>
      <c r="AE83" s="79">
        <f t="shared" si="437"/>
        <v>22.377271794314591</v>
      </c>
      <c r="AF83" s="79">
        <f t="shared" si="437"/>
        <v>25.107298953220969</v>
      </c>
      <c r="AG83" s="79">
        <f t="shared" si="437"/>
        <v>28.170389425513925</v>
      </c>
      <c r="AH83" s="79">
        <f t="shared" si="437"/>
        <v>31.607176935426619</v>
      </c>
      <c r="AI83" s="79">
        <f t="shared" si="437"/>
        <v>35.463252521548661</v>
      </c>
      <c r="AJ83" s="79">
        <f t="shared" ref="AJ83:BB83" si="438">(1+$C$2)^AJ$194</f>
        <v>39.789769329177595</v>
      </c>
      <c r="AK83" s="79">
        <f t="shared" si="438"/>
        <v>44.644121187337255</v>
      </c>
      <c r="AL83" s="79">
        <f t="shared" si="438"/>
        <v>50.090703972192394</v>
      </c>
      <c r="AM83" s="79">
        <f t="shared" si="438"/>
        <v>56.201769856799864</v>
      </c>
      <c r="AN83" s="79">
        <f t="shared" si="438"/>
        <v>63.058385779329434</v>
      </c>
      <c r="AO83" s="79">
        <f t="shared" si="438"/>
        <v>70.751508844407624</v>
      </c>
      <c r="AP83" s="79">
        <f t="shared" si="438"/>
        <v>79.383192923425341</v>
      </c>
      <c r="AQ83" s="79">
        <f t="shared" si="438"/>
        <v>89.067942460083216</v>
      </c>
      <c r="AR83" s="79">
        <f t="shared" si="438"/>
        <v>99.934231440213352</v>
      </c>
      <c r="AS83" s="79">
        <f t="shared" si="438"/>
        <v>112.12620767591937</v>
      </c>
      <c r="AT83" s="79">
        <f t="shared" si="438"/>
        <v>125.80560501238152</v>
      </c>
      <c r="AU83" s="79">
        <f t="shared" si="438"/>
        <v>141.15388882389203</v>
      </c>
      <c r="AV83" s="79">
        <f t="shared" si="438"/>
        <v>158.37466326040686</v>
      </c>
      <c r="AW83" s="79">
        <f t="shared" si="438"/>
        <v>177.69637217817649</v>
      </c>
      <c r="AX83" s="79">
        <f t="shared" si="438"/>
        <v>199.37532958391398</v>
      </c>
      <c r="AY83" s="79">
        <f t="shared" si="438"/>
        <v>223.69911979315145</v>
      </c>
      <c r="AZ83" s="79">
        <f t="shared" si="438"/>
        <v>250.9904124079159</v>
      </c>
      <c r="BA83" s="79">
        <f t="shared" si="438"/>
        <v>281.61124272168161</v>
      </c>
      <c r="BB83" s="79">
        <f t="shared" si="438"/>
        <v>315.96781433372672</v>
      </c>
    </row>
    <row r="84" spans="1:54" x14ac:dyDescent="0.25">
      <c r="A84" s="180"/>
      <c r="B84" s="76" t="s">
        <v>360</v>
      </c>
      <c r="C84" s="77" t="s">
        <v>362</v>
      </c>
      <c r="D84" s="76">
        <f>D82/D83</f>
        <v>-3159.7999999999997</v>
      </c>
      <c r="E84" s="78">
        <f>E82/E83</f>
        <v>108.6830867194296</v>
      </c>
      <c r="F84" s="78">
        <f>F82/F83</f>
        <v>100.64325053608498</v>
      </c>
      <c r="G84" s="78">
        <f t="shared" ref="G84:BB84" si="439">G82/G83</f>
        <v>93.19816159268477</v>
      </c>
      <c r="H84" s="78">
        <f t="shared" si="439"/>
        <v>86.303823435650145</v>
      </c>
      <c r="I84" s="78">
        <f t="shared" si="439"/>
        <v>79.919494251016488</v>
      </c>
      <c r="J84" s="78">
        <f t="shared" si="439"/>
        <v>74.00744610232276</v>
      </c>
      <c r="K84" s="78">
        <f t="shared" si="439"/>
        <v>68.532741978888893</v>
      </c>
      <c r="L84" s="78">
        <f t="shared" si="439"/>
        <v>63.463029336956829</v>
      </c>
      <c r="M84" s="78">
        <f t="shared" si="439"/>
        <v>58.768348913634711</v>
      </c>
      <c r="N84" s="78">
        <f t="shared" si="439"/>
        <v>-1324.5812134437135</v>
      </c>
      <c r="O84" s="78">
        <f t="shared" si="439"/>
        <v>50.395164913999906</v>
      </c>
      <c r="P84" s="78">
        <f t="shared" si="439"/>
        <v>46.667180343712914</v>
      </c>
      <c r="Q84" s="78">
        <f t="shared" si="439"/>
        <v>43.214973598144141</v>
      </c>
      <c r="R84" s="78">
        <f t="shared" si="439"/>
        <v>40.018144000420456</v>
      </c>
      <c r="S84" s="78">
        <f t="shared" si="439"/>
        <v>37.057800014649608</v>
      </c>
      <c r="T84" s="78">
        <f t="shared" si="439"/>
        <v>34.316447607148795</v>
      </c>
      <c r="U84" s="78">
        <f t="shared" si="439"/>
        <v>31.777886866156507</v>
      </c>
      <c r="V84" s="78">
        <f t="shared" si="439"/>
        <v>29.427116269105714</v>
      </c>
      <c r="W84" s="78">
        <f t="shared" si="439"/>
        <v>27.250244031729792</v>
      </c>
      <c r="X84" s="78">
        <f t="shared" si="439"/>
        <v>-614.19389813436828</v>
      </c>
      <c r="Y84" s="78">
        <f t="shared" si="439"/>
        <v>23.367689705625761</v>
      </c>
      <c r="Z84" s="78">
        <f t="shared" si="439"/>
        <v>21.639063818311193</v>
      </c>
      <c r="AA84" s="78">
        <f t="shared" si="439"/>
        <v>20.038313108043972</v>
      </c>
      <c r="AB84" s="78">
        <f t="shared" si="439"/>
        <v>18.555978002903466</v>
      </c>
      <c r="AC84" s="78">
        <f t="shared" si="439"/>
        <v>-64.053403057843539</v>
      </c>
      <c r="AD84" s="78">
        <f t="shared" si="439"/>
        <v>15.912163415908337</v>
      </c>
      <c r="AE84" s="78">
        <f t="shared" si="439"/>
        <v>14.735060418118326</v>
      </c>
      <c r="AF84" s="78">
        <f t="shared" si="439"/>
        <v>13.6450336670454</v>
      </c>
      <c r="AG84" s="78">
        <f t="shared" si="439"/>
        <v>12.635641693458265</v>
      </c>
      <c r="AH84" s="78">
        <f t="shared" si="439"/>
        <v>-284.79502855452569</v>
      </c>
      <c r="AI84" s="78">
        <f t="shared" si="439"/>
        <v>10.835343491984771</v>
      </c>
      <c r="AJ84" s="78">
        <f t="shared" si="439"/>
        <v>10.033798474306753</v>
      </c>
      <c r="AK84" s="78">
        <f t="shared" si="439"/>
        <v>9.2915477850309429</v>
      </c>
      <c r="AL84" s="78">
        <f t="shared" si="439"/>
        <v>8.6042051235714343</v>
      </c>
      <c r="AM84" s="78">
        <f t="shared" si="439"/>
        <v>7.9677086661236363</v>
      </c>
      <c r="AN84" s="78">
        <f t="shared" si="439"/>
        <v>7.3782970624799082</v>
      </c>
      <c r="AO84" s="78">
        <f t="shared" si="439"/>
        <v>6.8324872084818402</v>
      </c>
      <c r="AP84" s="78">
        <f t="shared" si="439"/>
        <v>6.3270536627563558</v>
      </c>
      <c r="AQ84" s="78">
        <f t="shared" si="439"/>
        <v>5.8590095860996927</v>
      </c>
      <c r="AR84" s="78">
        <f t="shared" si="439"/>
        <v>-132.05635636521572</v>
      </c>
      <c r="AS84" s="78">
        <f t="shared" si="439"/>
        <v>5.0242308960920363</v>
      </c>
      <c r="AT84" s="78">
        <f t="shared" si="439"/>
        <v>4.6525631916574195</v>
      </c>
      <c r="AU84" s="78">
        <f t="shared" si="439"/>
        <v>4.3083896222210871</v>
      </c>
      <c r="AV84" s="78">
        <f t="shared" si="439"/>
        <v>3.9896763079213082</v>
      </c>
      <c r="AW84" s="78">
        <f t="shared" si="439"/>
        <v>3.6945398252497679</v>
      </c>
      <c r="AX84" s="78">
        <f t="shared" si="439"/>
        <v>3.4212360770361032</v>
      </c>
      <c r="AY84" s="78">
        <f t="shared" si="439"/>
        <v>3.1681499857758579</v>
      </c>
      <c r="AZ84" s="78">
        <f t="shared" si="439"/>
        <v>2.9337859493949345</v>
      </c>
      <c r="BA84" s="78">
        <f t="shared" si="439"/>
        <v>2.7167590030493196</v>
      </c>
      <c r="BB84" s="78">
        <f t="shared" si="439"/>
        <v>2.5157866347310547</v>
      </c>
    </row>
    <row r="85" spans="1:54" x14ac:dyDescent="0.25">
      <c r="A85" s="180"/>
      <c r="B85" s="76" t="s">
        <v>645</v>
      </c>
      <c r="C85" s="77" t="s">
        <v>362</v>
      </c>
      <c r="D85" s="76">
        <f>D84</f>
        <v>-3159.7999999999997</v>
      </c>
      <c r="E85" s="78">
        <f>E84+D85</f>
        <v>-3051.1169132805703</v>
      </c>
      <c r="F85" s="78">
        <f t="shared" ref="F85" si="440">F84+E85</f>
        <v>-2950.4736627444854</v>
      </c>
      <c r="G85" s="78">
        <f t="shared" ref="G85" si="441">G84+F85</f>
        <v>-2857.2755011518007</v>
      </c>
      <c r="H85" s="78">
        <f t="shared" ref="H85" si="442">H84+G85</f>
        <v>-2770.9716777161507</v>
      </c>
      <c r="I85" s="78">
        <f t="shared" ref="I85" si="443">I84+H85</f>
        <v>-2691.052183465134</v>
      </c>
      <c r="J85" s="78">
        <f t="shared" ref="J85" si="444">J84+I85</f>
        <v>-2617.0447373628112</v>
      </c>
      <c r="K85" s="78">
        <f t="shared" ref="K85" si="445">K84+J85</f>
        <v>-2548.5119953839226</v>
      </c>
      <c r="L85" s="78">
        <f t="shared" ref="L85" si="446">L84+K85</f>
        <v>-2485.0489660469657</v>
      </c>
      <c r="M85" s="78">
        <f t="shared" ref="M85" si="447">M84+L85</f>
        <v>-2426.2806171333309</v>
      </c>
      <c r="N85" s="78">
        <f t="shared" ref="N85" si="448">N84+M85</f>
        <v>-3750.8618305770442</v>
      </c>
      <c r="O85" s="78">
        <f t="shared" ref="O85" si="449">O84+N85</f>
        <v>-3700.4666656630443</v>
      </c>
      <c r="P85" s="78">
        <f t="shared" ref="P85" si="450">P84+O85</f>
        <v>-3653.7994853193313</v>
      </c>
      <c r="Q85" s="78">
        <f t="shared" ref="Q85" si="451">Q84+P85</f>
        <v>-3610.584511721187</v>
      </c>
      <c r="R85" s="78">
        <f t="shared" ref="R85" si="452">R84+Q85</f>
        <v>-3570.5663677207667</v>
      </c>
      <c r="S85" s="78">
        <f t="shared" ref="S85" si="453">S84+R85</f>
        <v>-3533.508567706117</v>
      </c>
      <c r="T85" s="78">
        <f t="shared" ref="T85" si="454">T84+S85</f>
        <v>-3499.1921200989682</v>
      </c>
      <c r="U85" s="78">
        <f t="shared" ref="U85" si="455">U84+T85</f>
        <v>-3467.4142332328115</v>
      </c>
      <c r="V85" s="78">
        <f t="shared" ref="V85" si="456">V84+U85</f>
        <v>-3437.9871169637058</v>
      </c>
      <c r="W85" s="78">
        <f t="shared" ref="W85" si="457">W84+V85</f>
        <v>-3410.736872931976</v>
      </c>
      <c r="X85" s="78">
        <f t="shared" ref="X85" si="458">X84+W85</f>
        <v>-4024.9307710663443</v>
      </c>
      <c r="Y85" s="78">
        <f t="shared" ref="Y85" si="459">Y84+X85</f>
        <v>-4001.5630813607186</v>
      </c>
      <c r="Z85" s="78">
        <f t="shared" ref="Z85" si="460">Z84+Y85</f>
        <v>-3979.9240175424075</v>
      </c>
      <c r="AA85" s="78">
        <f t="shared" ref="AA85" si="461">AA84+Z85</f>
        <v>-3959.8857044343636</v>
      </c>
      <c r="AB85" s="78">
        <f t="shared" ref="AB85" si="462">AB84+AA85</f>
        <v>-3941.3297264314601</v>
      </c>
      <c r="AC85" s="78">
        <f t="shared" ref="AC85" si="463">AC84+AB85</f>
        <v>-4005.3831294893039</v>
      </c>
      <c r="AD85" s="78">
        <f t="shared" ref="AD85" si="464">AD84+AC85</f>
        <v>-3989.4709660733956</v>
      </c>
      <c r="AE85" s="78">
        <f t="shared" ref="AE85" si="465">AE84+AD85</f>
        <v>-3974.7359056552773</v>
      </c>
      <c r="AF85" s="78">
        <f t="shared" ref="AF85" si="466">AF84+AE85</f>
        <v>-3961.0908719882318</v>
      </c>
      <c r="AG85" s="78">
        <f t="shared" ref="AG85" si="467">AG84+AF85</f>
        <v>-3948.4552302947736</v>
      </c>
      <c r="AH85" s="78">
        <f t="shared" ref="AH85" si="468">AH84+AG85</f>
        <v>-4233.2502588492989</v>
      </c>
      <c r="AI85" s="78">
        <f t="shared" ref="AI85" si="469">AI84+AH85</f>
        <v>-4222.4149153573144</v>
      </c>
      <c r="AJ85" s="78">
        <f t="shared" ref="AJ85" si="470">AJ84+AI85</f>
        <v>-4212.381116883008</v>
      </c>
      <c r="AK85" s="78">
        <f t="shared" ref="AK85" si="471">AK84+AJ85</f>
        <v>-4203.0895690979769</v>
      </c>
      <c r="AL85" s="78">
        <f t="shared" ref="AL85" si="472">AL84+AK85</f>
        <v>-4194.4853639744051</v>
      </c>
      <c r="AM85" s="78">
        <f t="shared" ref="AM85" si="473">AM84+AL85</f>
        <v>-4186.5176553082811</v>
      </c>
      <c r="AN85" s="78">
        <f t="shared" ref="AN85" si="474">AN84+AM85</f>
        <v>-4179.1393582458013</v>
      </c>
      <c r="AO85" s="78">
        <f t="shared" ref="AO85" si="475">AO84+AN85</f>
        <v>-4172.3068710373191</v>
      </c>
      <c r="AP85" s="78">
        <f t="shared" ref="AP85" si="476">AP84+AO85</f>
        <v>-4165.979817374563</v>
      </c>
      <c r="AQ85" s="78">
        <f t="shared" ref="AQ85" si="477">AQ84+AP85</f>
        <v>-4160.120807788463</v>
      </c>
      <c r="AR85" s="78">
        <f t="shared" ref="AR85" si="478">AR84+AQ85</f>
        <v>-4292.1771641536789</v>
      </c>
      <c r="AS85" s="78">
        <f t="shared" ref="AS85" si="479">AS84+AR85</f>
        <v>-4287.1529332575865</v>
      </c>
      <c r="AT85" s="78">
        <f t="shared" ref="AT85" si="480">AT84+AS85</f>
        <v>-4282.500370065929</v>
      </c>
      <c r="AU85" s="78">
        <f t="shared" ref="AU85" si="481">AU84+AT85</f>
        <v>-4278.1919804437075</v>
      </c>
      <c r="AV85" s="78">
        <f t="shared" ref="AV85" si="482">AV84+AU85</f>
        <v>-4274.2023041357861</v>
      </c>
      <c r="AW85" s="78">
        <f t="shared" ref="AW85" si="483">AW84+AV85</f>
        <v>-4270.507764310536</v>
      </c>
      <c r="AX85" s="78">
        <f t="shared" ref="AX85" si="484">AX84+AW85</f>
        <v>-4267.0865282334998</v>
      </c>
      <c r="AY85" s="78">
        <f t="shared" ref="AY85" si="485">AY84+AX85</f>
        <v>-4263.9183782477239</v>
      </c>
      <c r="AZ85" s="78">
        <f t="shared" ref="AZ85" si="486">AZ84+AY85</f>
        <v>-4260.9845922983286</v>
      </c>
      <c r="BA85" s="78">
        <f t="shared" ref="BA85" si="487">BA84+AZ85</f>
        <v>-4258.2678332952792</v>
      </c>
      <c r="BB85" s="78">
        <f t="shared" ref="BB85" si="488">BB84+BA85</f>
        <v>-4255.7520466605483</v>
      </c>
    </row>
    <row r="86" spans="1:54" x14ac:dyDescent="0.25">
      <c r="A86" s="180"/>
      <c r="B86" s="80" t="s">
        <v>361</v>
      </c>
      <c r="C86" s="81" t="s">
        <v>362</v>
      </c>
      <c r="D86" s="92">
        <f>SUM(D84:BB84)</f>
        <v>-4255.7520466605483</v>
      </c>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row>
    <row r="87" spans="1:54" x14ac:dyDescent="0.25">
      <c r="A87" s="180" t="s">
        <v>854</v>
      </c>
      <c r="B87" s="76" t="s">
        <v>363</v>
      </c>
      <c r="C87" s="77" t="s">
        <v>362</v>
      </c>
      <c r="D87" s="78">
        <f>-South_Facade_PV!$B$28/South_Facade_PV!$B$7</f>
        <v>-1151.2</v>
      </c>
      <c r="E87" s="76">
        <v>0</v>
      </c>
      <c r="F87" s="76">
        <v>0</v>
      </c>
      <c r="G87" s="76">
        <v>0</v>
      </c>
      <c r="H87" s="76">
        <v>0</v>
      </c>
      <c r="I87" s="76">
        <v>0</v>
      </c>
      <c r="J87" s="76">
        <v>0</v>
      </c>
      <c r="K87" s="76">
        <v>0</v>
      </c>
      <c r="L87" s="76">
        <v>0</v>
      </c>
      <c r="M87" s="76">
        <v>0</v>
      </c>
      <c r="N87" s="76">
        <f>-((South_Facade_PV!$B$34*South_Facade_PV!$B$19)/South_Facade_PV!$B$7)*(1+$C$1)^N$194</f>
        <v>-669.26213950565409</v>
      </c>
      <c r="O87" s="76">
        <v>0</v>
      </c>
      <c r="P87" s="76">
        <v>0</v>
      </c>
      <c r="Q87" s="76">
        <v>0</v>
      </c>
      <c r="R87" s="76">
        <v>0</v>
      </c>
      <c r="S87" s="76">
        <v>0</v>
      </c>
      <c r="T87" s="76">
        <v>0</v>
      </c>
      <c r="U87" s="76">
        <v>0</v>
      </c>
      <c r="V87" s="76">
        <v>0</v>
      </c>
      <c r="W87" s="76">
        <v>0</v>
      </c>
      <c r="X87" s="76">
        <f>-((South_Facade_PV!$B$34*South_Facade_PV!$B$19)/South_Facade_PV!$B$7)*(1+$C$1)^X$194</f>
        <v>-981.1868814363321</v>
      </c>
      <c r="Y87" s="76">
        <v>0</v>
      </c>
      <c r="Z87" s="76">
        <v>0</v>
      </c>
      <c r="AA87" s="76">
        <v>0</v>
      </c>
      <c r="AB87" s="76">
        <v>0</v>
      </c>
      <c r="AC87" s="76">
        <f>-(South_Facade_PV!$B$35*South_Facade_PV!$B$19/South_Facade_PV!$B$7)*(1+$C$1)^X$194</f>
        <v>-1444.0216532905902</v>
      </c>
      <c r="AD87" s="76">
        <v>0</v>
      </c>
      <c r="AE87" s="76">
        <v>0</v>
      </c>
      <c r="AF87" s="76">
        <v>0</v>
      </c>
      <c r="AG87" s="76">
        <v>0</v>
      </c>
      <c r="AH87" s="76">
        <f>-((South_Facade_PV!$B$34*South_Facade_PV!$B$19)/South_Facade_PV!$B$7)*(1+$C$1)^AH$194</f>
        <v>-1438.4911972069224</v>
      </c>
      <c r="AI87" s="76">
        <v>0</v>
      </c>
      <c r="AJ87" s="76">
        <v>0</v>
      </c>
      <c r="AK87" s="76">
        <v>0</v>
      </c>
      <c r="AL87" s="76">
        <v>0</v>
      </c>
      <c r="AM87" s="76">
        <v>0</v>
      </c>
      <c r="AN87" s="76">
        <v>0</v>
      </c>
      <c r="AO87" s="76">
        <v>0</v>
      </c>
      <c r="AP87" s="76">
        <v>0</v>
      </c>
      <c r="AQ87" s="76">
        <v>0</v>
      </c>
      <c r="AR87" s="76">
        <f>-((South_Facade_PV!$B$34*South_Facade_PV!$B$19)/South_Facade_PV!$B$7)*(1+$C$1)^AR$194</f>
        <v>-2108.9325220213686</v>
      </c>
      <c r="AS87" s="76">
        <v>0</v>
      </c>
      <c r="AT87" s="76">
        <v>0</v>
      </c>
      <c r="AU87" s="76">
        <v>0</v>
      </c>
      <c r="AV87" s="76">
        <v>0</v>
      </c>
      <c r="AW87" s="76">
        <v>0</v>
      </c>
      <c r="AX87" s="76">
        <v>0</v>
      </c>
      <c r="AY87" s="76">
        <v>0</v>
      </c>
      <c r="AZ87" s="76">
        <v>0</v>
      </c>
      <c r="BA87" s="76">
        <v>0</v>
      </c>
      <c r="BB87" s="76">
        <v>0</v>
      </c>
    </row>
    <row r="88" spans="1:54" x14ac:dyDescent="0.25">
      <c r="A88" s="180"/>
      <c r="B88" s="76" t="s">
        <v>356</v>
      </c>
      <c r="C88" s="77" t="s">
        <v>362</v>
      </c>
      <c r="D88" s="76">
        <v>0</v>
      </c>
      <c r="E88" s="78">
        <f>ABS('Annual Calculations'!$Q$14)*(1+$C$3)^E$194</f>
        <v>121.9424232992</v>
      </c>
      <c r="F88" s="78">
        <f>ABS('Annual Calculations'!$Q$14)*(1+$C$3)^F$194</f>
        <v>126.69817780786877</v>
      </c>
      <c r="G88" s="78">
        <f>ABS('Annual Calculations'!$Q$14)*(1+$C$3)^G$194</f>
        <v>131.63940674237566</v>
      </c>
      <c r="H88" s="78">
        <f>ABS('Annual Calculations'!$Q$14)*(1+$C$3)^H$194</f>
        <v>136.77334360532828</v>
      </c>
      <c r="I88" s="78">
        <f>ABS('Annual Calculations'!$Q$14)*(1+$C$3)^I$194</f>
        <v>142.10750400593605</v>
      </c>
      <c r="J88" s="78">
        <f>ABS('Annual Calculations'!$Q$14)*(1+$C$3)^J$194</f>
        <v>147.64969666216754</v>
      </c>
      <c r="K88" s="78">
        <f>ABS('Annual Calculations'!$Q$14)*(1+$C$3)^K$194</f>
        <v>153.40803483199207</v>
      </c>
      <c r="L88" s="78">
        <f>ABS('Annual Calculations'!$Q$14)*(1+$C$3)^L$194</f>
        <v>159.39094819043973</v>
      </c>
      <c r="M88" s="78">
        <f>ABS('Annual Calculations'!$Q$14)*(1+$C$3)^M$194</f>
        <v>165.60719516986686</v>
      </c>
      <c r="N88" s="78">
        <f>ABS('Annual Calculations'!$Q$14)*(1+$C$3)^N$194</f>
        <v>172.06587578149163</v>
      </c>
      <c r="O88" s="78">
        <f>ABS('Annual Calculations'!$Q$14)*(1+$C$3)^O$194</f>
        <v>178.7764449369698</v>
      </c>
      <c r="P88" s="78">
        <f>ABS('Annual Calculations'!$Q$14)*(1+$C$3)^P$194</f>
        <v>185.74872628951155</v>
      </c>
      <c r="Q88" s="78">
        <f>ABS('Annual Calculations'!$Q$14)*(1+$C$3)^Q$194</f>
        <v>192.99292661480251</v>
      </c>
      <c r="R88" s="78">
        <f>ABS('Annual Calculations'!$Q$14)*(1+$C$3)^R$194</f>
        <v>200.51965075277974</v>
      </c>
      <c r="S88" s="78">
        <f>ABS('Annual Calculations'!$Q$14)*(1+$C$3)^S$194</f>
        <v>208.33991713213817</v>
      </c>
      <c r="T88" s="78">
        <f>ABS('Annual Calculations'!$Q$14)*(1+$C$3)^T$194</f>
        <v>216.46517390029152</v>
      </c>
      <c r="U88" s="78">
        <f>ABS('Annual Calculations'!$Q$14)*(1+$C$3)^U$194</f>
        <v>224.9073156824029</v>
      </c>
      <c r="V88" s="78">
        <f>ABS('Annual Calculations'!$Q$14)*(1+$C$3)^V$194</f>
        <v>233.67870099401657</v>
      </c>
      <c r="W88" s="78">
        <f>ABS('Annual Calculations'!$Q$14)*(1+$C$3)^W$194</f>
        <v>242.79217033278314</v>
      </c>
      <c r="X88" s="78">
        <f>ABS('Annual Calculations'!$Q$14)*(1+$C$3)^X$194</f>
        <v>252.26106497576166</v>
      </c>
      <c r="Y88" s="78">
        <f>ABS('Annual Calculations'!$Q$14)*(1+$C$3)^Y$194</f>
        <v>262.09924650981634</v>
      </c>
      <c r="Z88" s="78">
        <f>ABS('Annual Calculations'!$Q$14)*(1+$C$3)^Z$194</f>
        <v>272.32111712369908</v>
      </c>
      <c r="AA88" s="78">
        <f>ABS('Annual Calculations'!$Q$14)*(1+$C$3)^AA$194</f>
        <v>282.94164069152339</v>
      </c>
      <c r="AB88" s="78">
        <f>ABS('Annual Calculations'!$Q$14)*(1+$C$3)^AB$194</f>
        <v>293.97636467849276</v>
      </c>
      <c r="AC88" s="78">
        <f>ABS('Annual Calculations'!$Q$14)*(1+$C$3)^AC$194</f>
        <v>305.44144290095397</v>
      </c>
      <c r="AD88" s="78">
        <f>ABS('Annual Calculations'!$Q$14)*(1+$C$3)^AD$194</f>
        <v>317.35365917409109</v>
      </c>
      <c r="AE88" s="78">
        <f>ABS('Annual Calculations'!$Q$14)*(1+$C$3)^AE$194</f>
        <v>329.73045188188058</v>
      </c>
      <c r="AF88" s="78">
        <f>ABS('Annual Calculations'!$Q$14)*(1+$C$3)^AF$194</f>
        <v>342.58993950527383</v>
      </c>
      <c r="AG88" s="78">
        <f>ABS('Annual Calculations'!$Q$14)*(1+$C$3)^AG$194</f>
        <v>355.95094714597957</v>
      </c>
      <c r="AH88" s="78">
        <f>ABS('Annual Calculations'!$Q$14)*(1+$C$3)^AH$194</f>
        <v>369.83303408467259</v>
      </c>
      <c r="AI88" s="78">
        <f>ABS('Annual Calculations'!$Q$14)*(1+$C$3)^AI$194</f>
        <v>384.25652241397484</v>
      </c>
      <c r="AJ88" s="78">
        <f>ABS('Annual Calculations'!$Q$14)*(1+$C$3)^AJ$194</f>
        <v>399.24252678811979</v>
      </c>
      <c r="AK88" s="78">
        <f>ABS('Annual Calculations'!$Q$14)*(1+$C$3)^AK$194</f>
        <v>414.81298533285644</v>
      </c>
      <c r="AL88" s="78">
        <f>ABS('Annual Calculations'!$Q$14)*(1+$C$3)^AL$194</f>
        <v>430.99069176083776</v>
      </c>
      <c r="AM88" s="78">
        <f>ABS('Annual Calculations'!$Q$14)*(1+$C$3)^AM$194</f>
        <v>447.79932873951043</v>
      </c>
      <c r="AN88" s="78">
        <f>ABS('Annual Calculations'!$Q$14)*(1+$C$3)^AN$194</f>
        <v>465.26350256035118</v>
      </c>
      <c r="AO88" s="78">
        <f>ABS('Annual Calculations'!$Q$14)*(1+$C$3)^AO$194</f>
        <v>483.40877916020486</v>
      </c>
      <c r="AP88" s="78">
        <f>ABS('Annual Calculations'!$Q$14)*(1+$C$3)^AP$194</f>
        <v>502.26172154745274</v>
      </c>
      <c r="AQ88" s="78">
        <f>ABS('Annual Calculations'!$Q$14)*(1+$C$3)^AQ$194</f>
        <v>521.84992868780341</v>
      </c>
      <c r="AR88" s="78">
        <f>ABS('Annual Calculations'!$Q$14)*(1+$C$3)^AR$194</f>
        <v>542.20207590662756</v>
      </c>
      <c r="AS88" s="78">
        <f>ABS('Annual Calculations'!$Q$14)*(1+$C$3)^AS$194</f>
        <v>563.34795686698612</v>
      </c>
      <c r="AT88" s="78">
        <f>ABS('Annual Calculations'!$Q$14)*(1+$C$3)^AT$194</f>
        <v>585.31852718479843</v>
      </c>
      <c r="AU88" s="78">
        <f>ABS('Annual Calculations'!$Q$14)*(1+$C$3)^AU$194</f>
        <v>608.14594974500551</v>
      </c>
      <c r="AV88" s="78">
        <f>ABS('Annual Calculations'!$Q$14)*(1+$C$3)^AV$194</f>
        <v>631.86364178506051</v>
      </c>
      <c r="AW88" s="78">
        <f>ABS('Annual Calculations'!$Q$14)*(1+$C$3)^AW$194</f>
        <v>656.5063238146779</v>
      </c>
      <c r="AX88" s="78">
        <f>ABS('Annual Calculations'!$Q$14)*(1+$C$3)^AX$194</f>
        <v>682.11007044345001</v>
      </c>
      <c r="AY88" s="78">
        <f>ABS('Annual Calculations'!$Q$14)*(1+$C$3)^AY$194</f>
        <v>708.71236319074467</v>
      </c>
      <c r="AZ88" s="78">
        <f>ABS('Annual Calculations'!$Q$14)*(1+$C$3)^AZ$194</f>
        <v>736.35214535518367</v>
      </c>
      <c r="BA88" s="78">
        <f>ABS('Annual Calculations'!$Q$14)*(1+$C$3)^BA$194</f>
        <v>765.06987902403569</v>
      </c>
      <c r="BB88" s="78">
        <f>ABS('Annual Calculations'!$Q$14)*(1+$C$3)^BB$194</f>
        <v>794.907604305973</v>
      </c>
    </row>
    <row r="89" spans="1:54" x14ac:dyDescent="0.25">
      <c r="A89" s="180"/>
      <c r="B89" s="76" t="s">
        <v>357</v>
      </c>
      <c r="C89" s="77" t="s">
        <v>362</v>
      </c>
      <c r="D89" s="76">
        <v>0</v>
      </c>
      <c r="E89" s="76">
        <v>0</v>
      </c>
      <c r="F89" s="76">
        <v>0</v>
      </c>
      <c r="G89" s="76">
        <v>0</v>
      </c>
      <c r="H89" s="76">
        <v>0</v>
      </c>
      <c r="I89" s="76">
        <v>0</v>
      </c>
      <c r="J89" s="76">
        <v>0</v>
      </c>
      <c r="K89" s="76">
        <v>0</v>
      </c>
      <c r="L89" s="76">
        <v>0</v>
      </c>
      <c r="M89" s="76">
        <v>0</v>
      </c>
      <c r="N89" s="76">
        <v>0</v>
      </c>
      <c r="O89" s="76">
        <v>0</v>
      </c>
      <c r="P89" s="76">
        <v>0</v>
      </c>
      <c r="Q89" s="76">
        <v>0</v>
      </c>
      <c r="R89" s="76">
        <v>0</v>
      </c>
      <c r="S89" s="76">
        <v>0</v>
      </c>
      <c r="T89" s="76">
        <v>0</v>
      </c>
      <c r="U89" s="76">
        <v>0</v>
      </c>
      <c r="V89" s="76">
        <v>0</v>
      </c>
      <c r="W89" s="76">
        <v>0</v>
      </c>
      <c r="X89" s="76">
        <v>0</v>
      </c>
      <c r="Y89" s="76">
        <v>0</v>
      </c>
      <c r="Z89" s="76">
        <v>0</v>
      </c>
      <c r="AA89" s="76">
        <v>0</v>
      </c>
      <c r="AB89" s="76">
        <v>0</v>
      </c>
      <c r="AC89" s="76">
        <v>0</v>
      </c>
      <c r="AD89" s="76">
        <v>0</v>
      </c>
      <c r="AE89" s="76">
        <v>0</v>
      </c>
      <c r="AF89" s="76">
        <v>0</v>
      </c>
      <c r="AG89" s="76">
        <v>0</v>
      </c>
      <c r="AH89" s="76">
        <v>0</v>
      </c>
      <c r="AI89" s="76">
        <v>0</v>
      </c>
      <c r="AJ89" s="76">
        <v>0</v>
      </c>
      <c r="AK89" s="76">
        <v>0</v>
      </c>
      <c r="AL89" s="76">
        <v>0</v>
      </c>
      <c r="AM89" s="76">
        <v>0</v>
      </c>
      <c r="AN89" s="76">
        <v>0</v>
      </c>
      <c r="AO89" s="76">
        <v>0</v>
      </c>
      <c r="AP89" s="76">
        <v>0</v>
      </c>
      <c r="AQ89" s="76">
        <v>0</v>
      </c>
      <c r="AR89" s="76">
        <v>0</v>
      </c>
      <c r="AS89" s="76">
        <v>0</v>
      </c>
      <c r="AT89" s="76">
        <v>0</v>
      </c>
      <c r="AU89" s="76">
        <v>0</v>
      </c>
      <c r="AV89" s="76">
        <v>0</v>
      </c>
      <c r="AW89" s="76">
        <v>0</v>
      </c>
      <c r="AX89" s="76">
        <v>0</v>
      </c>
      <c r="AY89" s="76">
        <v>0</v>
      </c>
      <c r="AZ89" s="76">
        <v>0</v>
      </c>
      <c r="BA89" s="76">
        <v>0</v>
      </c>
      <c r="BB89" s="76">
        <v>0</v>
      </c>
    </row>
    <row r="90" spans="1:54" x14ac:dyDescent="0.25">
      <c r="A90" s="180"/>
      <c r="B90" s="76" t="s">
        <v>358</v>
      </c>
      <c r="C90" s="77" t="s">
        <v>362</v>
      </c>
      <c r="D90" s="76">
        <f>SUM(D87:D89)</f>
        <v>-1151.2</v>
      </c>
      <c r="E90" s="78">
        <f t="shared" ref="E90:BB90" si="489">SUM(E87:E89)</f>
        <v>121.9424232992</v>
      </c>
      <c r="F90" s="78">
        <f t="shared" si="489"/>
        <v>126.69817780786877</v>
      </c>
      <c r="G90" s="78">
        <f t="shared" si="489"/>
        <v>131.63940674237566</v>
      </c>
      <c r="H90" s="78">
        <f t="shared" si="489"/>
        <v>136.77334360532828</v>
      </c>
      <c r="I90" s="78">
        <f t="shared" si="489"/>
        <v>142.10750400593605</v>
      </c>
      <c r="J90" s="78">
        <f t="shared" si="489"/>
        <v>147.64969666216754</v>
      </c>
      <c r="K90" s="78">
        <f t="shared" si="489"/>
        <v>153.40803483199207</v>
      </c>
      <c r="L90" s="78">
        <f t="shared" si="489"/>
        <v>159.39094819043973</v>
      </c>
      <c r="M90" s="78">
        <f t="shared" si="489"/>
        <v>165.60719516986686</v>
      </c>
      <c r="N90" s="78">
        <f t="shared" si="489"/>
        <v>-497.19626372416246</v>
      </c>
      <c r="O90" s="78">
        <f t="shared" si="489"/>
        <v>178.7764449369698</v>
      </c>
      <c r="P90" s="78">
        <f t="shared" si="489"/>
        <v>185.74872628951155</v>
      </c>
      <c r="Q90" s="78">
        <f t="shared" si="489"/>
        <v>192.99292661480251</v>
      </c>
      <c r="R90" s="78">
        <f t="shared" si="489"/>
        <v>200.51965075277974</v>
      </c>
      <c r="S90" s="78">
        <f t="shared" si="489"/>
        <v>208.33991713213817</v>
      </c>
      <c r="T90" s="78">
        <f t="shared" si="489"/>
        <v>216.46517390029152</v>
      </c>
      <c r="U90" s="78">
        <f t="shared" si="489"/>
        <v>224.9073156824029</v>
      </c>
      <c r="V90" s="78">
        <f t="shared" si="489"/>
        <v>233.67870099401657</v>
      </c>
      <c r="W90" s="78">
        <f t="shared" si="489"/>
        <v>242.79217033278314</v>
      </c>
      <c r="X90" s="78">
        <f t="shared" si="489"/>
        <v>-728.92581646057045</v>
      </c>
      <c r="Y90" s="78">
        <f t="shared" si="489"/>
        <v>262.09924650981634</v>
      </c>
      <c r="Z90" s="78">
        <f t="shared" si="489"/>
        <v>272.32111712369908</v>
      </c>
      <c r="AA90" s="78">
        <f t="shared" si="489"/>
        <v>282.94164069152339</v>
      </c>
      <c r="AB90" s="78">
        <f t="shared" si="489"/>
        <v>293.97636467849276</v>
      </c>
      <c r="AC90" s="78">
        <f t="shared" si="489"/>
        <v>-1138.5802103896362</v>
      </c>
      <c r="AD90" s="78">
        <f t="shared" si="489"/>
        <v>317.35365917409109</v>
      </c>
      <c r="AE90" s="78">
        <f t="shared" si="489"/>
        <v>329.73045188188058</v>
      </c>
      <c r="AF90" s="78">
        <f t="shared" si="489"/>
        <v>342.58993950527383</v>
      </c>
      <c r="AG90" s="78">
        <f t="shared" si="489"/>
        <v>355.95094714597957</v>
      </c>
      <c r="AH90" s="78">
        <f t="shared" si="489"/>
        <v>-1068.6581631222498</v>
      </c>
      <c r="AI90" s="78">
        <f t="shared" si="489"/>
        <v>384.25652241397484</v>
      </c>
      <c r="AJ90" s="78">
        <f t="shared" si="489"/>
        <v>399.24252678811979</v>
      </c>
      <c r="AK90" s="78">
        <f t="shared" si="489"/>
        <v>414.81298533285644</v>
      </c>
      <c r="AL90" s="78">
        <f t="shared" si="489"/>
        <v>430.99069176083776</v>
      </c>
      <c r="AM90" s="78">
        <f t="shared" si="489"/>
        <v>447.79932873951043</v>
      </c>
      <c r="AN90" s="78">
        <f t="shared" si="489"/>
        <v>465.26350256035118</v>
      </c>
      <c r="AO90" s="78">
        <f t="shared" si="489"/>
        <v>483.40877916020486</v>
      </c>
      <c r="AP90" s="78">
        <f t="shared" si="489"/>
        <v>502.26172154745274</v>
      </c>
      <c r="AQ90" s="78">
        <f t="shared" si="489"/>
        <v>521.84992868780341</v>
      </c>
      <c r="AR90" s="78">
        <f t="shared" si="489"/>
        <v>-1566.730446114741</v>
      </c>
      <c r="AS90" s="78">
        <f t="shared" si="489"/>
        <v>563.34795686698612</v>
      </c>
      <c r="AT90" s="78">
        <f t="shared" si="489"/>
        <v>585.31852718479843</v>
      </c>
      <c r="AU90" s="78">
        <f t="shared" si="489"/>
        <v>608.14594974500551</v>
      </c>
      <c r="AV90" s="78">
        <f t="shared" si="489"/>
        <v>631.86364178506051</v>
      </c>
      <c r="AW90" s="78">
        <f t="shared" si="489"/>
        <v>656.5063238146779</v>
      </c>
      <c r="AX90" s="78">
        <f t="shared" si="489"/>
        <v>682.11007044345001</v>
      </c>
      <c r="AY90" s="78">
        <f t="shared" si="489"/>
        <v>708.71236319074467</v>
      </c>
      <c r="AZ90" s="78">
        <f t="shared" si="489"/>
        <v>736.35214535518367</v>
      </c>
      <c r="BA90" s="78">
        <f t="shared" si="489"/>
        <v>765.06987902403569</v>
      </c>
      <c r="BB90" s="78">
        <f t="shared" si="489"/>
        <v>794.907604305973</v>
      </c>
    </row>
    <row r="91" spans="1:54" x14ac:dyDescent="0.25">
      <c r="A91" s="180"/>
      <c r="B91" s="76" t="s">
        <v>359</v>
      </c>
      <c r="C91" s="77"/>
      <c r="D91" s="76">
        <f t="shared" ref="D91:AI91" si="490">(1+$C$2)^D$194</f>
        <v>1</v>
      </c>
      <c r="E91" s="79">
        <f t="shared" si="490"/>
        <v>1.1219999999999999</v>
      </c>
      <c r="F91" s="79">
        <f t="shared" si="490"/>
        <v>1.2588839999999997</v>
      </c>
      <c r="G91" s="79">
        <f t="shared" si="490"/>
        <v>1.4124678479999995</v>
      </c>
      <c r="H91" s="79">
        <f t="shared" si="490"/>
        <v>1.5847889254559993</v>
      </c>
      <c r="I91" s="79">
        <f t="shared" si="490"/>
        <v>1.7781331743616309</v>
      </c>
      <c r="J91" s="79">
        <f t="shared" si="490"/>
        <v>1.9950654216337496</v>
      </c>
      <c r="K91" s="79">
        <f t="shared" si="490"/>
        <v>2.2384634030730668</v>
      </c>
      <c r="L91" s="79">
        <f t="shared" si="490"/>
        <v>2.5115559382479806</v>
      </c>
      <c r="M91" s="79">
        <f t="shared" si="490"/>
        <v>2.817965762714234</v>
      </c>
      <c r="N91" s="79">
        <f t="shared" si="490"/>
        <v>3.1617575857653701</v>
      </c>
      <c r="O91" s="79">
        <f t="shared" si="490"/>
        <v>3.5474920112287447</v>
      </c>
      <c r="P91" s="79">
        <f t="shared" si="490"/>
        <v>3.9802860365986512</v>
      </c>
      <c r="Q91" s="79">
        <f t="shared" si="490"/>
        <v>4.4658809330636862</v>
      </c>
      <c r="R91" s="79">
        <f t="shared" si="490"/>
        <v>5.0107184068974551</v>
      </c>
      <c r="S91" s="79">
        <f t="shared" si="490"/>
        <v>5.6220260525389438</v>
      </c>
      <c r="T91" s="79">
        <f t="shared" si="490"/>
        <v>6.307913230948694</v>
      </c>
      <c r="U91" s="79">
        <f t="shared" si="490"/>
        <v>7.077478645124434</v>
      </c>
      <c r="V91" s="79">
        <f t="shared" si="490"/>
        <v>7.9409310398296133</v>
      </c>
      <c r="W91" s="79">
        <f t="shared" si="490"/>
        <v>8.9097246266888259</v>
      </c>
      <c r="X91" s="79">
        <f t="shared" si="490"/>
        <v>9.9967110311448621</v>
      </c>
      <c r="Y91" s="79">
        <f t="shared" si="490"/>
        <v>11.216309776944533</v>
      </c>
      <c r="Z91" s="79">
        <f t="shared" si="490"/>
        <v>12.584699569731765</v>
      </c>
      <c r="AA91" s="79">
        <f t="shared" si="490"/>
        <v>14.120032917239037</v>
      </c>
      <c r="AB91" s="79">
        <f t="shared" si="490"/>
        <v>15.842676933142199</v>
      </c>
      <c r="AC91" s="79">
        <f t="shared" si="490"/>
        <v>17.775483518985546</v>
      </c>
      <c r="AD91" s="79">
        <f t="shared" si="490"/>
        <v>19.944092508301779</v>
      </c>
      <c r="AE91" s="79">
        <f t="shared" si="490"/>
        <v>22.377271794314591</v>
      </c>
      <c r="AF91" s="79">
        <f t="shared" si="490"/>
        <v>25.107298953220969</v>
      </c>
      <c r="AG91" s="79">
        <f t="shared" si="490"/>
        <v>28.170389425513925</v>
      </c>
      <c r="AH91" s="79">
        <f t="shared" si="490"/>
        <v>31.607176935426619</v>
      </c>
      <c r="AI91" s="79">
        <f t="shared" si="490"/>
        <v>35.463252521548661</v>
      </c>
      <c r="AJ91" s="79">
        <f t="shared" ref="AJ91:BB91" si="491">(1+$C$2)^AJ$194</f>
        <v>39.789769329177595</v>
      </c>
      <c r="AK91" s="79">
        <f t="shared" si="491"/>
        <v>44.644121187337255</v>
      </c>
      <c r="AL91" s="79">
        <f t="shared" si="491"/>
        <v>50.090703972192394</v>
      </c>
      <c r="AM91" s="79">
        <f t="shared" si="491"/>
        <v>56.201769856799864</v>
      </c>
      <c r="AN91" s="79">
        <f t="shared" si="491"/>
        <v>63.058385779329434</v>
      </c>
      <c r="AO91" s="79">
        <f t="shared" si="491"/>
        <v>70.751508844407624</v>
      </c>
      <c r="AP91" s="79">
        <f t="shared" si="491"/>
        <v>79.383192923425341</v>
      </c>
      <c r="AQ91" s="79">
        <f t="shared" si="491"/>
        <v>89.067942460083216</v>
      </c>
      <c r="AR91" s="79">
        <f t="shared" si="491"/>
        <v>99.934231440213352</v>
      </c>
      <c r="AS91" s="79">
        <f t="shared" si="491"/>
        <v>112.12620767591937</v>
      </c>
      <c r="AT91" s="79">
        <f t="shared" si="491"/>
        <v>125.80560501238152</v>
      </c>
      <c r="AU91" s="79">
        <f t="shared" si="491"/>
        <v>141.15388882389203</v>
      </c>
      <c r="AV91" s="79">
        <f t="shared" si="491"/>
        <v>158.37466326040686</v>
      </c>
      <c r="AW91" s="79">
        <f t="shared" si="491"/>
        <v>177.69637217817649</v>
      </c>
      <c r="AX91" s="79">
        <f t="shared" si="491"/>
        <v>199.37532958391398</v>
      </c>
      <c r="AY91" s="79">
        <f t="shared" si="491"/>
        <v>223.69911979315145</v>
      </c>
      <c r="AZ91" s="79">
        <f t="shared" si="491"/>
        <v>250.9904124079159</v>
      </c>
      <c r="BA91" s="79">
        <f t="shared" si="491"/>
        <v>281.61124272168161</v>
      </c>
      <c r="BB91" s="79">
        <f t="shared" si="491"/>
        <v>315.96781433372672</v>
      </c>
    </row>
    <row r="92" spans="1:54" x14ac:dyDescent="0.25">
      <c r="A92" s="180"/>
      <c r="B92" s="76" t="s">
        <v>360</v>
      </c>
      <c r="C92" s="77" t="s">
        <v>362</v>
      </c>
      <c r="D92" s="76">
        <f>D90/D91</f>
        <v>-1151.2</v>
      </c>
      <c r="E92" s="78">
        <f>E90/E91</f>
        <v>108.6830867194296</v>
      </c>
      <c r="F92" s="78">
        <f>F90/F91</f>
        <v>100.64325053608498</v>
      </c>
      <c r="G92" s="78">
        <f t="shared" ref="G92:BB92" si="492">G90/G91</f>
        <v>93.19816159268477</v>
      </c>
      <c r="H92" s="78">
        <f t="shared" si="492"/>
        <v>86.303823435650145</v>
      </c>
      <c r="I92" s="78">
        <f t="shared" si="492"/>
        <v>79.919494251016488</v>
      </c>
      <c r="J92" s="78">
        <f t="shared" si="492"/>
        <v>74.00744610232276</v>
      </c>
      <c r="K92" s="78">
        <f t="shared" si="492"/>
        <v>68.532741978888893</v>
      </c>
      <c r="L92" s="78">
        <f t="shared" si="492"/>
        <v>63.463029336956829</v>
      </c>
      <c r="M92" s="78">
        <f t="shared" si="492"/>
        <v>58.768348913634711</v>
      </c>
      <c r="N92" s="78">
        <f t="shared" si="492"/>
        <v>-157.25312590775539</v>
      </c>
      <c r="O92" s="78">
        <f t="shared" si="492"/>
        <v>50.395164913999906</v>
      </c>
      <c r="P92" s="78">
        <f t="shared" si="492"/>
        <v>46.667180343712914</v>
      </c>
      <c r="Q92" s="78">
        <f t="shared" si="492"/>
        <v>43.214973598144141</v>
      </c>
      <c r="R92" s="78">
        <f t="shared" si="492"/>
        <v>40.018144000420456</v>
      </c>
      <c r="S92" s="78">
        <f t="shared" si="492"/>
        <v>37.057800014649608</v>
      </c>
      <c r="T92" s="78">
        <f t="shared" si="492"/>
        <v>34.316447607148795</v>
      </c>
      <c r="U92" s="78">
        <f t="shared" si="492"/>
        <v>31.777886866156507</v>
      </c>
      <c r="V92" s="78">
        <f t="shared" si="492"/>
        <v>29.427116269105714</v>
      </c>
      <c r="W92" s="78">
        <f t="shared" si="492"/>
        <v>27.250244031729792</v>
      </c>
      <c r="X92" s="78">
        <f t="shared" si="492"/>
        <v>-72.916563676752702</v>
      </c>
      <c r="Y92" s="78">
        <f t="shared" si="492"/>
        <v>23.367689705625761</v>
      </c>
      <c r="Z92" s="78">
        <f t="shared" si="492"/>
        <v>21.639063818311193</v>
      </c>
      <c r="AA92" s="78">
        <f t="shared" si="492"/>
        <v>20.038313108043972</v>
      </c>
      <c r="AB92" s="78">
        <f t="shared" si="492"/>
        <v>18.555978002903466</v>
      </c>
      <c r="AC92" s="78">
        <f t="shared" si="492"/>
        <v>-64.053403057843539</v>
      </c>
      <c r="AD92" s="78">
        <f t="shared" si="492"/>
        <v>15.912163415908337</v>
      </c>
      <c r="AE92" s="78">
        <f t="shared" si="492"/>
        <v>14.735060418118326</v>
      </c>
      <c r="AF92" s="78">
        <f t="shared" si="492"/>
        <v>13.6450336670454</v>
      </c>
      <c r="AG92" s="78">
        <f t="shared" si="492"/>
        <v>12.635641693458265</v>
      </c>
      <c r="AH92" s="78">
        <f t="shared" si="492"/>
        <v>-33.810617294468145</v>
      </c>
      <c r="AI92" s="78">
        <f t="shared" si="492"/>
        <v>10.835343491984771</v>
      </c>
      <c r="AJ92" s="78">
        <f t="shared" si="492"/>
        <v>10.033798474306753</v>
      </c>
      <c r="AK92" s="78">
        <f t="shared" si="492"/>
        <v>9.2915477850309429</v>
      </c>
      <c r="AL92" s="78">
        <f t="shared" si="492"/>
        <v>8.6042051235714343</v>
      </c>
      <c r="AM92" s="78">
        <f t="shared" si="492"/>
        <v>7.9677086661236363</v>
      </c>
      <c r="AN92" s="78">
        <f t="shared" si="492"/>
        <v>7.3782970624799082</v>
      </c>
      <c r="AO92" s="78">
        <f t="shared" si="492"/>
        <v>6.8324872084818402</v>
      </c>
      <c r="AP92" s="78">
        <f t="shared" si="492"/>
        <v>6.3270536627563558</v>
      </c>
      <c r="AQ92" s="78">
        <f t="shared" si="492"/>
        <v>5.8590095860996927</v>
      </c>
      <c r="AR92" s="78">
        <f t="shared" si="492"/>
        <v>-15.677615403006858</v>
      </c>
      <c r="AS92" s="78">
        <f t="shared" si="492"/>
        <v>5.0242308960920363</v>
      </c>
      <c r="AT92" s="78">
        <f t="shared" si="492"/>
        <v>4.6525631916574195</v>
      </c>
      <c r="AU92" s="78">
        <f t="shared" si="492"/>
        <v>4.3083896222210871</v>
      </c>
      <c r="AV92" s="78">
        <f t="shared" si="492"/>
        <v>3.9896763079213082</v>
      </c>
      <c r="AW92" s="78">
        <f t="shared" si="492"/>
        <v>3.6945398252497679</v>
      </c>
      <c r="AX92" s="78">
        <f t="shared" si="492"/>
        <v>3.4212360770361032</v>
      </c>
      <c r="AY92" s="78">
        <f t="shared" si="492"/>
        <v>3.1681499857758579</v>
      </c>
      <c r="AZ92" s="78">
        <f t="shared" si="492"/>
        <v>2.9337859493949345</v>
      </c>
      <c r="BA92" s="78">
        <f t="shared" si="492"/>
        <v>2.7167590030493196</v>
      </c>
      <c r="BB92" s="78">
        <f t="shared" si="492"/>
        <v>2.5157866347310547</v>
      </c>
    </row>
    <row r="93" spans="1:54" x14ac:dyDescent="0.25">
      <c r="A93" s="180"/>
      <c r="B93" s="76" t="s">
        <v>645</v>
      </c>
      <c r="C93" s="77" t="s">
        <v>362</v>
      </c>
      <c r="D93" s="76">
        <f>D92</f>
        <v>-1151.2</v>
      </c>
      <c r="E93" s="78">
        <f>E92+D93</f>
        <v>-1042.5169132805704</v>
      </c>
      <c r="F93" s="78">
        <f t="shared" ref="F93" si="493">F92+E93</f>
        <v>-941.87366274448539</v>
      </c>
      <c r="G93" s="78">
        <f t="shared" ref="G93" si="494">G92+F93</f>
        <v>-848.67550115180063</v>
      </c>
      <c r="H93" s="78">
        <f t="shared" ref="H93" si="495">H92+G93</f>
        <v>-762.37167771615054</v>
      </c>
      <c r="I93" s="78">
        <f t="shared" ref="I93" si="496">I92+H93</f>
        <v>-682.45218346513411</v>
      </c>
      <c r="J93" s="78">
        <f t="shared" ref="J93" si="497">J92+I93</f>
        <v>-608.44473736281134</v>
      </c>
      <c r="K93" s="78">
        <f t="shared" ref="K93" si="498">K92+J93</f>
        <v>-539.91199538392243</v>
      </c>
      <c r="L93" s="78">
        <f t="shared" ref="L93" si="499">L92+K93</f>
        <v>-476.44896604696561</v>
      </c>
      <c r="M93" s="78">
        <f t="shared" ref="M93" si="500">M92+L93</f>
        <v>-417.68061713333088</v>
      </c>
      <c r="N93" s="78">
        <f t="shared" ref="N93" si="501">N92+M93</f>
        <v>-574.93374304108625</v>
      </c>
      <c r="O93" s="78">
        <f t="shared" ref="O93" si="502">O92+N93</f>
        <v>-524.53857812708634</v>
      </c>
      <c r="P93" s="78">
        <f t="shared" ref="P93" si="503">P92+O93</f>
        <v>-477.87139778337342</v>
      </c>
      <c r="Q93" s="78">
        <f t="shared" ref="Q93" si="504">Q92+P93</f>
        <v>-434.6564241852293</v>
      </c>
      <c r="R93" s="78">
        <f t="shared" ref="R93" si="505">R92+Q93</f>
        <v>-394.63828018480882</v>
      </c>
      <c r="S93" s="78">
        <f t="shared" ref="S93" si="506">S92+R93</f>
        <v>-357.58048017015921</v>
      </c>
      <c r="T93" s="78">
        <f t="shared" ref="T93" si="507">T92+S93</f>
        <v>-323.2640325630104</v>
      </c>
      <c r="U93" s="78">
        <f t="shared" ref="U93" si="508">U92+T93</f>
        <v>-291.4861456968539</v>
      </c>
      <c r="V93" s="78">
        <f t="shared" ref="V93" si="509">V92+U93</f>
        <v>-262.05902942774816</v>
      </c>
      <c r="W93" s="78">
        <f t="shared" ref="W93" si="510">W92+V93</f>
        <v>-234.80878539601838</v>
      </c>
      <c r="X93" s="78">
        <f t="shared" ref="X93" si="511">X92+W93</f>
        <v>-307.72534907277111</v>
      </c>
      <c r="Y93" s="78">
        <f t="shared" ref="Y93" si="512">Y92+X93</f>
        <v>-284.35765936714535</v>
      </c>
      <c r="Z93" s="78">
        <f t="shared" ref="Z93" si="513">Z92+Y93</f>
        <v>-262.71859554883417</v>
      </c>
      <c r="AA93" s="78">
        <f t="shared" ref="AA93" si="514">AA92+Z93</f>
        <v>-242.68028244079019</v>
      </c>
      <c r="AB93" s="78">
        <f t="shared" ref="AB93" si="515">AB92+AA93</f>
        <v>-224.12430443788674</v>
      </c>
      <c r="AC93" s="78">
        <f t="shared" ref="AC93" si="516">AC92+AB93</f>
        <v>-288.17770749573026</v>
      </c>
      <c r="AD93" s="78">
        <f t="shared" ref="AD93" si="517">AD92+AC93</f>
        <v>-272.26554407982195</v>
      </c>
      <c r="AE93" s="78">
        <f t="shared" ref="AE93" si="518">AE92+AD93</f>
        <v>-257.53048366170361</v>
      </c>
      <c r="AF93" s="78">
        <f t="shared" ref="AF93" si="519">AF92+AE93</f>
        <v>-243.88544999465822</v>
      </c>
      <c r="AG93" s="78">
        <f t="shared" ref="AG93" si="520">AG92+AF93</f>
        <v>-231.24980830119995</v>
      </c>
      <c r="AH93" s="78">
        <f t="shared" ref="AH93" si="521">AH92+AG93</f>
        <v>-265.06042559566811</v>
      </c>
      <c r="AI93" s="78">
        <f t="shared" ref="AI93" si="522">AI92+AH93</f>
        <v>-254.22508210368335</v>
      </c>
      <c r="AJ93" s="78">
        <f t="shared" ref="AJ93" si="523">AJ92+AI93</f>
        <v>-244.19128362937658</v>
      </c>
      <c r="AK93" s="78">
        <f t="shared" ref="AK93" si="524">AK92+AJ93</f>
        <v>-234.89973584434563</v>
      </c>
      <c r="AL93" s="78">
        <f t="shared" ref="AL93" si="525">AL92+AK93</f>
        <v>-226.2955307207742</v>
      </c>
      <c r="AM93" s="78">
        <f t="shared" ref="AM93" si="526">AM92+AL93</f>
        <v>-218.32782205465057</v>
      </c>
      <c r="AN93" s="78">
        <f t="shared" ref="AN93" si="527">AN92+AM93</f>
        <v>-210.94952499217067</v>
      </c>
      <c r="AO93" s="78">
        <f t="shared" ref="AO93" si="528">AO92+AN93</f>
        <v>-204.11703778368883</v>
      </c>
      <c r="AP93" s="78">
        <f t="shared" ref="AP93" si="529">AP92+AO93</f>
        <v>-197.78998412093247</v>
      </c>
      <c r="AQ93" s="78">
        <f t="shared" ref="AQ93" si="530">AQ92+AP93</f>
        <v>-191.93097453483279</v>
      </c>
      <c r="AR93" s="78">
        <f t="shared" ref="AR93" si="531">AR92+AQ93</f>
        <v>-207.60858993783964</v>
      </c>
      <c r="AS93" s="78">
        <f t="shared" ref="AS93" si="532">AS92+AR93</f>
        <v>-202.5843590417476</v>
      </c>
      <c r="AT93" s="78">
        <f t="shared" ref="AT93" si="533">AT92+AS93</f>
        <v>-197.9317958500902</v>
      </c>
      <c r="AU93" s="78">
        <f t="shared" ref="AU93" si="534">AU92+AT93</f>
        <v>-193.62340622786911</v>
      </c>
      <c r="AV93" s="78">
        <f t="shared" ref="AV93" si="535">AV92+AU93</f>
        <v>-189.6337299199478</v>
      </c>
      <c r="AW93" s="78">
        <f t="shared" ref="AW93" si="536">AW92+AV93</f>
        <v>-185.93919009469803</v>
      </c>
      <c r="AX93" s="78">
        <f t="shared" ref="AX93" si="537">AX92+AW93</f>
        <v>-182.51795401766194</v>
      </c>
      <c r="AY93" s="78">
        <f t="shared" ref="AY93" si="538">AY92+AX93</f>
        <v>-179.34980403188607</v>
      </c>
      <c r="AZ93" s="78">
        <f t="shared" ref="AZ93" si="539">AZ92+AY93</f>
        <v>-176.41601808249112</v>
      </c>
      <c r="BA93" s="78">
        <f t="shared" ref="BA93" si="540">BA92+AZ93</f>
        <v>-173.69925907944179</v>
      </c>
      <c r="BB93" s="78">
        <f t="shared" ref="BB93" si="541">BB92+BA93</f>
        <v>-171.18347244471073</v>
      </c>
    </row>
    <row r="94" spans="1:54" x14ac:dyDescent="0.25">
      <c r="A94" s="180"/>
      <c r="B94" s="80" t="s">
        <v>361</v>
      </c>
      <c r="C94" s="81" t="s">
        <v>362</v>
      </c>
      <c r="D94" s="92">
        <f>SUM(D92:BB92)</f>
        <v>-171.18347244471073</v>
      </c>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row>
    <row r="95" spans="1:54" x14ac:dyDescent="0.25">
      <c r="A95" s="177" t="s">
        <v>673</v>
      </c>
      <c r="B95" t="s">
        <v>363</v>
      </c>
      <c r="C95" s="72" t="s">
        <v>362</v>
      </c>
      <c r="D95">
        <f>-South_Facade_PV_5S!$B$23/South_Facade_PV_5S!$B$7</f>
        <v>-3010.3999999999992</v>
      </c>
      <c r="E95">
        <v>0</v>
      </c>
      <c r="F95">
        <v>0</v>
      </c>
      <c r="G95">
        <v>0</v>
      </c>
      <c r="H95">
        <v>0</v>
      </c>
      <c r="I95">
        <v>0</v>
      </c>
      <c r="J95">
        <v>0</v>
      </c>
      <c r="K95">
        <v>0</v>
      </c>
      <c r="L95">
        <v>0</v>
      </c>
      <c r="M95">
        <v>0</v>
      </c>
      <c r="N95">
        <f>-((South_Facade_PV_5S!$B$28*South_Facade_PV_5S!$B$19)/South_Facade_PV_5S!$B$7)*(1+$C$1)^N$194</f>
        <v>-3621.9088881806924</v>
      </c>
      <c r="O95">
        <v>0</v>
      </c>
      <c r="P95">
        <v>0</v>
      </c>
      <c r="Q95">
        <v>0</v>
      </c>
      <c r="R95">
        <v>0</v>
      </c>
      <c r="S95">
        <v>0</v>
      </c>
      <c r="T95">
        <v>0</v>
      </c>
      <c r="U95">
        <v>0</v>
      </c>
      <c r="V95">
        <v>0</v>
      </c>
      <c r="W95">
        <v>0</v>
      </c>
      <c r="X95">
        <f>-((South_Facade_PV_5S!$B$28*South_Facade_PV_5S!$B$19)/South_Facade_PV_5S!$B$7)*(1+$C$1)^X$194</f>
        <v>-5309.9813616612382</v>
      </c>
      <c r="Y95">
        <v>0</v>
      </c>
      <c r="Z95">
        <v>0</v>
      </c>
      <c r="AA95">
        <v>0</v>
      </c>
      <c r="AB95">
        <v>0</v>
      </c>
      <c r="AC95">
        <f>-(South_Facade_PV_5S!$B$29*South_Facade_PV_5S!$B$19/South_Facade_PV_5S!$B$7)*(1+$C$1)^X$194</f>
        <v>-1444.0216532905904</v>
      </c>
      <c r="AD95">
        <v>0</v>
      </c>
      <c r="AE95">
        <v>0</v>
      </c>
      <c r="AF95">
        <v>0</v>
      </c>
      <c r="AG95">
        <v>0</v>
      </c>
      <c r="AH95">
        <f>-((South_Facade_PV_5S!$B$28*South_Facade_PV_5S!$B$19)/South_Facade_PV_5S!$B$7)*(1+$C$1)^AH$194</f>
        <v>-7784.8181529913381</v>
      </c>
      <c r="AI95">
        <v>0</v>
      </c>
      <c r="AJ95">
        <v>0</v>
      </c>
      <c r="AK95">
        <v>0</v>
      </c>
      <c r="AL95">
        <v>0</v>
      </c>
      <c r="AM95">
        <v>0</v>
      </c>
      <c r="AN95">
        <v>0</v>
      </c>
      <c r="AO95">
        <v>0</v>
      </c>
      <c r="AP95">
        <v>0</v>
      </c>
      <c r="AQ95">
        <v>0</v>
      </c>
      <c r="AR95">
        <f>-((South_Facade_PV_5S!$B$28*South_Facade_PV_5S!$B$19)/South_Facade_PV_5S!$B$7)*(1+$C$1)^AR$194</f>
        <v>-11413.108549251781</v>
      </c>
      <c r="AS95">
        <v>0</v>
      </c>
      <c r="AT95">
        <v>0</v>
      </c>
      <c r="AU95">
        <v>0</v>
      </c>
      <c r="AV95">
        <v>0</v>
      </c>
      <c r="AW95">
        <v>0</v>
      </c>
      <c r="AX95">
        <v>0</v>
      </c>
      <c r="AY95">
        <v>0</v>
      </c>
      <c r="AZ95">
        <v>0</v>
      </c>
      <c r="BA95">
        <v>0</v>
      </c>
      <c r="BB95">
        <v>0</v>
      </c>
    </row>
    <row r="96" spans="1:54" x14ac:dyDescent="0.25">
      <c r="A96" s="177"/>
      <c r="B96" t="s">
        <v>356</v>
      </c>
      <c r="C96" s="72" t="s">
        <v>362</v>
      </c>
      <c r="D96">
        <v>0</v>
      </c>
      <c r="E96" s="18">
        <f>ABS('Annual Calculations'!$Q$15)*(1+$C$3)^E$194</f>
        <v>121.9424232992</v>
      </c>
      <c r="F96" s="18">
        <f>ABS('Annual Calculations'!$Q$15)*(1+$C$3)^F$194</f>
        <v>126.69817780786877</v>
      </c>
      <c r="G96" s="18">
        <f>ABS('Annual Calculations'!$Q$15)*(1+$C$3)^G$194</f>
        <v>131.63940674237566</v>
      </c>
      <c r="H96" s="18">
        <f>ABS('Annual Calculations'!$Q$15)*(1+$C$3)^H$194</f>
        <v>136.77334360532828</v>
      </c>
      <c r="I96" s="18">
        <f>ABS('Annual Calculations'!$Q$15)*(1+$C$3)^I$194</f>
        <v>142.10750400593605</v>
      </c>
      <c r="J96" s="18">
        <f>ABS('Annual Calculations'!$Q$15)*(1+$C$3)^J$194</f>
        <v>147.64969666216754</v>
      </c>
      <c r="K96" s="18">
        <f>ABS('Annual Calculations'!$Q$15)*(1+$C$3)^K$194</f>
        <v>153.40803483199207</v>
      </c>
      <c r="L96" s="18">
        <f>ABS('Annual Calculations'!$Q$15)*(1+$C$3)^L$194</f>
        <v>159.39094819043973</v>
      </c>
      <c r="M96" s="18">
        <f>ABS('Annual Calculations'!$Q$15)*(1+$C$3)^M$194</f>
        <v>165.60719516986686</v>
      </c>
      <c r="N96" s="18">
        <f>ABS('Annual Calculations'!$Q$15)*(1+$C$3)^N$194</f>
        <v>172.06587578149163</v>
      </c>
      <c r="O96" s="18">
        <f>ABS('Annual Calculations'!$Q$15)*(1+$C$3)^O$194</f>
        <v>178.7764449369698</v>
      </c>
      <c r="P96" s="18">
        <f>ABS('Annual Calculations'!$Q$15)*(1+$C$3)^P$194</f>
        <v>185.74872628951155</v>
      </c>
      <c r="Q96" s="18">
        <f>ABS('Annual Calculations'!$Q$15)*(1+$C$3)^Q$194</f>
        <v>192.99292661480251</v>
      </c>
      <c r="R96" s="18">
        <f>ABS('Annual Calculations'!$Q$15)*(1+$C$3)^R$194</f>
        <v>200.51965075277974</v>
      </c>
      <c r="S96" s="18">
        <f>ABS('Annual Calculations'!$Q$15)*(1+$C$3)^S$194</f>
        <v>208.33991713213817</v>
      </c>
      <c r="T96" s="18">
        <f>ABS('Annual Calculations'!$Q$15)*(1+$C$3)^T$194</f>
        <v>216.46517390029152</v>
      </c>
      <c r="U96" s="18">
        <f>ABS('Annual Calculations'!$Q$15)*(1+$C$3)^U$194</f>
        <v>224.9073156824029</v>
      </c>
      <c r="V96" s="18">
        <f>ABS('Annual Calculations'!$Q$15)*(1+$C$3)^V$194</f>
        <v>233.67870099401657</v>
      </c>
      <c r="W96" s="18">
        <f>ABS('Annual Calculations'!$Q$15)*(1+$C$3)^W$194</f>
        <v>242.79217033278314</v>
      </c>
      <c r="X96" s="18">
        <f>ABS('Annual Calculations'!$Q$15)*(1+$C$3)^X$194</f>
        <v>252.26106497576166</v>
      </c>
      <c r="Y96" s="18">
        <f>ABS('Annual Calculations'!$Q$15)*(1+$C$3)^Y$194</f>
        <v>262.09924650981634</v>
      </c>
      <c r="Z96" s="18">
        <f>ABS('Annual Calculations'!$Q$15)*(1+$C$3)^Z$194</f>
        <v>272.32111712369908</v>
      </c>
      <c r="AA96" s="18">
        <f>ABS('Annual Calculations'!$Q$15)*(1+$C$3)^AA$194</f>
        <v>282.94164069152339</v>
      </c>
      <c r="AB96" s="18">
        <f>ABS('Annual Calculations'!$Q$15)*(1+$C$3)^AB$194</f>
        <v>293.97636467849276</v>
      </c>
      <c r="AC96" s="18">
        <f>ABS('Annual Calculations'!$Q$15)*(1+$C$3)^AC$194</f>
        <v>305.44144290095397</v>
      </c>
      <c r="AD96" s="18">
        <f>ABS('Annual Calculations'!$Q$15)*(1+$C$3)^AD$194</f>
        <v>317.35365917409109</v>
      </c>
      <c r="AE96" s="18">
        <f>ABS('Annual Calculations'!$Q$15)*(1+$C$3)^AE$194</f>
        <v>329.73045188188058</v>
      </c>
      <c r="AF96" s="18">
        <f>ABS('Annual Calculations'!$Q$15)*(1+$C$3)^AF$194</f>
        <v>342.58993950527383</v>
      </c>
      <c r="AG96" s="18">
        <f>ABS('Annual Calculations'!$Q$15)*(1+$C$3)^AG$194</f>
        <v>355.95094714597957</v>
      </c>
      <c r="AH96" s="18">
        <f>ABS('Annual Calculations'!$Q$15)*(1+$C$3)^AH$194</f>
        <v>369.83303408467259</v>
      </c>
      <c r="AI96" s="18">
        <f>ABS('Annual Calculations'!$Q$15)*(1+$C$3)^AI$194</f>
        <v>384.25652241397484</v>
      </c>
      <c r="AJ96" s="18">
        <f>ABS('Annual Calculations'!$Q$15)*(1+$C$3)^AJ$194</f>
        <v>399.24252678811979</v>
      </c>
      <c r="AK96" s="18">
        <f>ABS('Annual Calculations'!$Q$15)*(1+$C$3)^AK$194</f>
        <v>414.81298533285644</v>
      </c>
      <c r="AL96" s="18">
        <f>ABS('Annual Calculations'!$Q$15)*(1+$C$3)^AL$194</f>
        <v>430.99069176083776</v>
      </c>
      <c r="AM96" s="18">
        <f>ABS('Annual Calculations'!$Q$15)*(1+$C$3)^AM$194</f>
        <v>447.79932873951043</v>
      </c>
      <c r="AN96" s="18">
        <f>ABS('Annual Calculations'!$Q$15)*(1+$C$3)^AN$194</f>
        <v>465.26350256035118</v>
      </c>
      <c r="AO96" s="18">
        <f>ABS('Annual Calculations'!$Q$15)*(1+$C$3)^AO$194</f>
        <v>483.40877916020486</v>
      </c>
      <c r="AP96" s="18">
        <f>ABS('Annual Calculations'!$Q$15)*(1+$C$3)^AP$194</f>
        <v>502.26172154745274</v>
      </c>
      <c r="AQ96" s="18">
        <f>ABS('Annual Calculations'!$Q$15)*(1+$C$3)^AQ$194</f>
        <v>521.84992868780341</v>
      </c>
      <c r="AR96" s="18">
        <f>ABS('Annual Calculations'!$Q$15)*(1+$C$3)^AR$194</f>
        <v>542.20207590662756</v>
      </c>
      <c r="AS96" s="18">
        <f>ABS('Annual Calculations'!$Q$15)*(1+$C$3)^AS$194</f>
        <v>563.34795686698612</v>
      </c>
      <c r="AT96" s="18">
        <f>ABS('Annual Calculations'!$Q$15)*(1+$C$3)^AT$194</f>
        <v>585.31852718479843</v>
      </c>
      <c r="AU96" s="18">
        <f>ABS('Annual Calculations'!$Q$15)*(1+$C$3)^AU$194</f>
        <v>608.14594974500551</v>
      </c>
      <c r="AV96" s="18">
        <f>ABS('Annual Calculations'!$Q$15)*(1+$C$3)^AV$194</f>
        <v>631.86364178506051</v>
      </c>
      <c r="AW96" s="18">
        <f>ABS('Annual Calculations'!$Q$15)*(1+$C$3)^AW$194</f>
        <v>656.5063238146779</v>
      </c>
      <c r="AX96" s="18">
        <f>ABS('Annual Calculations'!$Q$15)*(1+$C$3)^AX$194</f>
        <v>682.11007044345001</v>
      </c>
      <c r="AY96" s="18">
        <f>ABS('Annual Calculations'!$Q$15)*(1+$C$3)^AY$194</f>
        <v>708.71236319074467</v>
      </c>
      <c r="AZ96" s="18">
        <f>ABS('Annual Calculations'!$Q$15)*(1+$C$3)^AZ$194</f>
        <v>736.35214535518367</v>
      </c>
      <c r="BA96" s="18">
        <f>ABS('Annual Calculations'!$Q$15)*(1+$C$3)^BA$194</f>
        <v>765.06987902403569</v>
      </c>
      <c r="BB96" s="18">
        <f>ABS('Annual Calculations'!$Q$15)*(1+$C$3)^BB$194</f>
        <v>794.907604305973</v>
      </c>
    </row>
    <row r="97" spans="1:54" x14ac:dyDescent="0.25">
      <c r="A97" s="177"/>
      <c r="B97" t="s">
        <v>357</v>
      </c>
      <c r="C97" s="72" t="s">
        <v>362</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row>
    <row r="98" spans="1:54" x14ac:dyDescent="0.25">
      <c r="A98" s="177"/>
      <c r="B98" t="s">
        <v>358</v>
      </c>
      <c r="C98" s="72" t="s">
        <v>362</v>
      </c>
      <c r="D98">
        <f>SUM(D95:D97)</f>
        <v>-3010.3999999999992</v>
      </c>
      <c r="E98" s="18">
        <f t="shared" ref="E98:BB98" si="542">SUM(E95:E97)</f>
        <v>121.9424232992</v>
      </c>
      <c r="F98" s="18">
        <f t="shared" si="542"/>
        <v>126.69817780786877</v>
      </c>
      <c r="G98" s="18">
        <f t="shared" si="542"/>
        <v>131.63940674237566</v>
      </c>
      <c r="H98" s="18">
        <f t="shared" si="542"/>
        <v>136.77334360532828</v>
      </c>
      <c r="I98" s="18">
        <f t="shared" si="542"/>
        <v>142.10750400593605</v>
      </c>
      <c r="J98" s="18">
        <f t="shared" si="542"/>
        <v>147.64969666216754</v>
      </c>
      <c r="K98" s="18">
        <f t="shared" si="542"/>
        <v>153.40803483199207</v>
      </c>
      <c r="L98" s="18">
        <f t="shared" si="542"/>
        <v>159.39094819043973</v>
      </c>
      <c r="M98" s="18">
        <f t="shared" si="542"/>
        <v>165.60719516986686</v>
      </c>
      <c r="N98" s="18">
        <f t="shared" si="542"/>
        <v>-3449.8430123992007</v>
      </c>
      <c r="O98" s="18">
        <f t="shared" si="542"/>
        <v>178.7764449369698</v>
      </c>
      <c r="P98" s="18">
        <f t="shared" si="542"/>
        <v>185.74872628951155</v>
      </c>
      <c r="Q98" s="18">
        <f t="shared" si="542"/>
        <v>192.99292661480251</v>
      </c>
      <c r="R98" s="18">
        <f t="shared" si="542"/>
        <v>200.51965075277974</v>
      </c>
      <c r="S98" s="18">
        <f t="shared" si="542"/>
        <v>208.33991713213817</v>
      </c>
      <c r="T98" s="18">
        <f t="shared" si="542"/>
        <v>216.46517390029152</v>
      </c>
      <c r="U98" s="18">
        <f t="shared" si="542"/>
        <v>224.9073156824029</v>
      </c>
      <c r="V98" s="18">
        <f t="shared" si="542"/>
        <v>233.67870099401657</v>
      </c>
      <c r="W98" s="18">
        <f t="shared" si="542"/>
        <v>242.79217033278314</v>
      </c>
      <c r="X98" s="18">
        <f t="shared" si="542"/>
        <v>-5057.7202966854766</v>
      </c>
      <c r="Y98" s="18">
        <f t="shared" si="542"/>
        <v>262.09924650981634</v>
      </c>
      <c r="Z98" s="18">
        <f t="shared" si="542"/>
        <v>272.32111712369908</v>
      </c>
      <c r="AA98" s="18">
        <f t="shared" si="542"/>
        <v>282.94164069152339</v>
      </c>
      <c r="AB98" s="18">
        <f t="shared" si="542"/>
        <v>293.97636467849276</v>
      </c>
      <c r="AC98" s="18">
        <f t="shared" si="542"/>
        <v>-1138.5802103896365</v>
      </c>
      <c r="AD98" s="18">
        <f t="shared" si="542"/>
        <v>317.35365917409109</v>
      </c>
      <c r="AE98" s="18">
        <f t="shared" si="542"/>
        <v>329.73045188188058</v>
      </c>
      <c r="AF98" s="18">
        <f t="shared" si="542"/>
        <v>342.58993950527383</v>
      </c>
      <c r="AG98" s="18">
        <f t="shared" si="542"/>
        <v>355.95094714597957</v>
      </c>
      <c r="AH98" s="18">
        <f t="shared" si="542"/>
        <v>-7414.9851189066658</v>
      </c>
      <c r="AI98" s="18">
        <f t="shared" si="542"/>
        <v>384.25652241397484</v>
      </c>
      <c r="AJ98" s="18">
        <f t="shared" si="542"/>
        <v>399.24252678811979</v>
      </c>
      <c r="AK98" s="18">
        <f t="shared" si="542"/>
        <v>414.81298533285644</v>
      </c>
      <c r="AL98" s="18">
        <f t="shared" si="542"/>
        <v>430.99069176083776</v>
      </c>
      <c r="AM98" s="18">
        <f t="shared" si="542"/>
        <v>447.79932873951043</v>
      </c>
      <c r="AN98" s="18">
        <f t="shared" si="542"/>
        <v>465.26350256035118</v>
      </c>
      <c r="AO98" s="18">
        <f t="shared" si="542"/>
        <v>483.40877916020486</v>
      </c>
      <c r="AP98" s="18">
        <f t="shared" si="542"/>
        <v>502.26172154745274</v>
      </c>
      <c r="AQ98" s="18">
        <f t="shared" si="542"/>
        <v>521.84992868780341</v>
      </c>
      <c r="AR98" s="18">
        <f t="shared" si="542"/>
        <v>-10870.906473345154</v>
      </c>
      <c r="AS98" s="18">
        <f t="shared" si="542"/>
        <v>563.34795686698612</v>
      </c>
      <c r="AT98" s="18">
        <f t="shared" si="542"/>
        <v>585.31852718479843</v>
      </c>
      <c r="AU98" s="18">
        <f t="shared" si="542"/>
        <v>608.14594974500551</v>
      </c>
      <c r="AV98" s="18">
        <f t="shared" si="542"/>
        <v>631.86364178506051</v>
      </c>
      <c r="AW98" s="18">
        <f t="shared" si="542"/>
        <v>656.5063238146779</v>
      </c>
      <c r="AX98" s="18">
        <f t="shared" si="542"/>
        <v>682.11007044345001</v>
      </c>
      <c r="AY98" s="18">
        <f t="shared" si="542"/>
        <v>708.71236319074467</v>
      </c>
      <c r="AZ98" s="18">
        <f t="shared" si="542"/>
        <v>736.35214535518367</v>
      </c>
      <c r="BA98" s="18">
        <f t="shared" si="542"/>
        <v>765.06987902403569</v>
      </c>
      <c r="BB98" s="18">
        <f t="shared" si="542"/>
        <v>794.907604305973</v>
      </c>
    </row>
    <row r="99" spans="1:54" x14ac:dyDescent="0.25">
      <c r="A99" s="177"/>
      <c r="B99" t="s">
        <v>359</v>
      </c>
      <c r="C99" s="72"/>
      <c r="D99">
        <f t="shared" ref="D99:AI99" si="543">(1+$C$2)^D$194</f>
        <v>1</v>
      </c>
      <c r="E99" s="40">
        <f t="shared" si="543"/>
        <v>1.1219999999999999</v>
      </c>
      <c r="F99" s="40">
        <f t="shared" si="543"/>
        <v>1.2588839999999997</v>
      </c>
      <c r="G99" s="40">
        <f t="shared" si="543"/>
        <v>1.4124678479999995</v>
      </c>
      <c r="H99" s="40">
        <f t="shared" si="543"/>
        <v>1.5847889254559993</v>
      </c>
      <c r="I99" s="40">
        <f t="shared" si="543"/>
        <v>1.7781331743616309</v>
      </c>
      <c r="J99" s="40">
        <f t="shared" si="543"/>
        <v>1.9950654216337496</v>
      </c>
      <c r="K99" s="40">
        <f t="shared" si="543"/>
        <v>2.2384634030730668</v>
      </c>
      <c r="L99" s="40">
        <f t="shared" si="543"/>
        <v>2.5115559382479806</v>
      </c>
      <c r="M99" s="40">
        <f t="shared" si="543"/>
        <v>2.817965762714234</v>
      </c>
      <c r="N99" s="40">
        <f t="shared" si="543"/>
        <v>3.1617575857653701</v>
      </c>
      <c r="O99" s="40">
        <f t="shared" si="543"/>
        <v>3.5474920112287447</v>
      </c>
      <c r="P99" s="40">
        <f t="shared" si="543"/>
        <v>3.9802860365986512</v>
      </c>
      <c r="Q99" s="40">
        <f t="shared" si="543"/>
        <v>4.4658809330636862</v>
      </c>
      <c r="R99" s="40">
        <f t="shared" si="543"/>
        <v>5.0107184068974551</v>
      </c>
      <c r="S99" s="40">
        <f t="shared" si="543"/>
        <v>5.6220260525389438</v>
      </c>
      <c r="T99" s="40">
        <f t="shared" si="543"/>
        <v>6.307913230948694</v>
      </c>
      <c r="U99" s="40">
        <f t="shared" si="543"/>
        <v>7.077478645124434</v>
      </c>
      <c r="V99" s="40">
        <f t="shared" si="543"/>
        <v>7.9409310398296133</v>
      </c>
      <c r="W99" s="40">
        <f t="shared" si="543"/>
        <v>8.9097246266888259</v>
      </c>
      <c r="X99" s="40">
        <f t="shared" si="543"/>
        <v>9.9967110311448621</v>
      </c>
      <c r="Y99" s="40">
        <f t="shared" si="543"/>
        <v>11.216309776944533</v>
      </c>
      <c r="Z99" s="40">
        <f t="shared" si="543"/>
        <v>12.584699569731765</v>
      </c>
      <c r="AA99" s="40">
        <f t="shared" si="543"/>
        <v>14.120032917239037</v>
      </c>
      <c r="AB99" s="40">
        <f t="shared" si="543"/>
        <v>15.842676933142199</v>
      </c>
      <c r="AC99" s="40">
        <f t="shared" si="543"/>
        <v>17.775483518985546</v>
      </c>
      <c r="AD99" s="40">
        <f t="shared" si="543"/>
        <v>19.944092508301779</v>
      </c>
      <c r="AE99" s="40">
        <f t="shared" si="543"/>
        <v>22.377271794314591</v>
      </c>
      <c r="AF99" s="40">
        <f t="shared" si="543"/>
        <v>25.107298953220969</v>
      </c>
      <c r="AG99" s="40">
        <f t="shared" si="543"/>
        <v>28.170389425513925</v>
      </c>
      <c r="AH99" s="40">
        <f t="shared" si="543"/>
        <v>31.607176935426619</v>
      </c>
      <c r="AI99" s="40">
        <f t="shared" si="543"/>
        <v>35.463252521548661</v>
      </c>
      <c r="AJ99" s="40">
        <f t="shared" ref="AJ99:BB99" si="544">(1+$C$2)^AJ$194</f>
        <v>39.789769329177595</v>
      </c>
      <c r="AK99" s="40">
        <f t="shared" si="544"/>
        <v>44.644121187337255</v>
      </c>
      <c r="AL99" s="40">
        <f t="shared" si="544"/>
        <v>50.090703972192394</v>
      </c>
      <c r="AM99" s="40">
        <f t="shared" si="544"/>
        <v>56.201769856799864</v>
      </c>
      <c r="AN99" s="40">
        <f t="shared" si="544"/>
        <v>63.058385779329434</v>
      </c>
      <c r="AO99" s="40">
        <f t="shared" si="544"/>
        <v>70.751508844407624</v>
      </c>
      <c r="AP99" s="40">
        <f t="shared" si="544"/>
        <v>79.383192923425341</v>
      </c>
      <c r="AQ99" s="40">
        <f t="shared" si="544"/>
        <v>89.067942460083216</v>
      </c>
      <c r="AR99" s="40">
        <f t="shared" si="544"/>
        <v>99.934231440213352</v>
      </c>
      <c r="AS99" s="40">
        <f t="shared" si="544"/>
        <v>112.12620767591937</v>
      </c>
      <c r="AT99" s="40">
        <f t="shared" si="544"/>
        <v>125.80560501238152</v>
      </c>
      <c r="AU99" s="40">
        <f t="shared" si="544"/>
        <v>141.15388882389203</v>
      </c>
      <c r="AV99" s="40">
        <f t="shared" si="544"/>
        <v>158.37466326040686</v>
      </c>
      <c r="AW99" s="40">
        <f t="shared" si="544"/>
        <v>177.69637217817649</v>
      </c>
      <c r="AX99" s="40">
        <f t="shared" si="544"/>
        <v>199.37532958391398</v>
      </c>
      <c r="AY99" s="40">
        <f t="shared" si="544"/>
        <v>223.69911979315145</v>
      </c>
      <c r="AZ99" s="40">
        <f t="shared" si="544"/>
        <v>250.9904124079159</v>
      </c>
      <c r="BA99" s="40">
        <f t="shared" si="544"/>
        <v>281.61124272168161</v>
      </c>
      <c r="BB99" s="40">
        <f t="shared" si="544"/>
        <v>315.96781433372672</v>
      </c>
    </row>
    <row r="100" spans="1:54" x14ac:dyDescent="0.25">
      <c r="A100" s="177"/>
      <c r="B100" t="s">
        <v>360</v>
      </c>
      <c r="C100" s="72" t="s">
        <v>362</v>
      </c>
      <c r="D100">
        <f>D98/D99</f>
        <v>-3010.3999999999992</v>
      </c>
      <c r="E100" s="18">
        <f>E98/E99</f>
        <v>108.6830867194296</v>
      </c>
      <c r="F100" s="18">
        <f>F98/F99</f>
        <v>100.64325053608498</v>
      </c>
      <c r="G100" s="18">
        <f t="shared" ref="G100:BB100" si="545">G98/G99</f>
        <v>93.19816159268477</v>
      </c>
      <c r="H100" s="18">
        <f t="shared" si="545"/>
        <v>86.303823435650145</v>
      </c>
      <c r="I100" s="18">
        <f t="shared" si="545"/>
        <v>79.919494251016488</v>
      </c>
      <c r="J100" s="18">
        <f t="shared" si="545"/>
        <v>74.00744610232276</v>
      </c>
      <c r="K100" s="18">
        <f t="shared" si="545"/>
        <v>68.532741978888893</v>
      </c>
      <c r="L100" s="18">
        <f t="shared" si="545"/>
        <v>63.463029336956829</v>
      </c>
      <c r="M100" s="18">
        <f t="shared" si="545"/>
        <v>58.768348913634711</v>
      </c>
      <c r="N100" s="18">
        <f t="shared" si="545"/>
        <v>-1091.1155959365219</v>
      </c>
      <c r="O100" s="18">
        <f t="shared" si="545"/>
        <v>50.395164913999906</v>
      </c>
      <c r="P100" s="18">
        <f t="shared" si="545"/>
        <v>46.667180343712914</v>
      </c>
      <c r="Q100" s="18">
        <f t="shared" si="545"/>
        <v>43.214973598144141</v>
      </c>
      <c r="R100" s="18">
        <f t="shared" si="545"/>
        <v>40.018144000420456</v>
      </c>
      <c r="S100" s="18">
        <f t="shared" si="545"/>
        <v>37.057800014649608</v>
      </c>
      <c r="T100" s="18">
        <f t="shared" si="545"/>
        <v>34.316447607148795</v>
      </c>
      <c r="U100" s="18">
        <f t="shared" si="545"/>
        <v>31.777886866156507</v>
      </c>
      <c r="V100" s="18">
        <f t="shared" si="545"/>
        <v>29.427116269105714</v>
      </c>
      <c r="W100" s="18">
        <f t="shared" si="545"/>
        <v>27.250244031729792</v>
      </c>
      <c r="X100" s="18">
        <f t="shared" si="545"/>
        <v>-505.93843124284518</v>
      </c>
      <c r="Y100" s="18">
        <f t="shared" si="545"/>
        <v>23.367689705625761</v>
      </c>
      <c r="Z100" s="18">
        <f t="shared" si="545"/>
        <v>21.639063818311193</v>
      </c>
      <c r="AA100" s="18">
        <f t="shared" si="545"/>
        <v>20.038313108043972</v>
      </c>
      <c r="AB100" s="18">
        <f t="shared" si="545"/>
        <v>18.555978002903466</v>
      </c>
      <c r="AC100" s="18">
        <f t="shared" si="545"/>
        <v>-64.053403057843553</v>
      </c>
      <c r="AD100" s="18">
        <f t="shared" si="545"/>
        <v>15.912163415908337</v>
      </c>
      <c r="AE100" s="18">
        <f t="shared" si="545"/>
        <v>14.735060418118326</v>
      </c>
      <c r="AF100" s="18">
        <f t="shared" si="545"/>
        <v>13.6450336670454</v>
      </c>
      <c r="AG100" s="18">
        <f t="shared" si="545"/>
        <v>12.635641693458265</v>
      </c>
      <c r="AH100" s="18">
        <f t="shared" si="545"/>
        <v>-234.59814630251418</v>
      </c>
      <c r="AI100" s="18">
        <f t="shared" si="545"/>
        <v>10.835343491984771</v>
      </c>
      <c r="AJ100" s="18">
        <f t="shared" si="545"/>
        <v>10.033798474306753</v>
      </c>
      <c r="AK100" s="18">
        <f t="shared" si="545"/>
        <v>9.2915477850309429</v>
      </c>
      <c r="AL100" s="18">
        <f t="shared" si="545"/>
        <v>8.6042051235714343</v>
      </c>
      <c r="AM100" s="18">
        <f t="shared" si="545"/>
        <v>7.9677086661236363</v>
      </c>
      <c r="AN100" s="18">
        <f t="shared" si="545"/>
        <v>7.3782970624799082</v>
      </c>
      <c r="AO100" s="18">
        <f t="shared" si="545"/>
        <v>6.8324872084818402</v>
      </c>
      <c r="AP100" s="18">
        <f t="shared" si="545"/>
        <v>6.3270536627563558</v>
      </c>
      <c r="AQ100" s="18">
        <f t="shared" si="545"/>
        <v>5.8590095860996927</v>
      </c>
      <c r="AR100" s="18">
        <f t="shared" si="545"/>
        <v>-108.78060817277394</v>
      </c>
      <c r="AS100" s="18">
        <f t="shared" si="545"/>
        <v>5.0242308960920363</v>
      </c>
      <c r="AT100" s="18">
        <f t="shared" si="545"/>
        <v>4.6525631916574195</v>
      </c>
      <c r="AU100" s="18">
        <f t="shared" si="545"/>
        <v>4.3083896222210871</v>
      </c>
      <c r="AV100" s="18">
        <f t="shared" si="545"/>
        <v>3.9896763079213082</v>
      </c>
      <c r="AW100" s="18">
        <f t="shared" si="545"/>
        <v>3.6945398252497679</v>
      </c>
      <c r="AX100" s="18">
        <f t="shared" si="545"/>
        <v>3.4212360770361032</v>
      </c>
      <c r="AY100" s="18">
        <f t="shared" si="545"/>
        <v>3.1681499857758579</v>
      </c>
      <c r="AZ100" s="18">
        <f t="shared" si="545"/>
        <v>2.9337859493949345</v>
      </c>
      <c r="BA100" s="18">
        <f t="shared" si="545"/>
        <v>2.7167590030493196</v>
      </c>
      <c r="BB100" s="18">
        <f t="shared" si="545"/>
        <v>2.5157866347310547</v>
      </c>
    </row>
    <row r="101" spans="1:54" x14ac:dyDescent="0.25">
      <c r="A101" s="177"/>
      <c r="B101" s="76" t="s">
        <v>645</v>
      </c>
      <c r="C101" s="77" t="s">
        <v>362</v>
      </c>
      <c r="D101" s="76">
        <f>D100</f>
        <v>-3010.3999999999992</v>
      </c>
      <c r="E101" s="78">
        <f>E100+D101</f>
        <v>-2901.7169132805698</v>
      </c>
      <c r="F101" s="78">
        <f t="shared" ref="F101" si="546">F100+E101</f>
        <v>-2801.0736627444849</v>
      </c>
      <c r="G101" s="78">
        <f t="shared" ref="G101" si="547">G100+F101</f>
        <v>-2707.8755011518001</v>
      </c>
      <c r="H101" s="78">
        <f t="shared" ref="H101" si="548">H100+G101</f>
        <v>-2621.5716777161501</v>
      </c>
      <c r="I101" s="78">
        <f t="shared" ref="I101" si="549">I100+H101</f>
        <v>-2541.6521834651335</v>
      </c>
      <c r="J101" s="78">
        <f t="shared" ref="J101" si="550">J100+I101</f>
        <v>-2467.6447373628107</v>
      </c>
      <c r="K101" s="78">
        <f t="shared" ref="K101" si="551">K100+J101</f>
        <v>-2399.111995383922</v>
      </c>
      <c r="L101" s="78">
        <f t="shared" ref="L101" si="552">L100+K101</f>
        <v>-2335.6489660469651</v>
      </c>
      <c r="M101" s="78">
        <f t="shared" ref="M101" si="553">M100+L101</f>
        <v>-2276.8806171333304</v>
      </c>
      <c r="N101" s="78">
        <f t="shared" ref="N101" si="554">N100+M101</f>
        <v>-3367.9962130698523</v>
      </c>
      <c r="O101" s="78">
        <f t="shared" ref="O101" si="555">O100+N101</f>
        <v>-3317.6010481558524</v>
      </c>
      <c r="P101" s="78">
        <f t="shared" ref="P101" si="556">P100+O101</f>
        <v>-3270.9338678121394</v>
      </c>
      <c r="Q101" s="78">
        <f t="shared" ref="Q101" si="557">Q100+P101</f>
        <v>-3227.7188942139951</v>
      </c>
      <c r="R101" s="78">
        <f t="shared" ref="R101" si="558">R100+Q101</f>
        <v>-3187.7007502135748</v>
      </c>
      <c r="S101" s="78">
        <f t="shared" ref="S101" si="559">S100+R101</f>
        <v>-3150.6429501989251</v>
      </c>
      <c r="T101" s="78">
        <f t="shared" ref="T101" si="560">T100+S101</f>
        <v>-3116.3265025917763</v>
      </c>
      <c r="U101" s="78">
        <f t="shared" ref="U101" si="561">U100+T101</f>
        <v>-3084.5486157256196</v>
      </c>
      <c r="V101" s="78">
        <f t="shared" ref="V101" si="562">V100+U101</f>
        <v>-3055.1214994565139</v>
      </c>
      <c r="W101" s="78">
        <f t="shared" ref="W101" si="563">W100+V101</f>
        <v>-3027.8712554247841</v>
      </c>
      <c r="X101" s="78">
        <f t="shared" ref="X101" si="564">X100+W101</f>
        <v>-3533.8096866676292</v>
      </c>
      <c r="Y101" s="78">
        <f t="shared" ref="Y101" si="565">Y100+X101</f>
        <v>-3510.4419969620035</v>
      </c>
      <c r="Z101" s="78">
        <f t="shared" ref="Z101" si="566">Z100+Y101</f>
        <v>-3488.8029331436924</v>
      </c>
      <c r="AA101" s="78">
        <f t="shared" ref="AA101" si="567">AA100+Z101</f>
        <v>-3468.7646200356485</v>
      </c>
      <c r="AB101" s="78">
        <f t="shared" ref="AB101" si="568">AB100+AA101</f>
        <v>-3450.208642032745</v>
      </c>
      <c r="AC101" s="78">
        <f t="shared" ref="AC101" si="569">AC100+AB101</f>
        <v>-3514.2620450905888</v>
      </c>
      <c r="AD101" s="78">
        <f t="shared" ref="AD101" si="570">AD100+AC101</f>
        <v>-3498.3498816746805</v>
      </c>
      <c r="AE101" s="78">
        <f t="shared" ref="AE101" si="571">AE100+AD101</f>
        <v>-3483.6148212565622</v>
      </c>
      <c r="AF101" s="78">
        <f t="shared" ref="AF101" si="572">AF100+AE101</f>
        <v>-3469.9697875895167</v>
      </c>
      <c r="AG101" s="78">
        <f t="shared" ref="AG101" si="573">AG100+AF101</f>
        <v>-3457.3341458960585</v>
      </c>
      <c r="AH101" s="78">
        <f t="shared" ref="AH101" si="574">AH100+AG101</f>
        <v>-3691.9322921985727</v>
      </c>
      <c r="AI101" s="78">
        <f t="shared" ref="AI101" si="575">AI100+AH101</f>
        <v>-3681.0969487065877</v>
      </c>
      <c r="AJ101" s="78">
        <f t="shared" ref="AJ101" si="576">AJ100+AI101</f>
        <v>-3671.0631502322808</v>
      </c>
      <c r="AK101" s="78">
        <f t="shared" ref="AK101" si="577">AK100+AJ101</f>
        <v>-3661.7716024472497</v>
      </c>
      <c r="AL101" s="78">
        <f t="shared" ref="AL101" si="578">AL100+AK101</f>
        <v>-3653.1673973236784</v>
      </c>
      <c r="AM101" s="78">
        <f t="shared" ref="AM101" si="579">AM100+AL101</f>
        <v>-3645.1996886575548</v>
      </c>
      <c r="AN101" s="78">
        <f t="shared" ref="AN101" si="580">AN100+AM101</f>
        <v>-3637.8213915950751</v>
      </c>
      <c r="AO101" s="78">
        <f t="shared" ref="AO101" si="581">AO100+AN101</f>
        <v>-3630.9889043865933</v>
      </c>
      <c r="AP101" s="78">
        <f t="shared" ref="AP101" si="582">AP100+AO101</f>
        <v>-3624.6618507238368</v>
      </c>
      <c r="AQ101" s="78">
        <f t="shared" ref="AQ101" si="583">AQ100+AP101</f>
        <v>-3618.8028411377372</v>
      </c>
      <c r="AR101" s="78">
        <f t="shared" ref="AR101" si="584">AR100+AQ101</f>
        <v>-3727.5834493105112</v>
      </c>
      <c r="AS101" s="78">
        <f t="shared" ref="AS101" si="585">AS100+AR101</f>
        <v>-3722.5592184144193</v>
      </c>
      <c r="AT101" s="78">
        <f t="shared" ref="AT101" si="586">AT100+AS101</f>
        <v>-3717.9066552227619</v>
      </c>
      <c r="AU101" s="78">
        <f t="shared" ref="AU101" si="587">AU100+AT101</f>
        <v>-3713.5982656005408</v>
      </c>
      <c r="AV101" s="78">
        <f t="shared" ref="AV101" si="588">AV100+AU101</f>
        <v>-3709.6085892926194</v>
      </c>
      <c r="AW101" s="78">
        <f t="shared" ref="AW101" si="589">AW100+AV101</f>
        <v>-3705.9140494673698</v>
      </c>
      <c r="AX101" s="78">
        <f t="shared" ref="AX101" si="590">AX100+AW101</f>
        <v>-3702.4928133903336</v>
      </c>
      <c r="AY101" s="78">
        <f t="shared" ref="AY101" si="591">AY100+AX101</f>
        <v>-3699.3246634045577</v>
      </c>
      <c r="AZ101" s="78">
        <f t="shared" ref="AZ101" si="592">AZ100+AY101</f>
        <v>-3696.3908774551628</v>
      </c>
      <c r="BA101" s="78">
        <f t="shared" ref="BA101" si="593">BA100+AZ101</f>
        <v>-3693.6741184521134</v>
      </c>
      <c r="BB101" s="78">
        <f t="shared" ref="BB101" si="594">BB100+BA101</f>
        <v>-3691.1583318173825</v>
      </c>
    </row>
    <row r="102" spans="1:54" x14ac:dyDescent="0.25">
      <c r="A102" s="177"/>
      <c r="B102" s="22" t="s">
        <v>361</v>
      </c>
      <c r="C102" s="75" t="s">
        <v>362</v>
      </c>
      <c r="D102" s="93">
        <f>SUM(D100:BB100)</f>
        <v>-3691.1583318173825</v>
      </c>
    </row>
    <row r="103" spans="1:54" x14ac:dyDescent="0.25">
      <c r="A103" s="180" t="s">
        <v>674</v>
      </c>
      <c r="B103" s="76" t="s">
        <v>363</v>
      </c>
      <c r="C103" s="77" t="s">
        <v>362</v>
      </c>
      <c r="D103" s="78">
        <f>-South_Facade_PV_10S!$B$23/South_Facade_PV_10S!$B$7</f>
        <v>-3043.5999999999995</v>
      </c>
      <c r="E103" s="76">
        <v>0</v>
      </c>
      <c r="F103" s="76">
        <v>0</v>
      </c>
      <c r="G103" s="76">
        <v>0</v>
      </c>
      <c r="H103" s="76">
        <v>0</v>
      </c>
      <c r="I103" s="76">
        <v>0</v>
      </c>
      <c r="J103" s="76">
        <v>0</v>
      </c>
      <c r="K103" s="76">
        <v>0</v>
      </c>
      <c r="L103" s="76">
        <v>0</v>
      </c>
      <c r="M103" s="76">
        <v>0</v>
      </c>
      <c r="N103" s="76">
        <f>-((South_Facade_PV_10S!$B$28*South_Facade_PV_10S!$B$19)/South_Facade_PV_10S!$B$7)*(1+$C$1)^N$194</f>
        <v>-4114.016679626533</v>
      </c>
      <c r="O103" s="76">
        <v>0</v>
      </c>
      <c r="P103" s="76">
        <v>0</v>
      </c>
      <c r="Q103" s="76">
        <v>0</v>
      </c>
      <c r="R103" s="76">
        <v>0</v>
      </c>
      <c r="S103" s="76">
        <v>0</v>
      </c>
      <c r="T103" s="76">
        <v>0</v>
      </c>
      <c r="U103" s="76">
        <v>0</v>
      </c>
      <c r="V103" s="76">
        <v>0</v>
      </c>
      <c r="W103" s="76">
        <v>0</v>
      </c>
      <c r="X103" s="76">
        <f>-((South_Facade_PV_10S!$B$28*South_Facade_PV_10S!$B$19)/South_Facade_PV_10S!$B$7)*(1+$C$1)^X$194</f>
        <v>-6031.4471083653898</v>
      </c>
      <c r="Y103" s="76">
        <v>0</v>
      </c>
      <c r="Z103" s="76">
        <v>0</v>
      </c>
      <c r="AA103" s="76">
        <v>0</v>
      </c>
      <c r="AB103" s="76">
        <v>0</v>
      </c>
      <c r="AC103" s="76">
        <f>-(South_Facade_PV_10S!$B$29*South_Facade_PV_10S!$B$19/South_Facade_PV_10S!$B$7)*(1+$C$1)^X$194</f>
        <v>-1444.0216532905904</v>
      </c>
      <c r="AD103" s="76">
        <v>0</v>
      </c>
      <c r="AE103" s="76">
        <v>0</v>
      </c>
      <c r="AF103" s="76">
        <v>0</v>
      </c>
      <c r="AG103" s="76">
        <v>0</v>
      </c>
      <c r="AH103" s="76">
        <f>-((South_Facade_PV_10S!$B$28*South_Facade_PV_10S!$B$19)/South_Facade_PV_10S!$B$7)*(1+$C$1)^AH$194</f>
        <v>-8842.5393122887417</v>
      </c>
      <c r="AI103" s="76">
        <v>0</v>
      </c>
      <c r="AJ103" s="76">
        <v>0</v>
      </c>
      <c r="AK103" s="76">
        <v>0</v>
      </c>
      <c r="AL103" s="76">
        <v>0</v>
      </c>
      <c r="AM103" s="76">
        <v>0</v>
      </c>
      <c r="AN103" s="76">
        <v>0</v>
      </c>
      <c r="AO103" s="76">
        <v>0</v>
      </c>
      <c r="AP103" s="76">
        <v>0</v>
      </c>
      <c r="AQ103" s="76">
        <v>0</v>
      </c>
      <c r="AR103" s="76">
        <f>-((South_Facade_PV_10S!$B$28*South_Facade_PV_10S!$B$19)/South_Facade_PV_10S!$B$7)*(1+$C$1)^AR$194</f>
        <v>-12963.804553790183</v>
      </c>
      <c r="AS103" s="76">
        <v>0</v>
      </c>
      <c r="AT103" s="76">
        <v>0</v>
      </c>
      <c r="AU103" s="76">
        <v>0</v>
      </c>
      <c r="AV103" s="76">
        <v>0</v>
      </c>
      <c r="AW103" s="76">
        <v>0</v>
      </c>
      <c r="AX103" s="76">
        <v>0</v>
      </c>
      <c r="AY103" s="76">
        <v>0</v>
      </c>
      <c r="AZ103" s="76">
        <v>0</v>
      </c>
      <c r="BA103" s="76">
        <v>0</v>
      </c>
      <c r="BB103" s="76">
        <v>0</v>
      </c>
    </row>
    <row r="104" spans="1:54" x14ac:dyDescent="0.25">
      <c r="A104" s="180"/>
      <c r="B104" s="76" t="s">
        <v>356</v>
      </c>
      <c r="C104" s="77" t="s">
        <v>362</v>
      </c>
      <c r="D104" s="76">
        <v>0</v>
      </c>
      <c r="E104" s="78">
        <f>ABS('Annual Calculations'!$Q$16)*(1+$C$3)^E$194</f>
        <v>121.9424232992</v>
      </c>
      <c r="F104" s="78">
        <f>ABS('Annual Calculations'!$Q$16)*(1+$C$3)^F$194</f>
        <v>126.69817780786877</v>
      </c>
      <c r="G104" s="78">
        <f>ABS('Annual Calculations'!$Q$16)*(1+$C$3)^G$194</f>
        <v>131.63940674237566</v>
      </c>
      <c r="H104" s="78">
        <f>ABS('Annual Calculations'!$Q$16)*(1+$C$3)^H$194</f>
        <v>136.77334360532828</v>
      </c>
      <c r="I104" s="78">
        <f>ABS('Annual Calculations'!$Q$16)*(1+$C$3)^I$194</f>
        <v>142.10750400593605</v>
      </c>
      <c r="J104" s="78">
        <f>ABS('Annual Calculations'!$Q$16)*(1+$C$3)^J$194</f>
        <v>147.64969666216754</v>
      </c>
      <c r="K104" s="78">
        <f>ABS('Annual Calculations'!$Q$16)*(1+$C$3)^K$194</f>
        <v>153.40803483199207</v>
      </c>
      <c r="L104" s="78">
        <f>ABS('Annual Calculations'!$Q$16)*(1+$C$3)^L$194</f>
        <v>159.39094819043973</v>
      </c>
      <c r="M104" s="78">
        <f>ABS('Annual Calculations'!$Q$16)*(1+$C$3)^M$194</f>
        <v>165.60719516986686</v>
      </c>
      <c r="N104" s="78">
        <f>ABS('Annual Calculations'!$Q$16)*(1+$C$3)^N$194</f>
        <v>172.06587578149163</v>
      </c>
      <c r="O104" s="78">
        <f>ABS('Annual Calculations'!$Q$16)*(1+$C$3)^O$194</f>
        <v>178.7764449369698</v>
      </c>
      <c r="P104" s="78">
        <f>ABS('Annual Calculations'!$Q$16)*(1+$C$3)^P$194</f>
        <v>185.74872628951155</v>
      </c>
      <c r="Q104" s="78">
        <f>ABS('Annual Calculations'!$Q$16)*(1+$C$3)^Q$194</f>
        <v>192.99292661480251</v>
      </c>
      <c r="R104" s="78">
        <f>ABS('Annual Calculations'!$Q$16)*(1+$C$3)^R$194</f>
        <v>200.51965075277974</v>
      </c>
      <c r="S104" s="78">
        <f>ABS('Annual Calculations'!$Q$16)*(1+$C$3)^S$194</f>
        <v>208.33991713213817</v>
      </c>
      <c r="T104" s="78">
        <f>ABS('Annual Calculations'!$Q$16)*(1+$C$3)^T$194</f>
        <v>216.46517390029152</v>
      </c>
      <c r="U104" s="78">
        <f>ABS('Annual Calculations'!$Q$16)*(1+$C$3)^U$194</f>
        <v>224.9073156824029</v>
      </c>
      <c r="V104" s="78">
        <f>ABS('Annual Calculations'!$Q$16)*(1+$C$3)^V$194</f>
        <v>233.67870099401657</v>
      </c>
      <c r="W104" s="78">
        <f>ABS('Annual Calculations'!$Q$16)*(1+$C$3)^W$194</f>
        <v>242.79217033278314</v>
      </c>
      <c r="X104" s="78">
        <f>ABS('Annual Calculations'!$Q$16)*(1+$C$3)^X$194</f>
        <v>252.26106497576166</v>
      </c>
      <c r="Y104" s="78">
        <f>ABS('Annual Calculations'!$Q$16)*(1+$C$3)^Y$194</f>
        <v>262.09924650981634</v>
      </c>
      <c r="Z104" s="78">
        <f>ABS('Annual Calculations'!$Q$16)*(1+$C$3)^Z$194</f>
        <v>272.32111712369908</v>
      </c>
      <c r="AA104" s="78">
        <f>ABS('Annual Calculations'!$Q$16)*(1+$C$3)^AA$194</f>
        <v>282.94164069152339</v>
      </c>
      <c r="AB104" s="78">
        <f>ABS('Annual Calculations'!$Q$16)*(1+$C$3)^AB$194</f>
        <v>293.97636467849276</v>
      </c>
      <c r="AC104" s="78">
        <f>ABS('Annual Calculations'!$Q$16)*(1+$C$3)^AC$194</f>
        <v>305.44144290095397</v>
      </c>
      <c r="AD104" s="78">
        <f>ABS('Annual Calculations'!$Q$16)*(1+$C$3)^AD$194</f>
        <v>317.35365917409109</v>
      </c>
      <c r="AE104" s="78">
        <f>ABS('Annual Calculations'!$Q$16)*(1+$C$3)^AE$194</f>
        <v>329.73045188188058</v>
      </c>
      <c r="AF104" s="78">
        <f>ABS('Annual Calculations'!$Q$16)*(1+$C$3)^AF$194</f>
        <v>342.58993950527383</v>
      </c>
      <c r="AG104" s="78">
        <f>ABS('Annual Calculations'!$Q$16)*(1+$C$3)^AG$194</f>
        <v>355.95094714597957</v>
      </c>
      <c r="AH104" s="78">
        <f>ABS('Annual Calculations'!$Q$16)*(1+$C$3)^AH$194</f>
        <v>369.83303408467259</v>
      </c>
      <c r="AI104" s="78">
        <f>ABS('Annual Calculations'!$Q$16)*(1+$C$3)^AI$194</f>
        <v>384.25652241397484</v>
      </c>
      <c r="AJ104" s="78">
        <f>ABS('Annual Calculations'!$Q$16)*(1+$C$3)^AJ$194</f>
        <v>399.24252678811979</v>
      </c>
      <c r="AK104" s="78">
        <f>ABS('Annual Calculations'!$Q$16)*(1+$C$3)^AK$194</f>
        <v>414.81298533285644</v>
      </c>
      <c r="AL104" s="78">
        <f>ABS('Annual Calculations'!$Q$16)*(1+$C$3)^AL$194</f>
        <v>430.99069176083776</v>
      </c>
      <c r="AM104" s="78">
        <f>ABS('Annual Calculations'!$Q$16)*(1+$C$3)^AM$194</f>
        <v>447.79932873951043</v>
      </c>
      <c r="AN104" s="78">
        <f>ABS('Annual Calculations'!$Q$16)*(1+$C$3)^AN$194</f>
        <v>465.26350256035118</v>
      </c>
      <c r="AO104" s="78">
        <f>ABS('Annual Calculations'!$Q$16)*(1+$C$3)^AO$194</f>
        <v>483.40877916020486</v>
      </c>
      <c r="AP104" s="78">
        <f>ABS('Annual Calculations'!$Q$16)*(1+$C$3)^AP$194</f>
        <v>502.26172154745274</v>
      </c>
      <c r="AQ104" s="78">
        <f>ABS('Annual Calculations'!$Q$16)*(1+$C$3)^AQ$194</f>
        <v>521.84992868780341</v>
      </c>
      <c r="AR104" s="78">
        <f>ABS('Annual Calculations'!$Q$16)*(1+$C$3)^AR$194</f>
        <v>542.20207590662756</v>
      </c>
      <c r="AS104" s="78">
        <f>ABS('Annual Calculations'!$Q$16)*(1+$C$3)^AS$194</f>
        <v>563.34795686698612</v>
      </c>
      <c r="AT104" s="78">
        <f>ABS('Annual Calculations'!$Q$16)*(1+$C$3)^AT$194</f>
        <v>585.31852718479843</v>
      </c>
      <c r="AU104" s="78">
        <f>ABS('Annual Calculations'!$Q$16)*(1+$C$3)^AU$194</f>
        <v>608.14594974500551</v>
      </c>
      <c r="AV104" s="78">
        <f>ABS('Annual Calculations'!$Q$16)*(1+$C$3)^AV$194</f>
        <v>631.86364178506051</v>
      </c>
      <c r="AW104" s="78">
        <f>ABS('Annual Calculations'!$Q$16)*(1+$C$3)^AW$194</f>
        <v>656.5063238146779</v>
      </c>
      <c r="AX104" s="78">
        <f>ABS('Annual Calculations'!$Q$16)*(1+$C$3)^AX$194</f>
        <v>682.11007044345001</v>
      </c>
      <c r="AY104" s="78">
        <f>ABS('Annual Calculations'!$Q$16)*(1+$C$3)^AY$194</f>
        <v>708.71236319074467</v>
      </c>
      <c r="AZ104" s="78">
        <f>ABS('Annual Calculations'!$Q$16)*(1+$C$3)^AZ$194</f>
        <v>736.35214535518367</v>
      </c>
      <c r="BA104" s="78">
        <f>ABS('Annual Calculations'!$Q$16)*(1+$C$3)^BA$194</f>
        <v>765.06987902403569</v>
      </c>
      <c r="BB104" s="78">
        <f>ABS('Annual Calculations'!$Q$16)*(1+$C$3)^BB$194</f>
        <v>794.907604305973</v>
      </c>
    </row>
    <row r="105" spans="1:54" x14ac:dyDescent="0.25">
      <c r="A105" s="180"/>
      <c r="B105" s="76" t="s">
        <v>357</v>
      </c>
      <c r="C105" s="77" t="s">
        <v>362</v>
      </c>
      <c r="D105" s="76">
        <v>0</v>
      </c>
      <c r="E105" s="76">
        <v>0</v>
      </c>
      <c r="F105" s="76">
        <v>0</v>
      </c>
      <c r="G105" s="76">
        <v>0</v>
      </c>
      <c r="H105" s="76">
        <v>0</v>
      </c>
      <c r="I105" s="76">
        <v>0</v>
      </c>
      <c r="J105" s="76">
        <v>0</v>
      </c>
      <c r="K105" s="76">
        <v>0</v>
      </c>
      <c r="L105" s="76">
        <v>0</v>
      </c>
      <c r="M105" s="76">
        <v>0</v>
      </c>
      <c r="N105" s="76">
        <v>0</v>
      </c>
      <c r="O105" s="76">
        <v>0</v>
      </c>
      <c r="P105" s="76">
        <v>0</v>
      </c>
      <c r="Q105" s="76">
        <v>0</v>
      </c>
      <c r="R105" s="76">
        <v>0</v>
      </c>
      <c r="S105" s="76">
        <v>0</v>
      </c>
      <c r="T105" s="76">
        <v>0</v>
      </c>
      <c r="U105" s="76">
        <v>0</v>
      </c>
      <c r="V105" s="76">
        <v>0</v>
      </c>
      <c r="W105" s="76">
        <v>0</v>
      </c>
      <c r="X105" s="76">
        <v>0</v>
      </c>
      <c r="Y105" s="76">
        <v>0</v>
      </c>
      <c r="Z105" s="76">
        <v>0</v>
      </c>
      <c r="AA105" s="76">
        <v>0</v>
      </c>
      <c r="AB105" s="76">
        <v>0</v>
      </c>
      <c r="AC105" s="76">
        <v>0</v>
      </c>
      <c r="AD105" s="76">
        <v>0</v>
      </c>
      <c r="AE105" s="76">
        <v>0</v>
      </c>
      <c r="AF105" s="76">
        <v>0</v>
      </c>
      <c r="AG105" s="76">
        <v>0</v>
      </c>
      <c r="AH105" s="76">
        <v>0</v>
      </c>
      <c r="AI105" s="76">
        <v>0</v>
      </c>
      <c r="AJ105" s="76">
        <v>0</v>
      </c>
      <c r="AK105" s="76">
        <v>0</v>
      </c>
      <c r="AL105" s="76">
        <v>0</v>
      </c>
      <c r="AM105" s="76">
        <v>0</v>
      </c>
      <c r="AN105" s="76">
        <v>0</v>
      </c>
      <c r="AO105" s="76">
        <v>0</v>
      </c>
      <c r="AP105" s="76">
        <v>0</v>
      </c>
      <c r="AQ105" s="76">
        <v>0</v>
      </c>
      <c r="AR105" s="76">
        <v>0</v>
      </c>
      <c r="AS105" s="76">
        <v>0</v>
      </c>
      <c r="AT105" s="76">
        <v>0</v>
      </c>
      <c r="AU105" s="76">
        <v>0</v>
      </c>
      <c r="AV105" s="76">
        <v>0</v>
      </c>
      <c r="AW105" s="76">
        <v>0</v>
      </c>
      <c r="AX105" s="76">
        <v>0</v>
      </c>
      <c r="AY105" s="76">
        <v>0</v>
      </c>
      <c r="AZ105" s="76">
        <v>0</v>
      </c>
      <c r="BA105" s="76">
        <v>0</v>
      </c>
      <c r="BB105" s="76">
        <v>0</v>
      </c>
    </row>
    <row r="106" spans="1:54" x14ac:dyDescent="0.25">
      <c r="A106" s="180"/>
      <c r="B106" s="76" t="s">
        <v>358</v>
      </c>
      <c r="C106" s="77" t="s">
        <v>362</v>
      </c>
      <c r="D106" s="76">
        <f>SUM(D103:D105)</f>
        <v>-3043.5999999999995</v>
      </c>
      <c r="E106" s="78">
        <f t="shared" ref="E106:BB106" si="595">SUM(E103:E105)</f>
        <v>121.9424232992</v>
      </c>
      <c r="F106" s="78">
        <f t="shared" si="595"/>
        <v>126.69817780786877</v>
      </c>
      <c r="G106" s="78">
        <f t="shared" si="595"/>
        <v>131.63940674237566</v>
      </c>
      <c r="H106" s="78">
        <f t="shared" si="595"/>
        <v>136.77334360532828</v>
      </c>
      <c r="I106" s="78">
        <f t="shared" si="595"/>
        <v>142.10750400593605</v>
      </c>
      <c r="J106" s="78">
        <f t="shared" si="595"/>
        <v>147.64969666216754</v>
      </c>
      <c r="K106" s="78">
        <f t="shared" si="595"/>
        <v>153.40803483199207</v>
      </c>
      <c r="L106" s="78">
        <f t="shared" si="595"/>
        <v>159.39094819043973</v>
      </c>
      <c r="M106" s="78">
        <f t="shared" si="595"/>
        <v>165.60719516986686</v>
      </c>
      <c r="N106" s="78">
        <f t="shared" si="595"/>
        <v>-3941.9508038450413</v>
      </c>
      <c r="O106" s="78">
        <f t="shared" si="595"/>
        <v>178.7764449369698</v>
      </c>
      <c r="P106" s="78">
        <f t="shared" si="595"/>
        <v>185.74872628951155</v>
      </c>
      <c r="Q106" s="78">
        <f t="shared" si="595"/>
        <v>192.99292661480251</v>
      </c>
      <c r="R106" s="78">
        <f t="shared" si="595"/>
        <v>200.51965075277974</v>
      </c>
      <c r="S106" s="78">
        <f t="shared" si="595"/>
        <v>208.33991713213817</v>
      </c>
      <c r="T106" s="78">
        <f t="shared" si="595"/>
        <v>216.46517390029152</v>
      </c>
      <c r="U106" s="78">
        <f t="shared" si="595"/>
        <v>224.9073156824029</v>
      </c>
      <c r="V106" s="78">
        <f t="shared" si="595"/>
        <v>233.67870099401657</v>
      </c>
      <c r="W106" s="78">
        <f t="shared" si="595"/>
        <v>242.79217033278314</v>
      </c>
      <c r="X106" s="78">
        <f t="shared" si="595"/>
        <v>-5779.1860433896281</v>
      </c>
      <c r="Y106" s="78">
        <f t="shared" si="595"/>
        <v>262.09924650981634</v>
      </c>
      <c r="Z106" s="78">
        <f t="shared" si="595"/>
        <v>272.32111712369908</v>
      </c>
      <c r="AA106" s="78">
        <f t="shared" si="595"/>
        <v>282.94164069152339</v>
      </c>
      <c r="AB106" s="78">
        <f t="shared" si="595"/>
        <v>293.97636467849276</v>
      </c>
      <c r="AC106" s="78">
        <f t="shared" si="595"/>
        <v>-1138.5802103896365</v>
      </c>
      <c r="AD106" s="78">
        <f t="shared" si="595"/>
        <v>317.35365917409109</v>
      </c>
      <c r="AE106" s="78">
        <f t="shared" si="595"/>
        <v>329.73045188188058</v>
      </c>
      <c r="AF106" s="78">
        <f t="shared" si="595"/>
        <v>342.58993950527383</v>
      </c>
      <c r="AG106" s="78">
        <f t="shared" si="595"/>
        <v>355.95094714597957</v>
      </c>
      <c r="AH106" s="78">
        <f t="shared" si="595"/>
        <v>-8472.7062782040684</v>
      </c>
      <c r="AI106" s="78">
        <f t="shared" si="595"/>
        <v>384.25652241397484</v>
      </c>
      <c r="AJ106" s="78">
        <f t="shared" si="595"/>
        <v>399.24252678811979</v>
      </c>
      <c r="AK106" s="78">
        <f t="shared" si="595"/>
        <v>414.81298533285644</v>
      </c>
      <c r="AL106" s="78">
        <f t="shared" si="595"/>
        <v>430.99069176083776</v>
      </c>
      <c r="AM106" s="78">
        <f t="shared" si="595"/>
        <v>447.79932873951043</v>
      </c>
      <c r="AN106" s="78">
        <f t="shared" si="595"/>
        <v>465.26350256035118</v>
      </c>
      <c r="AO106" s="78">
        <f t="shared" si="595"/>
        <v>483.40877916020486</v>
      </c>
      <c r="AP106" s="78">
        <f t="shared" si="595"/>
        <v>502.26172154745274</v>
      </c>
      <c r="AQ106" s="78">
        <f t="shared" si="595"/>
        <v>521.84992868780341</v>
      </c>
      <c r="AR106" s="78">
        <f t="shared" si="595"/>
        <v>-12421.602477883556</v>
      </c>
      <c r="AS106" s="78">
        <f t="shared" si="595"/>
        <v>563.34795686698612</v>
      </c>
      <c r="AT106" s="78">
        <f t="shared" si="595"/>
        <v>585.31852718479843</v>
      </c>
      <c r="AU106" s="78">
        <f t="shared" si="595"/>
        <v>608.14594974500551</v>
      </c>
      <c r="AV106" s="78">
        <f t="shared" si="595"/>
        <v>631.86364178506051</v>
      </c>
      <c r="AW106" s="78">
        <f t="shared" si="595"/>
        <v>656.5063238146779</v>
      </c>
      <c r="AX106" s="78">
        <f t="shared" si="595"/>
        <v>682.11007044345001</v>
      </c>
      <c r="AY106" s="78">
        <f t="shared" si="595"/>
        <v>708.71236319074467</v>
      </c>
      <c r="AZ106" s="78">
        <f t="shared" si="595"/>
        <v>736.35214535518367</v>
      </c>
      <c r="BA106" s="78">
        <f t="shared" si="595"/>
        <v>765.06987902403569</v>
      </c>
      <c r="BB106" s="78">
        <f t="shared" si="595"/>
        <v>794.907604305973</v>
      </c>
    </row>
    <row r="107" spans="1:54" x14ac:dyDescent="0.25">
      <c r="A107" s="180"/>
      <c r="B107" s="76" t="s">
        <v>359</v>
      </c>
      <c r="C107" s="77"/>
      <c r="D107" s="76">
        <f t="shared" ref="D107:AI107" si="596">(1+$C$2)^D$194</f>
        <v>1</v>
      </c>
      <c r="E107" s="79">
        <f t="shared" si="596"/>
        <v>1.1219999999999999</v>
      </c>
      <c r="F107" s="79">
        <f t="shared" si="596"/>
        <v>1.2588839999999997</v>
      </c>
      <c r="G107" s="79">
        <f t="shared" si="596"/>
        <v>1.4124678479999995</v>
      </c>
      <c r="H107" s="79">
        <f t="shared" si="596"/>
        <v>1.5847889254559993</v>
      </c>
      <c r="I107" s="79">
        <f t="shared" si="596"/>
        <v>1.7781331743616309</v>
      </c>
      <c r="J107" s="79">
        <f t="shared" si="596"/>
        <v>1.9950654216337496</v>
      </c>
      <c r="K107" s="79">
        <f t="shared" si="596"/>
        <v>2.2384634030730668</v>
      </c>
      <c r="L107" s="79">
        <f t="shared" si="596"/>
        <v>2.5115559382479806</v>
      </c>
      <c r="M107" s="79">
        <f t="shared" si="596"/>
        <v>2.817965762714234</v>
      </c>
      <c r="N107" s="79">
        <f t="shared" si="596"/>
        <v>3.1617575857653701</v>
      </c>
      <c r="O107" s="79">
        <f t="shared" si="596"/>
        <v>3.5474920112287447</v>
      </c>
      <c r="P107" s="79">
        <f t="shared" si="596"/>
        <v>3.9802860365986512</v>
      </c>
      <c r="Q107" s="79">
        <f t="shared" si="596"/>
        <v>4.4658809330636862</v>
      </c>
      <c r="R107" s="79">
        <f t="shared" si="596"/>
        <v>5.0107184068974551</v>
      </c>
      <c r="S107" s="79">
        <f t="shared" si="596"/>
        <v>5.6220260525389438</v>
      </c>
      <c r="T107" s="79">
        <f t="shared" si="596"/>
        <v>6.307913230948694</v>
      </c>
      <c r="U107" s="79">
        <f t="shared" si="596"/>
        <v>7.077478645124434</v>
      </c>
      <c r="V107" s="79">
        <f t="shared" si="596"/>
        <v>7.9409310398296133</v>
      </c>
      <c r="W107" s="79">
        <f t="shared" si="596"/>
        <v>8.9097246266888259</v>
      </c>
      <c r="X107" s="79">
        <f t="shared" si="596"/>
        <v>9.9967110311448621</v>
      </c>
      <c r="Y107" s="79">
        <f t="shared" si="596"/>
        <v>11.216309776944533</v>
      </c>
      <c r="Z107" s="79">
        <f t="shared" si="596"/>
        <v>12.584699569731765</v>
      </c>
      <c r="AA107" s="79">
        <f t="shared" si="596"/>
        <v>14.120032917239037</v>
      </c>
      <c r="AB107" s="79">
        <f t="shared" si="596"/>
        <v>15.842676933142199</v>
      </c>
      <c r="AC107" s="79">
        <f t="shared" si="596"/>
        <v>17.775483518985546</v>
      </c>
      <c r="AD107" s="79">
        <f t="shared" si="596"/>
        <v>19.944092508301779</v>
      </c>
      <c r="AE107" s="79">
        <f t="shared" si="596"/>
        <v>22.377271794314591</v>
      </c>
      <c r="AF107" s="79">
        <f t="shared" si="596"/>
        <v>25.107298953220969</v>
      </c>
      <c r="AG107" s="79">
        <f t="shared" si="596"/>
        <v>28.170389425513925</v>
      </c>
      <c r="AH107" s="79">
        <f t="shared" si="596"/>
        <v>31.607176935426619</v>
      </c>
      <c r="AI107" s="79">
        <f t="shared" si="596"/>
        <v>35.463252521548661</v>
      </c>
      <c r="AJ107" s="79">
        <f t="shared" ref="AJ107:BB107" si="597">(1+$C$2)^AJ$194</f>
        <v>39.789769329177595</v>
      </c>
      <c r="AK107" s="79">
        <f t="shared" si="597"/>
        <v>44.644121187337255</v>
      </c>
      <c r="AL107" s="79">
        <f t="shared" si="597"/>
        <v>50.090703972192394</v>
      </c>
      <c r="AM107" s="79">
        <f t="shared" si="597"/>
        <v>56.201769856799864</v>
      </c>
      <c r="AN107" s="79">
        <f t="shared" si="597"/>
        <v>63.058385779329434</v>
      </c>
      <c r="AO107" s="79">
        <f t="shared" si="597"/>
        <v>70.751508844407624</v>
      </c>
      <c r="AP107" s="79">
        <f t="shared" si="597"/>
        <v>79.383192923425341</v>
      </c>
      <c r="AQ107" s="79">
        <f t="shared" si="597"/>
        <v>89.067942460083216</v>
      </c>
      <c r="AR107" s="79">
        <f t="shared" si="597"/>
        <v>99.934231440213352</v>
      </c>
      <c r="AS107" s="79">
        <f t="shared" si="597"/>
        <v>112.12620767591937</v>
      </c>
      <c r="AT107" s="79">
        <f t="shared" si="597"/>
        <v>125.80560501238152</v>
      </c>
      <c r="AU107" s="79">
        <f t="shared" si="597"/>
        <v>141.15388882389203</v>
      </c>
      <c r="AV107" s="79">
        <f t="shared" si="597"/>
        <v>158.37466326040686</v>
      </c>
      <c r="AW107" s="79">
        <f t="shared" si="597"/>
        <v>177.69637217817649</v>
      </c>
      <c r="AX107" s="79">
        <f t="shared" si="597"/>
        <v>199.37532958391398</v>
      </c>
      <c r="AY107" s="79">
        <f t="shared" si="597"/>
        <v>223.69911979315145</v>
      </c>
      <c r="AZ107" s="79">
        <f t="shared" si="597"/>
        <v>250.9904124079159</v>
      </c>
      <c r="BA107" s="79">
        <f t="shared" si="597"/>
        <v>281.61124272168161</v>
      </c>
      <c r="BB107" s="79">
        <f t="shared" si="597"/>
        <v>315.96781433372672</v>
      </c>
    </row>
    <row r="108" spans="1:54" x14ac:dyDescent="0.25">
      <c r="A108" s="180"/>
      <c r="B108" s="76" t="s">
        <v>360</v>
      </c>
      <c r="C108" s="77" t="s">
        <v>362</v>
      </c>
      <c r="D108" s="76">
        <f>D106/D107</f>
        <v>-3043.5999999999995</v>
      </c>
      <c r="E108" s="78">
        <f>E106/E107</f>
        <v>108.6830867194296</v>
      </c>
      <c r="F108" s="78">
        <f>F106/F107</f>
        <v>100.64325053608498</v>
      </c>
      <c r="G108" s="78">
        <f t="shared" ref="G108:BB108" si="598">G106/G107</f>
        <v>93.19816159268477</v>
      </c>
      <c r="H108" s="78">
        <f t="shared" si="598"/>
        <v>86.303823435650145</v>
      </c>
      <c r="I108" s="78">
        <f t="shared" si="598"/>
        <v>79.919494251016488</v>
      </c>
      <c r="J108" s="78">
        <f t="shared" si="598"/>
        <v>74.00744610232276</v>
      </c>
      <c r="K108" s="78">
        <f t="shared" si="598"/>
        <v>68.532741978888893</v>
      </c>
      <c r="L108" s="78">
        <f t="shared" si="598"/>
        <v>63.463029336956829</v>
      </c>
      <c r="M108" s="78">
        <f t="shared" si="598"/>
        <v>58.768348913634711</v>
      </c>
      <c r="N108" s="78">
        <f t="shared" si="598"/>
        <v>-1246.7593409413166</v>
      </c>
      <c r="O108" s="78">
        <f t="shared" si="598"/>
        <v>50.395164913999906</v>
      </c>
      <c r="P108" s="78">
        <f t="shared" si="598"/>
        <v>46.667180343712914</v>
      </c>
      <c r="Q108" s="78">
        <f t="shared" si="598"/>
        <v>43.214973598144141</v>
      </c>
      <c r="R108" s="78">
        <f t="shared" si="598"/>
        <v>40.018144000420456</v>
      </c>
      <c r="S108" s="78">
        <f t="shared" si="598"/>
        <v>37.057800014649608</v>
      </c>
      <c r="T108" s="78">
        <f t="shared" si="598"/>
        <v>34.316447607148795</v>
      </c>
      <c r="U108" s="78">
        <f t="shared" si="598"/>
        <v>31.777886866156507</v>
      </c>
      <c r="V108" s="78">
        <f t="shared" si="598"/>
        <v>29.427116269105714</v>
      </c>
      <c r="W108" s="78">
        <f t="shared" si="598"/>
        <v>27.250244031729792</v>
      </c>
      <c r="X108" s="78">
        <f t="shared" si="598"/>
        <v>-578.10874250386064</v>
      </c>
      <c r="Y108" s="78">
        <f t="shared" si="598"/>
        <v>23.367689705625761</v>
      </c>
      <c r="Z108" s="78">
        <f t="shared" si="598"/>
        <v>21.639063818311193</v>
      </c>
      <c r="AA108" s="78">
        <f t="shared" si="598"/>
        <v>20.038313108043972</v>
      </c>
      <c r="AB108" s="78">
        <f t="shared" si="598"/>
        <v>18.555978002903466</v>
      </c>
      <c r="AC108" s="78">
        <f t="shared" si="598"/>
        <v>-64.053403057843553</v>
      </c>
      <c r="AD108" s="78">
        <f t="shared" si="598"/>
        <v>15.912163415908337</v>
      </c>
      <c r="AE108" s="78">
        <f t="shared" si="598"/>
        <v>14.735060418118326</v>
      </c>
      <c r="AF108" s="78">
        <f t="shared" si="598"/>
        <v>13.6450336670454</v>
      </c>
      <c r="AG108" s="78">
        <f t="shared" si="598"/>
        <v>12.635641693458265</v>
      </c>
      <c r="AH108" s="78">
        <f t="shared" si="598"/>
        <v>-268.06273447052183</v>
      </c>
      <c r="AI108" s="78">
        <f t="shared" si="598"/>
        <v>10.835343491984771</v>
      </c>
      <c r="AJ108" s="78">
        <f t="shared" si="598"/>
        <v>10.033798474306753</v>
      </c>
      <c r="AK108" s="78">
        <f t="shared" si="598"/>
        <v>9.2915477850309429</v>
      </c>
      <c r="AL108" s="78">
        <f t="shared" si="598"/>
        <v>8.6042051235714343</v>
      </c>
      <c r="AM108" s="78">
        <f t="shared" si="598"/>
        <v>7.9677086661236363</v>
      </c>
      <c r="AN108" s="78">
        <f t="shared" si="598"/>
        <v>7.3782970624799082</v>
      </c>
      <c r="AO108" s="78">
        <f t="shared" si="598"/>
        <v>6.8324872084818402</v>
      </c>
      <c r="AP108" s="78">
        <f t="shared" si="598"/>
        <v>6.3270536627563558</v>
      </c>
      <c r="AQ108" s="78">
        <f t="shared" si="598"/>
        <v>5.8590095860996927</v>
      </c>
      <c r="AR108" s="78">
        <f t="shared" si="598"/>
        <v>-124.29777363440178</v>
      </c>
      <c r="AS108" s="78">
        <f t="shared" si="598"/>
        <v>5.0242308960920363</v>
      </c>
      <c r="AT108" s="78">
        <f t="shared" si="598"/>
        <v>4.6525631916574195</v>
      </c>
      <c r="AU108" s="78">
        <f t="shared" si="598"/>
        <v>4.3083896222210871</v>
      </c>
      <c r="AV108" s="78">
        <f t="shared" si="598"/>
        <v>3.9896763079213082</v>
      </c>
      <c r="AW108" s="78">
        <f t="shared" si="598"/>
        <v>3.6945398252497679</v>
      </c>
      <c r="AX108" s="78">
        <f t="shared" si="598"/>
        <v>3.4212360770361032</v>
      </c>
      <c r="AY108" s="78">
        <f t="shared" si="598"/>
        <v>3.1681499857758579</v>
      </c>
      <c r="AZ108" s="78">
        <f t="shared" si="598"/>
        <v>2.9337859493949345</v>
      </c>
      <c r="BA108" s="78">
        <f t="shared" si="598"/>
        <v>2.7167590030493196</v>
      </c>
      <c r="BB108" s="78">
        <f t="shared" si="598"/>
        <v>2.5157866347310547</v>
      </c>
    </row>
    <row r="109" spans="1:54" x14ac:dyDescent="0.25">
      <c r="A109" s="180"/>
      <c r="B109" s="76" t="s">
        <v>645</v>
      </c>
      <c r="C109" s="77" t="s">
        <v>362</v>
      </c>
      <c r="D109" s="76">
        <f>D108</f>
        <v>-3043.5999999999995</v>
      </c>
      <c r="E109" s="78">
        <f>E108+D109</f>
        <v>-2934.91691328057</v>
      </c>
      <c r="F109" s="78">
        <f t="shared" ref="F109" si="599">F108+E109</f>
        <v>-2834.2736627444851</v>
      </c>
      <c r="G109" s="78">
        <f t="shared" ref="G109" si="600">G108+F109</f>
        <v>-2741.0755011518004</v>
      </c>
      <c r="H109" s="78">
        <f t="shared" ref="H109" si="601">H108+G109</f>
        <v>-2654.7716777161504</v>
      </c>
      <c r="I109" s="78">
        <f t="shared" ref="I109" si="602">I108+H109</f>
        <v>-2574.8521834651337</v>
      </c>
      <c r="J109" s="78">
        <f t="shared" ref="J109" si="603">J108+I109</f>
        <v>-2500.844737362811</v>
      </c>
      <c r="K109" s="78">
        <f t="shared" ref="K109" si="604">K108+J109</f>
        <v>-2432.3119953839223</v>
      </c>
      <c r="L109" s="78">
        <f t="shared" ref="L109" si="605">L108+K109</f>
        <v>-2368.8489660469654</v>
      </c>
      <c r="M109" s="78">
        <f t="shared" ref="M109" si="606">M108+L109</f>
        <v>-2310.0806171333306</v>
      </c>
      <c r="N109" s="78">
        <f t="shared" ref="N109" si="607">N108+M109</f>
        <v>-3556.8399580746473</v>
      </c>
      <c r="O109" s="78">
        <f t="shared" ref="O109" si="608">O108+N109</f>
        <v>-3506.4447931606474</v>
      </c>
      <c r="P109" s="78">
        <f t="shared" ref="P109" si="609">P108+O109</f>
        <v>-3459.7776128169344</v>
      </c>
      <c r="Q109" s="78">
        <f t="shared" ref="Q109" si="610">Q108+P109</f>
        <v>-3416.5626392187901</v>
      </c>
      <c r="R109" s="78">
        <f t="shared" ref="R109" si="611">R108+Q109</f>
        <v>-3376.5444952183698</v>
      </c>
      <c r="S109" s="78">
        <f t="shared" ref="S109" si="612">S108+R109</f>
        <v>-3339.48669520372</v>
      </c>
      <c r="T109" s="78">
        <f t="shared" ref="T109" si="613">T108+S109</f>
        <v>-3305.1702475965712</v>
      </c>
      <c r="U109" s="78">
        <f t="shared" ref="U109" si="614">U108+T109</f>
        <v>-3273.3923607304146</v>
      </c>
      <c r="V109" s="78">
        <f t="shared" ref="V109" si="615">V108+U109</f>
        <v>-3243.9652444613089</v>
      </c>
      <c r="W109" s="78">
        <f t="shared" ref="W109" si="616">W108+V109</f>
        <v>-3216.715000429579</v>
      </c>
      <c r="X109" s="78">
        <f t="shared" ref="X109" si="617">X108+W109</f>
        <v>-3794.8237429334395</v>
      </c>
      <c r="Y109" s="78">
        <f t="shared" ref="Y109" si="618">Y108+X109</f>
        <v>-3771.4560532278138</v>
      </c>
      <c r="Z109" s="78">
        <f t="shared" ref="Z109" si="619">Z108+Y109</f>
        <v>-3749.8169894095026</v>
      </c>
      <c r="AA109" s="78">
        <f t="shared" ref="AA109" si="620">AA108+Z109</f>
        <v>-3729.7786763014587</v>
      </c>
      <c r="AB109" s="78">
        <f t="shared" ref="AB109" si="621">AB108+AA109</f>
        <v>-3711.2226982985553</v>
      </c>
      <c r="AC109" s="78">
        <f t="shared" ref="AC109" si="622">AC108+AB109</f>
        <v>-3775.2761013563991</v>
      </c>
      <c r="AD109" s="78">
        <f t="shared" ref="AD109" si="623">AD108+AC109</f>
        <v>-3759.3639379404908</v>
      </c>
      <c r="AE109" s="78">
        <f t="shared" ref="AE109" si="624">AE108+AD109</f>
        <v>-3744.6288775223725</v>
      </c>
      <c r="AF109" s="78">
        <f t="shared" ref="AF109" si="625">AF108+AE109</f>
        <v>-3730.983843855327</v>
      </c>
      <c r="AG109" s="78">
        <f t="shared" ref="AG109" si="626">AG108+AF109</f>
        <v>-3718.3482021618688</v>
      </c>
      <c r="AH109" s="78">
        <f t="shared" ref="AH109" si="627">AH108+AG109</f>
        <v>-3986.4109366323905</v>
      </c>
      <c r="AI109" s="78">
        <f t="shared" ref="AI109" si="628">AI108+AH109</f>
        <v>-3975.5755931404055</v>
      </c>
      <c r="AJ109" s="78">
        <f t="shared" ref="AJ109" si="629">AJ108+AI109</f>
        <v>-3965.5417946660987</v>
      </c>
      <c r="AK109" s="78">
        <f t="shared" ref="AK109" si="630">AK108+AJ109</f>
        <v>-3956.2502468810676</v>
      </c>
      <c r="AL109" s="78">
        <f t="shared" ref="AL109" si="631">AL108+AK109</f>
        <v>-3947.6460417574963</v>
      </c>
      <c r="AM109" s="78">
        <f t="shared" ref="AM109" si="632">AM108+AL109</f>
        <v>-3939.6783330913727</v>
      </c>
      <c r="AN109" s="78">
        <f t="shared" ref="AN109" si="633">AN108+AM109</f>
        <v>-3932.3000360288929</v>
      </c>
      <c r="AO109" s="78">
        <f t="shared" ref="AO109" si="634">AO108+AN109</f>
        <v>-3925.4675488204111</v>
      </c>
      <c r="AP109" s="78">
        <f t="shared" ref="AP109" si="635">AP108+AO109</f>
        <v>-3919.1404951576546</v>
      </c>
      <c r="AQ109" s="78">
        <f t="shared" ref="AQ109" si="636">AQ108+AP109</f>
        <v>-3913.2814855715551</v>
      </c>
      <c r="AR109" s="78">
        <f t="shared" ref="AR109" si="637">AR108+AQ109</f>
        <v>-4037.579259205957</v>
      </c>
      <c r="AS109" s="78">
        <f t="shared" ref="AS109" si="638">AS108+AR109</f>
        <v>-4032.5550283098651</v>
      </c>
      <c r="AT109" s="78">
        <f t="shared" ref="AT109" si="639">AT108+AS109</f>
        <v>-4027.9024651182076</v>
      </c>
      <c r="AU109" s="78">
        <f t="shared" ref="AU109" si="640">AU108+AT109</f>
        <v>-4023.5940754959865</v>
      </c>
      <c r="AV109" s="78">
        <f t="shared" ref="AV109" si="641">AV108+AU109</f>
        <v>-4019.6043991880651</v>
      </c>
      <c r="AW109" s="78">
        <f t="shared" ref="AW109" si="642">AW108+AV109</f>
        <v>-4015.9098593628155</v>
      </c>
      <c r="AX109" s="78">
        <f t="shared" ref="AX109" si="643">AX108+AW109</f>
        <v>-4012.4886232857793</v>
      </c>
      <c r="AY109" s="78">
        <f t="shared" ref="AY109" si="644">AY108+AX109</f>
        <v>-4009.3204733000034</v>
      </c>
      <c r="AZ109" s="78">
        <f t="shared" ref="AZ109" si="645">AZ108+AY109</f>
        <v>-4006.3866873506086</v>
      </c>
      <c r="BA109" s="78">
        <f t="shared" ref="BA109" si="646">BA108+AZ109</f>
        <v>-4003.6699283475591</v>
      </c>
      <c r="BB109" s="78">
        <f t="shared" ref="BB109" si="647">BB108+BA109</f>
        <v>-4001.1541417128283</v>
      </c>
    </row>
    <row r="110" spans="1:54" x14ac:dyDescent="0.25">
      <c r="A110" s="180"/>
      <c r="B110" s="80" t="s">
        <v>361</v>
      </c>
      <c r="C110" s="81" t="s">
        <v>362</v>
      </c>
      <c r="D110" s="92">
        <f>SUM(D108:BB108)</f>
        <v>-4001.1541417128283</v>
      </c>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row>
    <row r="111" spans="1:54" x14ac:dyDescent="0.25">
      <c r="A111" s="177" t="s">
        <v>578</v>
      </c>
      <c r="B111" t="s">
        <v>363</v>
      </c>
      <c r="C111" s="72" t="s">
        <v>362</v>
      </c>
      <c r="D111">
        <f>AC_HEATING!B25</f>
        <v>5250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f>(AC_HEATING!$B$21+AC_HEATING!$B$23)*(1+$C$1)^AH6</f>
        <v>4254.0265415757831</v>
      </c>
      <c r="AI111">
        <v>0</v>
      </c>
      <c r="AJ111">
        <v>0</v>
      </c>
      <c r="AK111">
        <v>0</v>
      </c>
      <c r="AL111">
        <v>0</v>
      </c>
      <c r="AM111">
        <v>0</v>
      </c>
      <c r="AN111">
        <v>0</v>
      </c>
      <c r="AO111">
        <v>0</v>
      </c>
      <c r="AP111">
        <v>0</v>
      </c>
      <c r="AQ111">
        <v>0</v>
      </c>
      <c r="AR111">
        <f>-(PV!$C$112*12+PV!$C$109)*(1+$C$1)^AR$194</f>
        <v>-19634.092483221939</v>
      </c>
      <c r="AS111">
        <v>0</v>
      </c>
      <c r="AT111">
        <v>0</v>
      </c>
      <c r="AU111">
        <v>0</v>
      </c>
      <c r="AV111">
        <v>0</v>
      </c>
      <c r="AW111">
        <v>0</v>
      </c>
      <c r="AX111">
        <v>0</v>
      </c>
      <c r="AY111">
        <v>0</v>
      </c>
      <c r="AZ111">
        <v>0</v>
      </c>
      <c r="BA111">
        <v>0</v>
      </c>
      <c r="BB111">
        <v>0</v>
      </c>
    </row>
    <row r="112" spans="1:54" x14ac:dyDescent="0.25">
      <c r="A112" s="177"/>
      <c r="B112" t="s">
        <v>356</v>
      </c>
      <c r="C112" s="72" t="s">
        <v>362</v>
      </c>
      <c r="D112">
        <v>0</v>
      </c>
      <c r="E112" s="18">
        <f>-'Annual Calculations'!$Q$17*(1+$C$3)^E$194</f>
        <v>-149.47850275565838</v>
      </c>
      <c r="F112" s="18">
        <f>-'Annual Calculations'!$Q$17*(1+$C$3)^F$194</f>
        <v>-155.30816436312904</v>
      </c>
      <c r="G112" s="18">
        <f>-'Annual Calculations'!$Q$17*(1+$C$3)^G$194</f>
        <v>-161.36518277329105</v>
      </c>
      <c r="H112" s="18">
        <f>-'Annual Calculations'!$Q$17*(1+$C$3)^H$194</f>
        <v>-167.65842490144937</v>
      </c>
      <c r="I112" s="18">
        <f>-'Annual Calculations'!$Q$17*(1+$C$3)^I$194</f>
        <v>-174.19710347260587</v>
      </c>
      <c r="J112" s="18">
        <f>-'Annual Calculations'!$Q$17*(1+$C$3)^J$194</f>
        <v>-180.99079050803746</v>
      </c>
      <c r="K112" s="18">
        <f>-'Annual Calculations'!$Q$17*(1+$C$3)^K$194</f>
        <v>-188.04943133785093</v>
      </c>
      <c r="L112" s="18">
        <f>-'Annual Calculations'!$Q$17*(1+$C$3)^L$194</f>
        <v>-195.38335916002708</v>
      </c>
      <c r="M112" s="18">
        <f>-'Annual Calculations'!$Q$17*(1+$C$3)^M$194</f>
        <v>-203.00331016726813</v>
      </c>
      <c r="N112" s="18">
        <f>-'Annual Calculations'!$Q$17*(1+$C$3)^N$194</f>
        <v>-210.92043926379151</v>
      </c>
      <c r="O112" s="18">
        <f>-'Annual Calculations'!$Q$17*(1+$C$3)^O$194</f>
        <v>-219.14633639507937</v>
      </c>
      <c r="P112" s="18">
        <f>-'Annual Calculations'!$Q$17*(1+$C$3)^P$194</f>
        <v>-227.69304351448741</v>
      </c>
      <c r="Q112" s="18">
        <f>-'Annual Calculations'!$Q$17*(1+$C$3)^Q$194</f>
        <v>-236.57307221155241</v>
      </c>
      <c r="R112" s="18">
        <f>-'Annual Calculations'!$Q$17*(1+$C$3)^R$194</f>
        <v>-245.79942202780288</v>
      </c>
      <c r="S112" s="18">
        <f>-'Annual Calculations'!$Q$17*(1+$C$3)^S$194</f>
        <v>-255.3855994868872</v>
      </c>
      <c r="T112" s="18">
        <f>-'Annual Calculations'!$Q$17*(1+$C$3)^T$194</f>
        <v>-265.34563786687579</v>
      </c>
      <c r="U112" s="18">
        <f>-'Annual Calculations'!$Q$17*(1+$C$3)^U$194</f>
        <v>-275.69411774368393</v>
      </c>
      <c r="V112" s="18">
        <f>-'Annual Calculations'!$Q$17*(1+$C$3)^V$194</f>
        <v>-286.44618833568751</v>
      </c>
      <c r="W112" s="18">
        <f>-'Annual Calculations'!$Q$17*(1+$C$3)^W$194</f>
        <v>-297.6175896807793</v>
      </c>
      <c r="X112" s="18">
        <f>-'Annual Calculations'!$Q$17*(1+$C$3)^X$194</f>
        <v>-309.22467567832962</v>
      </c>
      <c r="Y112" s="18">
        <f>-'Annual Calculations'!$Q$17*(1+$C$3)^Y$194</f>
        <v>-321.2844380297845</v>
      </c>
      <c r="Z112" s="18">
        <f>-'Annual Calculations'!$Q$17*(1+$C$3)^Z$194</f>
        <v>-333.81453111294599</v>
      </c>
      <c r="AA112" s="18">
        <f>-'Annual Calculations'!$Q$17*(1+$C$3)^AA$194</f>
        <v>-346.83329782635087</v>
      </c>
      <c r="AB112" s="18">
        <f>-'Annual Calculations'!$Q$17*(1+$C$3)^AB$194</f>
        <v>-360.35979644157851</v>
      </c>
      <c r="AC112" s="18">
        <f>-'Annual Calculations'!$Q$17*(1+$C$3)^AC$194</f>
        <v>-374.41382850280007</v>
      </c>
      <c r="AD112" s="18">
        <f>-'Annual Calculations'!$Q$17*(1+$C$3)^AD$194</f>
        <v>-389.01596781440912</v>
      </c>
      <c r="AE112" s="18">
        <f>-'Annual Calculations'!$Q$17*(1+$C$3)^AE$194</f>
        <v>-404.18759055917104</v>
      </c>
      <c r="AF112" s="18">
        <f>-'Annual Calculations'!$Q$17*(1+$C$3)^AF$194</f>
        <v>-419.9509065909786</v>
      </c>
      <c r="AG112" s="18">
        <f>-'Annual Calculations'!$Q$17*(1+$C$3)^AG$194</f>
        <v>-436.32899194802684</v>
      </c>
      <c r="AH112" s="18">
        <f>-'Annual Calculations'!$Q$17*(1+$C$3)^AH$194</f>
        <v>-453.34582263399966</v>
      </c>
      <c r="AI112" s="18">
        <f>-'Annual Calculations'!$Q$17*(1+$C$3)^AI$194</f>
        <v>-471.02630971672568</v>
      </c>
      <c r="AJ112" s="18">
        <f>-'Annual Calculations'!$Q$17*(1+$C$3)^AJ$194</f>
        <v>-489.39633579567794</v>
      </c>
      <c r="AK112" s="18">
        <f>-'Annual Calculations'!$Q$17*(1+$C$3)^AK$194</f>
        <v>-508.48279289170932</v>
      </c>
      <c r="AL112" s="18">
        <f>-'Annual Calculations'!$Q$17*(1+$C$3)^AL$194</f>
        <v>-528.31362181448583</v>
      </c>
      <c r="AM112" s="18">
        <f>-'Annual Calculations'!$Q$17*(1+$C$3)^AM$194</f>
        <v>-548.91785306525082</v>
      </c>
      <c r="AN112" s="18">
        <f>-'Annual Calculations'!$Q$17*(1+$C$3)^AN$194</f>
        <v>-570.32564933479546</v>
      </c>
      <c r="AO112" s="18">
        <f>-'Annual Calculations'!$Q$17*(1+$C$3)^AO$194</f>
        <v>-592.56834965885241</v>
      </c>
      <c r="AP112" s="18">
        <f>-'Annual Calculations'!$Q$17*(1+$C$3)^AP$194</f>
        <v>-615.67851529554753</v>
      </c>
      <c r="AQ112" s="18">
        <f>-'Annual Calculations'!$Q$17*(1+$C$3)^AQ$194</f>
        <v>-639.68997739207384</v>
      </c>
      <c r="AR112" s="18">
        <f>-'Annual Calculations'!$Q$17*(1+$C$3)^AR$194</f>
        <v>-664.63788651036464</v>
      </c>
      <c r="AS112" s="18">
        <f>-'Annual Calculations'!$Q$17*(1+$C$3)^AS$194</f>
        <v>-690.55876408426889</v>
      </c>
      <c r="AT112" s="18">
        <f>-'Annual Calculations'!$Q$17*(1+$C$3)^AT$194</f>
        <v>-717.49055588355509</v>
      </c>
      <c r="AU112" s="18">
        <f>-'Annual Calculations'!$Q$17*(1+$C$3)^AU$194</f>
        <v>-745.47268756301378</v>
      </c>
      <c r="AV112" s="18">
        <f>-'Annual Calculations'!$Q$17*(1+$C$3)^AV$194</f>
        <v>-774.54612237797107</v>
      </c>
      <c r="AW112" s="18">
        <f>-'Annual Calculations'!$Q$17*(1+$C$3)^AW$194</f>
        <v>-804.75342115071192</v>
      </c>
      <c r="AX112" s="18">
        <f>-'Annual Calculations'!$Q$17*(1+$C$3)^AX$194</f>
        <v>-836.13880457558935</v>
      </c>
      <c r="AY112" s="18">
        <f>-'Annual Calculations'!$Q$17*(1+$C$3)^AY$194</f>
        <v>-868.74821795403739</v>
      </c>
      <c r="AZ112" s="18">
        <f>-'Annual Calculations'!$Q$17*(1+$C$3)^AZ$194</f>
        <v>-902.62939845424478</v>
      </c>
      <c r="BA112" s="18">
        <f>-'Annual Calculations'!$Q$17*(1+$C$3)^BA$194</f>
        <v>-937.83194499396018</v>
      </c>
      <c r="BB112" s="18">
        <f>-'Annual Calculations'!$Q$17*(1+$C$3)^BB$194</f>
        <v>-974.40739084872462</v>
      </c>
    </row>
    <row r="113" spans="1:54" x14ac:dyDescent="0.25">
      <c r="A113" s="177"/>
      <c r="B113" t="s">
        <v>357</v>
      </c>
      <c r="C113" s="72" t="s">
        <v>362</v>
      </c>
      <c r="D113">
        <v>0</v>
      </c>
      <c r="E113" s="18">
        <f>-'Annual Calculations'!$L$32*(1+$C$3)^E$194</f>
        <v>450.84384203703712</v>
      </c>
      <c r="F113" s="18">
        <f>-'Annual Calculations'!$L$32*(1+$C$3)^F$194</f>
        <v>468.42675187648149</v>
      </c>
      <c r="G113" s="18">
        <f>-'Annual Calculations'!$L$32*(1+$C$3)^G$194</f>
        <v>486.69539519966423</v>
      </c>
      <c r="H113" s="18">
        <f>-'Annual Calculations'!$L$32*(1+$C$3)^H$194</f>
        <v>505.676515612451</v>
      </c>
      <c r="I113" s="18">
        <f>-'Annual Calculations'!$L$32*(1+$C$3)^I$194</f>
        <v>525.39789972133656</v>
      </c>
      <c r="J113" s="18">
        <f>-'Annual Calculations'!$L$32*(1+$C$3)^J$194</f>
        <v>545.88841781046858</v>
      </c>
      <c r="K113" s="18">
        <f>-'Annual Calculations'!$L$32*(1+$C$3)^K$194</f>
        <v>567.17806610507682</v>
      </c>
      <c r="L113" s="18">
        <f>-'Annual Calculations'!$L$32*(1+$C$3)^L$194</f>
        <v>589.29801068317465</v>
      </c>
      <c r="M113" s="18">
        <f>-'Annual Calculations'!$L$32*(1+$C$3)^M$194</f>
        <v>612.28063309981849</v>
      </c>
      <c r="N113" s="18">
        <f>-'Annual Calculations'!$L$32*(1+$C$3)^N$194</f>
        <v>636.1595777907113</v>
      </c>
      <c r="O113" s="18">
        <f>-'Annual Calculations'!$L$32*(1+$C$3)^O$194</f>
        <v>660.96980132454894</v>
      </c>
      <c r="P113" s="18">
        <f>-'Annual Calculations'!$L$32*(1+$C$3)^P$194</f>
        <v>686.74762357620614</v>
      </c>
      <c r="Q113" s="18">
        <f>-'Annual Calculations'!$L$32*(1+$C$3)^Q$194</f>
        <v>713.53078089567828</v>
      </c>
      <c r="R113" s="18">
        <f>-'Annual Calculations'!$L$32*(1+$C$3)^R$194</f>
        <v>741.3584813506094</v>
      </c>
      <c r="S113" s="18">
        <f>-'Annual Calculations'!$L$32*(1+$C$3)^S$194</f>
        <v>770.27146212328319</v>
      </c>
      <c r="T113" s="18">
        <f>-'Annual Calculations'!$L$32*(1+$C$3)^T$194</f>
        <v>800.31204914609111</v>
      </c>
      <c r="U113" s="18">
        <f>-'Annual Calculations'!$L$32*(1+$C$3)^U$194</f>
        <v>831.52421906278869</v>
      </c>
      <c r="V113" s="18">
        <f>-'Annual Calculations'!$L$32*(1+$C$3)^V$194</f>
        <v>863.95366360623723</v>
      </c>
      <c r="W113" s="18">
        <f>-'Annual Calculations'!$L$32*(1+$C$3)^W$194</f>
        <v>897.64785648688041</v>
      </c>
      <c r="X113" s="18">
        <f>-'Annual Calculations'!$L$32*(1+$C$3)^X$194</f>
        <v>932.65612288986858</v>
      </c>
      <c r="Y113" s="18">
        <f>-'Annual Calculations'!$L$32*(1+$C$3)^Y$194</f>
        <v>969.02971168257341</v>
      </c>
      <c r="Z113" s="18">
        <f>-'Annual Calculations'!$L$32*(1+$C$3)^Z$194</f>
        <v>1006.8218704381934</v>
      </c>
      <c r="AA113" s="18">
        <f>-'Annual Calculations'!$L$32*(1+$C$3)^AA$194</f>
        <v>1046.0879233852831</v>
      </c>
      <c r="AB113" s="18">
        <f>-'Annual Calculations'!$L$32*(1+$C$3)^AB$194</f>
        <v>1086.8853523973089</v>
      </c>
      <c r="AC113" s="18">
        <f>-'Annual Calculations'!$L$32*(1+$C$3)^AC$194</f>
        <v>1129.273881140804</v>
      </c>
      <c r="AD113" s="18">
        <f>-'Annual Calculations'!$L$32*(1+$C$3)^AD$194</f>
        <v>1173.315562505295</v>
      </c>
      <c r="AE113" s="18">
        <f>-'Annual Calculations'!$L$32*(1+$C$3)^AE$194</f>
        <v>1219.0748694430013</v>
      </c>
      <c r="AF113" s="18">
        <f>-'Annual Calculations'!$L$32*(1+$C$3)^AF$194</f>
        <v>1266.6187893512779</v>
      </c>
      <c r="AG113" s="18">
        <f>-'Annual Calculations'!$L$32*(1+$C$3)^AG$194</f>
        <v>1316.0169221359779</v>
      </c>
      <c r="AH113" s="18">
        <f>-'Annual Calculations'!$L$32*(1+$C$3)^AH$194</f>
        <v>1367.3415820992805</v>
      </c>
      <c r="AI113" s="18">
        <f>-'Annual Calculations'!$L$32*(1+$C$3)^AI$194</f>
        <v>1420.6679038011525</v>
      </c>
      <c r="AJ113" s="18">
        <f>-'Annual Calculations'!$L$32*(1+$C$3)^AJ$194</f>
        <v>1476.0739520493973</v>
      </c>
      <c r="AK113" s="18">
        <f>-'Annual Calculations'!$L$32*(1+$C$3)^AK$194</f>
        <v>1533.6408361793235</v>
      </c>
      <c r="AL113" s="18">
        <f>-'Annual Calculations'!$L$32*(1+$C$3)^AL$194</f>
        <v>1593.452828790317</v>
      </c>
      <c r="AM113" s="18">
        <f>-'Annual Calculations'!$L$32*(1+$C$3)^AM$194</f>
        <v>1655.5974891131393</v>
      </c>
      <c r="AN113" s="18">
        <f>-'Annual Calculations'!$L$32*(1+$C$3)^AN$194</f>
        <v>1720.1657911885513</v>
      </c>
      <c r="AO113" s="18">
        <f>-'Annual Calculations'!$L$32*(1+$C$3)^AO$194</f>
        <v>1787.2522570449046</v>
      </c>
      <c r="AP113" s="18">
        <f>-'Annual Calculations'!$L$32*(1+$C$3)^AP$194</f>
        <v>1856.9550950696555</v>
      </c>
      <c r="AQ113" s="18">
        <f>-'Annual Calculations'!$L$32*(1+$C$3)^AQ$194</f>
        <v>1929.3763437773719</v>
      </c>
      <c r="AR113" s="18">
        <f>-'Annual Calculations'!$L$32*(1+$C$3)^AR$194</f>
        <v>2004.6220211846892</v>
      </c>
      <c r="AS113" s="18">
        <f>-'Annual Calculations'!$L$32*(1+$C$3)^AS$194</f>
        <v>2082.802280010892</v>
      </c>
      <c r="AT113" s="18">
        <f>-'Annual Calculations'!$L$32*(1+$C$3)^AT$194</f>
        <v>2164.0315689313161</v>
      </c>
      <c r="AU113" s="18">
        <f>-'Annual Calculations'!$L$32*(1+$C$3)^AU$194</f>
        <v>2248.4288001196373</v>
      </c>
      <c r="AV113" s="18">
        <f>-'Annual Calculations'!$L$32*(1+$C$3)^AV$194</f>
        <v>2336.1175233243025</v>
      </c>
      <c r="AW113" s="18">
        <f>-'Annual Calculations'!$L$32*(1+$C$3)^AW$194</f>
        <v>2427.2261067339505</v>
      </c>
      <c r="AX113" s="18">
        <f>-'Annual Calculations'!$L$32*(1+$C$3)^AX$194</f>
        <v>2521.8879248965736</v>
      </c>
      <c r="AY113" s="18">
        <f>-'Annual Calculations'!$L$32*(1+$C$3)^AY$194</f>
        <v>2620.2415539675403</v>
      </c>
      <c r="AZ113" s="18">
        <f>-'Annual Calculations'!$L$32*(1+$C$3)^AZ$194</f>
        <v>2722.430974572274</v>
      </c>
      <c r="BA113" s="18">
        <f>-'Annual Calculations'!$L$32*(1+$C$3)^BA$194</f>
        <v>2828.6057825805924</v>
      </c>
      <c r="BB113" s="18">
        <f>-'Annual Calculations'!$L$32*(1+$C$3)^BB$194</f>
        <v>2938.9214081012351</v>
      </c>
    </row>
    <row r="114" spans="1:54" x14ac:dyDescent="0.25">
      <c r="A114" s="177"/>
      <c r="B114" t="s">
        <v>358</v>
      </c>
      <c r="C114" s="72" t="s">
        <v>362</v>
      </c>
      <c r="D114">
        <f>SUM(D111:D113)</f>
        <v>5250</v>
      </c>
      <c r="E114" s="18">
        <f t="shared" ref="E114:BB114" si="648">SUM(E111:E113)</f>
        <v>301.36533928137874</v>
      </c>
      <c r="F114" s="18">
        <f t="shared" si="648"/>
        <v>313.11858751335245</v>
      </c>
      <c r="G114" s="18">
        <f t="shared" si="648"/>
        <v>325.33021242637318</v>
      </c>
      <c r="H114" s="18">
        <f t="shared" si="648"/>
        <v>338.01809071100161</v>
      </c>
      <c r="I114" s="18">
        <f t="shared" si="648"/>
        <v>351.20079624873068</v>
      </c>
      <c r="J114" s="18">
        <f t="shared" si="648"/>
        <v>364.89762730243115</v>
      </c>
      <c r="K114" s="18">
        <f t="shared" si="648"/>
        <v>379.12863476722589</v>
      </c>
      <c r="L114" s="18">
        <f t="shared" si="648"/>
        <v>393.91465152314754</v>
      </c>
      <c r="M114" s="18">
        <f t="shared" si="648"/>
        <v>409.27732293255036</v>
      </c>
      <c r="N114" s="18">
        <f t="shared" si="648"/>
        <v>425.23913852691976</v>
      </c>
      <c r="O114" s="18">
        <f t="shared" si="648"/>
        <v>441.82346492946954</v>
      </c>
      <c r="P114" s="18">
        <f t="shared" si="648"/>
        <v>459.05458006171875</v>
      </c>
      <c r="Q114" s="18">
        <f t="shared" si="648"/>
        <v>476.95770868412586</v>
      </c>
      <c r="R114" s="18">
        <f t="shared" si="648"/>
        <v>495.55905932280655</v>
      </c>
      <c r="S114" s="18">
        <f t="shared" si="648"/>
        <v>514.88586263639604</v>
      </c>
      <c r="T114" s="18">
        <f t="shared" si="648"/>
        <v>534.96641127921532</v>
      </c>
      <c r="U114" s="18">
        <f t="shared" si="648"/>
        <v>555.83010131910476</v>
      </c>
      <c r="V114" s="18">
        <f t="shared" si="648"/>
        <v>577.50747527054978</v>
      </c>
      <c r="W114" s="18">
        <f t="shared" si="648"/>
        <v>600.03026680610105</v>
      </c>
      <c r="X114" s="18">
        <f t="shared" si="648"/>
        <v>623.43144721153897</v>
      </c>
      <c r="Y114" s="18">
        <f t="shared" si="648"/>
        <v>647.74527365278891</v>
      </c>
      <c r="Z114" s="18">
        <f t="shared" si="648"/>
        <v>673.00733932524736</v>
      </c>
      <c r="AA114" s="18">
        <f t="shared" si="648"/>
        <v>699.25462555893228</v>
      </c>
      <c r="AB114" s="18">
        <f t="shared" si="648"/>
        <v>726.5255559557304</v>
      </c>
      <c r="AC114" s="18">
        <f t="shared" si="648"/>
        <v>754.86005263800394</v>
      </c>
      <c r="AD114" s="18">
        <f t="shared" si="648"/>
        <v>784.2995946908859</v>
      </c>
      <c r="AE114" s="18">
        <f t="shared" si="648"/>
        <v>814.88727888383028</v>
      </c>
      <c r="AF114" s="18">
        <f t="shared" si="648"/>
        <v>846.66788276029934</v>
      </c>
      <c r="AG114" s="18">
        <f t="shared" si="648"/>
        <v>879.687930187951</v>
      </c>
      <c r="AH114" s="18">
        <f t="shared" si="648"/>
        <v>5168.0223010410637</v>
      </c>
      <c r="AI114" s="18">
        <f t="shared" si="648"/>
        <v>949.64159408442686</v>
      </c>
      <c r="AJ114" s="18">
        <f t="shared" si="648"/>
        <v>986.67761625371941</v>
      </c>
      <c r="AK114" s="18">
        <f t="shared" si="648"/>
        <v>1025.1580432876142</v>
      </c>
      <c r="AL114" s="18">
        <f t="shared" si="648"/>
        <v>1065.1392069758313</v>
      </c>
      <c r="AM114" s="18">
        <f t="shared" si="648"/>
        <v>1106.6796360478884</v>
      </c>
      <c r="AN114" s="18">
        <f t="shared" si="648"/>
        <v>1149.840141853756</v>
      </c>
      <c r="AO114" s="18">
        <f t="shared" si="648"/>
        <v>1194.6839073860522</v>
      </c>
      <c r="AP114" s="18">
        <f t="shared" si="648"/>
        <v>1241.2765797741081</v>
      </c>
      <c r="AQ114" s="18">
        <f t="shared" si="648"/>
        <v>1289.686366385298</v>
      </c>
      <c r="AR114" s="18">
        <f t="shared" si="648"/>
        <v>-18294.108348547616</v>
      </c>
      <c r="AS114" s="18">
        <f t="shared" si="648"/>
        <v>1392.2435159266231</v>
      </c>
      <c r="AT114" s="18">
        <f t="shared" si="648"/>
        <v>1446.541013047761</v>
      </c>
      <c r="AU114" s="18">
        <f t="shared" si="648"/>
        <v>1502.9561125566236</v>
      </c>
      <c r="AV114" s="18">
        <f t="shared" si="648"/>
        <v>1561.5714009463313</v>
      </c>
      <c r="AW114" s="18">
        <f t="shared" si="648"/>
        <v>1622.4726855832387</v>
      </c>
      <c r="AX114" s="18">
        <f t="shared" si="648"/>
        <v>1685.7491203209843</v>
      </c>
      <c r="AY114" s="18">
        <f t="shared" si="648"/>
        <v>1751.4933360135028</v>
      </c>
      <c r="AZ114" s="18">
        <f t="shared" si="648"/>
        <v>1819.8015761180291</v>
      </c>
      <c r="BA114" s="18">
        <f t="shared" si="648"/>
        <v>1890.7738375866322</v>
      </c>
      <c r="BB114" s="18">
        <f t="shared" si="648"/>
        <v>1964.5140172525105</v>
      </c>
    </row>
    <row r="115" spans="1:54" x14ac:dyDescent="0.25">
      <c r="A115" s="177"/>
      <c r="B115" t="s">
        <v>359</v>
      </c>
      <c r="C115" s="72"/>
      <c r="D115">
        <f t="shared" ref="D115:AI115" si="649">(1+$C$2)^D$194</f>
        <v>1</v>
      </c>
      <c r="E115" s="40">
        <f t="shared" si="649"/>
        <v>1.1219999999999999</v>
      </c>
      <c r="F115" s="40">
        <f t="shared" si="649"/>
        <v>1.2588839999999997</v>
      </c>
      <c r="G115" s="40">
        <f t="shared" si="649"/>
        <v>1.4124678479999995</v>
      </c>
      <c r="H115" s="40">
        <f t="shared" si="649"/>
        <v>1.5847889254559993</v>
      </c>
      <c r="I115" s="40">
        <f t="shared" si="649"/>
        <v>1.7781331743616309</v>
      </c>
      <c r="J115" s="40">
        <f t="shared" si="649"/>
        <v>1.9950654216337496</v>
      </c>
      <c r="K115" s="40">
        <f t="shared" si="649"/>
        <v>2.2384634030730668</v>
      </c>
      <c r="L115" s="40">
        <f t="shared" si="649"/>
        <v>2.5115559382479806</v>
      </c>
      <c r="M115" s="40">
        <f t="shared" si="649"/>
        <v>2.817965762714234</v>
      </c>
      <c r="N115" s="40">
        <f t="shared" si="649"/>
        <v>3.1617575857653701</v>
      </c>
      <c r="O115" s="40">
        <f t="shared" si="649"/>
        <v>3.5474920112287447</v>
      </c>
      <c r="P115" s="40">
        <f t="shared" si="649"/>
        <v>3.9802860365986512</v>
      </c>
      <c r="Q115" s="40">
        <f t="shared" si="649"/>
        <v>4.4658809330636862</v>
      </c>
      <c r="R115" s="40">
        <f t="shared" si="649"/>
        <v>5.0107184068974551</v>
      </c>
      <c r="S115" s="40">
        <f t="shared" si="649"/>
        <v>5.6220260525389438</v>
      </c>
      <c r="T115" s="40">
        <f t="shared" si="649"/>
        <v>6.307913230948694</v>
      </c>
      <c r="U115" s="40">
        <f t="shared" si="649"/>
        <v>7.077478645124434</v>
      </c>
      <c r="V115" s="40">
        <f t="shared" si="649"/>
        <v>7.9409310398296133</v>
      </c>
      <c r="W115" s="40">
        <f t="shared" si="649"/>
        <v>8.9097246266888259</v>
      </c>
      <c r="X115" s="40">
        <f t="shared" si="649"/>
        <v>9.9967110311448621</v>
      </c>
      <c r="Y115" s="40">
        <f t="shared" si="649"/>
        <v>11.216309776944533</v>
      </c>
      <c r="Z115" s="40">
        <f t="shared" si="649"/>
        <v>12.584699569731765</v>
      </c>
      <c r="AA115" s="40">
        <f t="shared" si="649"/>
        <v>14.120032917239037</v>
      </c>
      <c r="AB115" s="40">
        <f t="shared" si="649"/>
        <v>15.842676933142199</v>
      </c>
      <c r="AC115" s="40">
        <f t="shared" si="649"/>
        <v>17.775483518985546</v>
      </c>
      <c r="AD115" s="40">
        <f t="shared" si="649"/>
        <v>19.944092508301779</v>
      </c>
      <c r="AE115" s="40">
        <f t="shared" si="649"/>
        <v>22.377271794314591</v>
      </c>
      <c r="AF115" s="40">
        <f t="shared" si="649"/>
        <v>25.107298953220969</v>
      </c>
      <c r="AG115" s="40">
        <f t="shared" si="649"/>
        <v>28.170389425513925</v>
      </c>
      <c r="AH115" s="40">
        <f t="shared" si="649"/>
        <v>31.607176935426619</v>
      </c>
      <c r="AI115" s="40">
        <f t="shared" si="649"/>
        <v>35.463252521548661</v>
      </c>
      <c r="AJ115" s="40">
        <f t="shared" ref="AJ115:BB115" si="650">(1+$C$2)^AJ$194</f>
        <v>39.789769329177595</v>
      </c>
      <c r="AK115" s="40">
        <f t="shared" si="650"/>
        <v>44.644121187337255</v>
      </c>
      <c r="AL115" s="40">
        <f t="shared" si="650"/>
        <v>50.090703972192394</v>
      </c>
      <c r="AM115" s="40">
        <f t="shared" si="650"/>
        <v>56.201769856799864</v>
      </c>
      <c r="AN115" s="40">
        <f t="shared" si="650"/>
        <v>63.058385779329434</v>
      </c>
      <c r="AO115" s="40">
        <f t="shared" si="650"/>
        <v>70.751508844407624</v>
      </c>
      <c r="AP115" s="40">
        <f t="shared" si="650"/>
        <v>79.383192923425341</v>
      </c>
      <c r="AQ115" s="40">
        <f t="shared" si="650"/>
        <v>89.067942460083216</v>
      </c>
      <c r="AR115" s="40">
        <f t="shared" si="650"/>
        <v>99.934231440213352</v>
      </c>
      <c r="AS115" s="40">
        <f t="shared" si="650"/>
        <v>112.12620767591937</v>
      </c>
      <c r="AT115" s="40">
        <f t="shared" si="650"/>
        <v>125.80560501238152</v>
      </c>
      <c r="AU115" s="40">
        <f t="shared" si="650"/>
        <v>141.15388882389203</v>
      </c>
      <c r="AV115" s="40">
        <f t="shared" si="650"/>
        <v>158.37466326040686</v>
      </c>
      <c r="AW115" s="40">
        <f t="shared" si="650"/>
        <v>177.69637217817649</v>
      </c>
      <c r="AX115" s="40">
        <f t="shared" si="650"/>
        <v>199.37532958391398</v>
      </c>
      <c r="AY115" s="40">
        <f t="shared" si="650"/>
        <v>223.69911979315145</v>
      </c>
      <c r="AZ115" s="40">
        <f t="shared" si="650"/>
        <v>250.9904124079159</v>
      </c>
      <c r="BA115" s="40">
        <f t="shared" si="650"/>
        <v>281.61124272168161</v>
      </c>
      <c r="BB115" s="40">
        <f t="shared" si="650"/>
        <v>315.96781433372672</v>
      </c>
    </row>
    <row r="116" spans="1:54" x14ac:dyDescent="0.25">
      <c r="A116" s="177"/>
      <c r="B116" t="s">
        <v>360</v>
      </c>
      <c r="C116" s="72" t="s">
        <v>362</v>
      </c>
      <c r="D116">
        <f>D114/D115</f>
        <v>5250</v>
      </c>
      <c r="E116" s="18">
        <f>E114/E115</f>
        <v>268.59655907431261</v>
      </c>
      <c r="F116" s="18">
        <f>F114/F115</f>
        <v>248.7271166472467</v>
      </c>
      <c r="G116" s="18">
        <f t="shared" ref="G116:BB116" si="651">G114/G115</f>
        <v>230.32751710917054</v>
      </c>
      <c r="H116" s="18">
        <f t="shared" si="651"/>
        <v>213.28902876686999</v>
      </c>
      <c r="I116" s="18">
        <f t="shared" si="651"/>
        <v>197.51096335898214</v>
      </c>
      <c r="J116" s="18">
        <f t="shared" si="651"/>
        <v>182.90008104276512</v>
      </c>
      <c r="K116" s="18">
        <f t="shared" si="651"/>
        <v>169.37003939699906</v>
      </c>
      <c r="L116" s="18">
        <f t="shared" si="651"/>
        <v>156.84088318492155</v>
      </c>
      <c r="M116" s="18">
        <f t="shared" si="651"/>
        <v>145.23857186197284</v>
      </c>
      <c r="N116" s="18">
        <f t="shared" si="651"/>
        <v>134.49454203617626</v>
      </c>
      <c r="O116" s="18">
        <f t="shared" si="651"/>
        <v>124.54530229553221</v>
      </c>
      <c r="P116" s="18">
        <f t="shared" si="651"/>
        <v>115.33205800807303</v>
      </c>
      <c r="Q116" s="18">
        <f t="shared" si="651"/>
        <v>106.80036387735109</v>
      </c>
      <c r="R116" s="18">
        <f t="shared" si="651"/>
        <v>98.899802200149509</v>
      </c>
      <c r="S116" s="18">
        <f t="shared" si="651"/>
        <v>91.583684925093905</v>
      </c>
      <c r="T116" s="18">
        <f t="shared" si="651"/>
        <v>84.80877775149068</v>
      </c>
      <c r="U116" s="18">
        <f t="shared" si="651"/>
        <v>78.535044637966877</v>
      </c>
      <c r="V116" s="18">
        <f t="shared" si="651"/>
        <v>72.725411211094112</v>
      </c>
      <c r="W116" s="18">
        <f t="shared" si="651"/>
        <v>67.345545675870554</v>
      </c>
      <c r="X116" s="18">
        <f t="shared" si="651"/>
        <v>62.363655933359631</v>
      </c>
      <c r="Y116" s="18">
        <f t="shared" si="651"/>
        <v>57.750301706560307</v>
      </c>
      <c r="Z116" s="18">
        <f t="shared" si="651"/>
        <v>53.478220564274629</v>
      </c>
      <c r="AA116" s="18">
        <f t="shared" si="651"/>
        <v>49.522166814867539</v>
      </c>
      <c r="AB116" s="18">
        <f t="shared" si="651"/>
        <v>45.858762317867516</v>
      </c>
      <c r="AC116" s="18">
        <f t="shared" si="651"/>
        <v>42.466358331786417</v>
      </c>
      <c r="AD116" s="18">
        <f t="shared" si="651"/>
        <v>39.324907581752299</v>
      </c>
      <c r="AE116" s="18">
        <f t="shared" si="651"/>
        <v>36.415845790945312</v>
      </c>
      <c r="AF116" s="18">
        <f t="shared" si="651"/>
        <v>33.721981975750595</v>
      </c>
      <c r="AG116" s="18">
        <f t="shared" si="651"/>
        <v>31.22739685633233</v>
      </c>
      <c r="AH116" s="18">
        <f t="shared" si="651"/>
        <v>163.50787391102091</v>
      </c>
      <c r="AI116" s="18">
        <f t="shared" si="651"/>
        <v>26.778186617468119</v>
      </c>
      <c r="AJ116" s="18">
        <f t="shared" si="651"/>
        <v>24.797269069117089</v>
      </c>
      <c r="AK116" s="18">
        <f t="shared" si="651"/>
        <v>22.96288998468151</v>
      </c>
      <c r="AL116" s="18">
        <f t="shared" si="651"/>
        <v>21.264209174763007</v>
      </c>
      <c r="AM116" s="18">
        <f t="shared" si="651"/>
        <v>19.691188353457004</v>
      </c>
      <c r="AN116" s="18">
        <f t="shared" si="651"/>
        <v>18.234531817506088</v>
      </c>
      <c r="AO116" s="18">
        <f t="shared" si="651"/>
        <v>16.885631513715527</v>
      </c>
      <c r="AP116" s="18">
        <f t="shared" si="651"/>
        <v>15.636516170009299</v>
      </c>
      <c r="AQ116" s="18">
        <f t="shared" si="651"/>
        <v>14.479804189518415</v>
      </c>
      <c r="AR116" s="18">
        <f t="shared" si="651"/>
        <v>-183.06148038464926</v>
      </c>
      <c r="AS116" s="18">
        <f t="shared" si="651"/>
        <v>12.416753806127577</v>
      </c>
      <c r="AT116" s="18">
        <f t="shared" si="651"/>
        <v>11.498223889988013</v>
      </c>
      <c r="AU116" s="18">
        <f t="shared" si="651"/>
        <v>10.647642265327583</v>
      </c>
      <c r="AV116" s="18">
        <f t="shared" si="651"/>
        <v>9.8599824542561088</v>
      </c>
      <c r="AW116" s="18">
        <f t="shared" si="651"/>
        <v>9.1305898128093599</v>
      </c>
      <c r="AX116" s="18">
        <f t="shared" si="651"/>
        <v>8.4551540245177552</v>
      </c>
      <c r="AY116" s="18">
        <f t="shared" si="651"/>
        <v>7.8296836287646618</v>
      </c>
      <c r="AZ116" s="18">
        <f t="shared" si="651"/>
        <v>7.2504824334104123</v>
      </c>
      <c r="BA116" s="18">
        <f t="shared" si="651"/>
        <v>6.7141276722936007</v>
      </c>
      <c r="BB116" s="18">
        <f t="shared" si="651"/>
        <v>6.2174497785321305</v>
      </c>
    </row>
    <row r="117" spans="1:54" x14ac:dyDescent="0.25">
      <c r="A117" s="177"/>
      <c r="B117" s="76" t="s">
        <v>645</v>
      </c>
      <c r="C117" s="77" t="s">
        <v>362</v>
      </c>
      <c r="D117" s="76">
        <f>D116</f>
        <v>5250</v>
      </c>
      <c r="E117" s="78">
        <f>E116+D117</f>
        <v>5518.5965590743126</v>
      </c>
      <c r="F117" s="78">
        <f t="shared" ref="F117" si="652">F116+E117</f>
        <v>5767.3236757215591</v>
      </c>
      <c r="G117" s="78">
        <f t="shared" ref="G117" si="653">G116+F117</f>
        <v>5997.65119283073</v>
      </c>
      <c r="H117" s="78">
        <f t="shared" ref="H117" si="654">H116+G117</f>
        <v>6210.9402215975997</v>
      </c>
      <c r="I117" s="78">
        <f t="shared" ref="I117" si="655">I116+H117</f>
        <v>6408.4511849565815</v>
      </c>
      <c r="J117" s="78">
        <f t="shared" ref="J117" si="656">J116+I117</f>
        <v>6591.3512659993467</v>
      </c>
      <c r="K117" s="78">
        <f t="shared" ref="K117" si="657">K116+J117</f>
        <v>6760.721305396346</v>
      </c>
      <c r="L117" s="78">
        <f t="shared" ref="L117" si="658">L116+K117</f>
        <v>6917.5621885812679</v>
      </c>
      <c r="M117" s="78">
        <f t="shared" ref="M117" si="659">M116+L117</f>
        <v>7062.8007604432405</v>
      </c>
      <c r="N117" s="78">
        <f t="shared" ref="N117" si="660">N116+M117</f>
        <v>7197.2953024794169</v>
      </c>
      <c r="O117" s="78">
        <f t="shared" ref="O117" si="661">O116+N117</f>
        <v>7321.8406047749495</v>
      </c>
      <c r="P117" s="78">
        <f t="shared" ref="P117" si="662">P116+O117</f>
        <v>7437.1726627830221</v>
      </c>
      <c r="Q117" s="78">
        <f t="shared" ref="Q117" si="663">Q116+P117</f>
        <v>7543.9730266603729</v>
      </c>
      <c r="R117" s="78">
        <f t="shared" ref="R117" si="664">R116+Q117</f>
        <v>7642.8728288605225</v>
      </c>
      <c r="S117" s="78">
        <f t="shared" ref="S117" si="665">S116+R117</f>
        <v>7734.4565137856162</v>
      </c>
      <c r="T117" s="78">
        <f t="shared" ref="T117" si="666">T116+S117</f>
        <v>7819.2652915371073</v>
      </c>
      <c r="U117" s="78">
        <f t="shared" ref="U117" si="667">U116+T117</f>
        <v>7897.8003361750743</v>
      </c>
      <c r="V117" s="78">
        <f t="shared" ref="V117" si="668">V116+U117</f>
        <v>7970.5257473861684</v>
      </c>
      <c r="W117" s="78">
        <f t="shared" ref="W117" si="669">W116+V117</f>
        <v>8037.8712930620386</v>
      </c>
      <c r="X117" s="78">
        <f t="shared" ref="X117" si="670">X116+W117</f>
        <v>8100.2349489953986</v>
      </c>
      <c r="Y117" s="78">
        <f t="shared" ref="Y117" si="671">Y116+X117</f>
        <v>8157.9852507019586</v>
      </c>
      <c r="Z117" s="78">
        <f t="shared" ref="Z117" si="672">Z116+Y117</f>
        <v>8211.4634712662337</v>
      </c>
      <c r="AA117" s="78">
        <f t="shared" ref="AA117" si="673">AA116+Z117</f>
        <v>8260.9856380811016</v>
      </c>
      <c r="AB117" s="78">
        <f t="shared" ref="AB117" si="674">AB116+AA117</f>
        <v>8306.8444003989698</v>
      </c>
      <c r="AC117" s="78">
        <f t="shared" ref="AC117" si="675">AC116+AB117</f>
        <v>8349.3107587307568</v>
      </c>
      <c r="AD117" s="78">
        <f t="shared" ref="AD117" si="676">AD116+AC117</f>
        <v>8388.6356663125098</v>
      </c>
      <c r="AE117" s="78">
        <f t="shared" ref="AE117" si="677">AE116+AD117</f>
        <v>8425.051512103455</v>
      </c>
      <c r="AF117" s="78">
        <f t="shared" ref="AF117" si="678">AF116+AE117</f>
        <v>8458.7734940792052</v>
      </c>
      <c r="AG117" s="78">
        <f t="shared" ref="AG117" si="679">AG116+AF117</f>
        <v>8490.0008909355383</v>
      </c>
      <c r="AH117" s="78">
        <f t="shared" ref="AH117" si="680">AH116+AG117</f>
        <v>8653.5087648465596</v>
      </c>
      <c r="AI117" s="78">
        <f t="shared" ref="AI117" si="681">AI116+AH117</f>
        <v>8680.2869514640279</v>
      </c>
      <c r="AJ117" s="78">
        <f t="shared" ref="AJ117" si="682">AJ116+AI117</f>
        <v>8705.0842205331446</v>
      </c>
      <c r="AK117" s="78">
        <f t="shared" ref="AK117" si="683">AK116+AJ117</f>
        <v>8728.0471105178258</v>
      </c>
      <c r="AL117" s="78">
        <f t="shared" ref="AL117" si="684">AL116+AK117</f>
        <v>8749.3113196925897</v>
      </c>
      <c r="AM117" s="78">
        <f t="shared" ref="AM117" si="685">AM116+AL117</f>
        <v>8769.0025080460473</v>
      </c>
      <c r="AN117" s="78">
        <f t="shared" ref="AN117" si="686">AN116+AM117</f>
        <v>8787.2370398635539</v>
      </c>
      <c r="AO117" s="78">
        <f t="shared" ref="AO117" si="687">AO116+AN117</f>
        <v>8804.1226713772703</v>
      </c>
      <c r="AP117" s="78">
        <f t="shared" ref="AP117" si="688">AP116+AO117</f>
        <v>8819.759187547279</v>
      </c>
      <c r="AQ117" s="78">
        <f t="shared" ref="AQ117" si="689">AQ116+AP117</f>
        <v>8834.2389917367982</v>
      </c>
      <c r="AR117" s="78">
        <f t="shared" ref="AR117" si="690">AR116+AQ117</f>
        <v>8651.1775113521489</v>
      </c>
      <c r="AS117" s="78">
        <f t="shared" ref="AS117" si="691">AS116+AR117</f>
        <v>8663.5942651582773</v>
      </c>
      <c r="AT117" s="78">
        <f t="shared" ref="AT117" si="692">AT116+AS117</f>
        <v>8675.0924890482656</v>
      </c>
      <c r="AU117" s="78">
        <f t="shared" ref="AU117" si="693">AU116+AT117</f>
        <v>8685.7401313135924</v>
      </c>
      <c r="AV117" s="78">
        <f t="shared" ref="AV117" si="694">AV116+AU117</f>
        <v>8695.6001137678486</v>
      </c>
      <c r="AW117" s="78">
        <f t="shared" ref="AW117" si="695">AW116+AV117</f>
        <v>8704.7307035806571</v>
      </c>
      <c r="AX117" s="78">
        <f t="shared" ref="AX117" si="696">AX116+AW117</f>
        <v>8713.1858576051745</v>
      </c>
      <c r="AY117" s="78">
        <f t="shared" ref="AY117" si="697">AY116+AX117</f>
        <v>8721.0155412339391</v>
      </c>
      <c r="AZ117" s="78">
        <f t="shared" ref="AZ117" si="698">AZ116+AY117</f>
        <v>8728.2660236673491</v>
      </c>
      <c r="BA117" s="78">
        <f t="shared" ref="BA117" si="699">BA116+AZ117</f>
        <v>8734.9801513396433</v>
      </c>
      <c r="BB117" s="78">
        <f t="shared" ref="BB117" si="700">BB116+BA117</f>
        <v>8741.197601118176</v>
      </c>
    </row>
    <row r="118" spans="1:54" x14ac:dyDescent="0.25">
      <c r="A118" s="177"/>
      <c r="B118" s="22" t="s">
        <v>361</v>
      </c>
      <c r="C118" s="75" t="s">
        <v>362</v>
      </c>
      <c r="D118" s="93">
        <f>SUM(D116:BB116)</f>
        <v>8741.197601118176</v>
      </c>
    </row>
    <row r="119" spans="1:54" x14ac:dyDescent="0.25">
      <c r="A119" s="180" t="s">
        <v>547</v>
      </c>
      <c r="B119" s="76" t="s">
        <v>363</v>
      </c>
      <c r="C119" s="77" t="s">
        <v>362</v>
      </c>
      <c r="D119" s="78">
        <f>PART_WALL!B30</f>
        <v>1231.8110000000001</v>
      </c>
      <c r="E119" s="76">
        <v>0</v>
      </c>
      <c r="F119" s="76">
        <v>0</v>
      </c>
      <c r="G119" s="76">
        <v>0</v>
      </c>
      <c r="H119" s="76">
        <v>0</v>
      </c>
      <c r="I119" s="76">
        <v>0</v>
      </c>
      <c r="J119" s="76">
        <v>0</v>
      </c>
      <c r="K119" s="76">
        <v>0</v>
      </c>
      <c r="L119" s="76">
        <v>0</v>
      </c>
      <c r="M119" s="76">
        <v>0</v>
      </c>
      <c r="N119" s="79">
        <f>PART_WALL!$B$26*(1+$C$1)^N$194</f>
        <v>156.67184783849225</v>
      </c>
      <c r="O119" s="76">
        <v>0</v>
      </c>
      <c r="P119" s="76">
        <v>0</v>
      </c>
      <c r="Q119" s="76">
        <v>0</v>
      </c>
      <c r="R119" s="76">
        <v>0</v>
      </c>
      <c r="S119" s="76">
        <v>0</v>
      </c>
      <c r="T119" s="76">
        <v>0</v>
      </c>
      <c r="U119" s="76">
        <v>0</v>
      </c>
      <c r="V119" s="76">
        <v>0</v>
      </c>
      <c r="W119" s="76">
        <v>0</v>
      </c>
      <c r="X119" s="79">
        <f>PART_WALL!$B$26*(1+$C$1)^X$194</f>
        <v>229.69230248563773</v>
      </c>
      <c r="Y119" s="76">
        <v>0</v>
      </c>
      <c r="Z119" s="76">
        <v>0</v>
      </c>
      <c r="AA119" s="76">
        <v>0</v>
      </c>
      <c r="AB119" s="76">
        <v>0</v>
      </c>
      <c r="AC119" s="76">
        <f>-South_Facade_PV!B49*South_Facade_PV!B40</f>
        <v>0</v>
      </c>
      <c r="AD119" s="76">
        <v>0</v>
      </c>
      <c r="AE119" s="76">
        <v>0</v>
      </c>
      <c r="AF119" s="76">
        <v>0</v>
      </c>
      <c r="AG119" s="76">
        <v>0</v>
      </c>
      <c r="AH119" s="79">
        <f>PART_WALL!$B$26*(1+$C$1)^AH$194</f>
        <v>336.74558990036746</v>
      </c>
      <c r="AI119" s="76">
        <v>0</v>
      </c>
      <c r="AJ119" s="76">
        <v>0</v>
      </c>
      <c r="AK119" s="76">
        <v>0</v>
      </c>
      <c r="AL119" s="76">
        <v>0</v>
      </c>
      <c r="AM119" s="76">
        <v>0</v>
      </c>
      <c r="AN119" s="76">
        <v>0</v>
      </c>
      <c r="AO119" s="76">
        <v>0</v>
      </c>
      <c r="AP119" s="76">
        <v>0</v>
      </c>
      <c r="AQ119" s="76">
        <v>0</v>
      </c>
      <c r="AR119" s="79">
        <f>PART_WALL!$B$26*(1+$C$1)^AR$194</f>
        <v>493.69348075753237</v>
      </c>
      <c r="AS119" s="76">
        <v>0</v>
      </c>
      <c r="AT119" s="76">
        <v>0</v>
      </c>
      <c r="AU119" s="76">
        <v>0</v>
      </c>
      <c r="AV119" s="76">
        <v>0</v>
      </c>
      <c r="AW119" s="76">
        <v>0</v>
      </c>
      <c r="AX119" s="76">
        <v>0</v>
      </c>
      <c r="AY119" s="76">
        <v>0</v>
      </c>
      <c r="AZ119" s="76">
        <v>0</v>
      </c>
      <c r="BA119" s="76">
        <v>0</v>
      </c>
      <c r="BB119" s="76">
        <v>0</v>
      </c>
    </row>
    <row r="120" spans="1:54" x14ac:dyDescent="0.25">
      <c r="A120" s="180"/>
      <c r="B120" s="76" t="s">
        <v>356</v>
      </c>
      <c r="C120" s="77" t="s">
        <v>362</v>
      </c>
      <c r="D120" s="76">
        <v>0</v>
      </c>
      <c r="E120" s="76">
        <v>0</v>
      </c>
      <c r="F120" s="76">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row>
    <row r="121" spans="1:54" x14ac:dyDescent="0.25">
      <c r="A121" s="180"/>
      <c r="B121" s="76" t="s">
        <v>357</v>
      </c>
      <c r="C121" s="77" t="s">
        <v>362</v>
      </c>
      <c r="D121" s="76">
        <v>0</v>
      </c>
      <c r="E121" s="76">
        <v>0</v>
      </c>
      <c r="F121" s="76">
        <v>0</v>
      </c>
      <c r="G121" s="76">
        <v>0</v>
      </c>
      <c r="H121" s="76">
        <v>0</v>
      </c>
      <c r="I121" s="76">
        <v>0</v>
      </c>
      <c r="J121" s="76">
        <v>0</v>
      </c>
      <c r="K121" s="76">
        <v>0</v>
      </c>
      <c r="L121" s="76">
        <v>0</v>
      </c>
      <c r="M121" s="76">
        <v>0</v>
      </c>
      <c r="N121" s="76">
        <v>0</v>
      </c>
      <c r="O121" s="76">
        <v>0</v>
      </c>
      <c r="P121" s="76">
        <v>0</v>
      </c>
      <c r="Q121" s="76">
        <v>0</v>
      </c>
      <c r="R121" s="76">
        <v>0</v>
      </c>
      <c r="S121" s="76">
        <v>0</v>
      </c>
      <c r="T121" s="76">
        <v>0</v>
      </c>
      <c r="U121" s="76">
        <v>0</v>
      </c>
      <c r="V121" s="76">
        <v>0</v>
      </c>
      <c r="W121" s="76">
        <v>0</v>
      </c>
      <c r="X121" s="76">
        <v>0</v>
      </c>
      <c r="Y121" s="76">
        <v>0</v>
      </c>
      <c r="Z121" s="76">
        <v>0</v>
      </c>
      <c r="AA121" s="76">
        <v>0</v>
      </c>
      <c r="AB121" s="76">
        <v>0</v>
      </c>
      <c r="AC121" s="76">
        <v>0</v>
      </c>
      <c r="AD121" s="76">
        <v>0</v>
      </c>
      <c r="AE121" s="76">
        <v>0</v>
      </c>
      <c r="AF121" s="76">
        <v>0</v>
      </c>
      <c r="AG121" s="76">
        <v>0</v>
      </c>
      <c r="AH121" s="76">
        <v>0</v>
      </c>
      <c r="AI121" s="76">
        <v>0</v>
      </c>
      <c r="AJ121" s="76">
        <v>0</v>
      </c>
      <c r="AK121" s="76">
        <v>0</v>
      </c>
      <c r="AL121" s="76">
        <v>0</v>
      </c>
      <c r="AM121" s="76">
        <v>0</v>
      </c>
      <c r="AN121" s="76">
        <v>0</v>
      </c>
      <c r="AO121" s="76">
        <v>0</v>
      </c>
      <c r="AP121" s="76">
        <v>0</v>
      </c>
      <c r="AQ121" s="76">
        <v>0</v>
      </c>
      <c r="AR121" s="76">
        <v>0</v>
      </c>
      <c r="AS121" s="76">
        <v>0</v>
      </c>
      <c r="AT121" s="76">
        <v>0</v>
      </c>
      <c r="AU121" s="76">
        <v>0</v>
      </c>
      <c r="AV121" s="76">
        <v>0</v>
      </c>
      <c r="AW121" s="76">
        <v>0</v>
      </c>
      <c r="AX121" s="76">
        <v>0</v>
      </c>
      <c r="AY121" s="76">
        <v>0</v>
      </c>
      <c r="AZ121" s="76">
        <v>0</v>
      </c>
      <c r="BA121" s="76">
        <v>0</v>
      </c>
      <c r="BB121" s="76">
        <v>0</v>
      </c>
    </row>
    <row r="122" spans="1:54" x14ac:dyDescent="0.25">
      <c r="A122" s="180"/>
      <c r="B122" s="76" t="s">
        <v>358</v>
      </c>
      <c r="C122" s="77" t="s">
        <v>362</v>
      </c>
      <c r="D122" s="76">
        <f>SUM(D119:D121)</f>
        <v>1231.8110000000001</v>
      </c>
      <c r="E122" s="78">
        <f t="shared" ref="E122:BB122" si="701">SUM(E119:E121)</f>
        <v>0</v>
      </c>
      <c r="F122" s="78">
        <f t="shared" si="701"/>
        <v>0</v>
      </c>
      <c r="G122" s="78">
        <f t="shared" si="701"/>
        <v>0</v>
      </c>
      <c r="H122" s="78">
        <f t="shared" si="701"/>
        <v>0</v>
      </c>
      <c r="I122" s="78">
        <f t="shared" si="701"/>
        <v>0</v>
      </c>
      <c r="J122" s="78">
        <f t="shared" si="701"/>
        <v>0</v>
      </c>
      <c r="K122" s="78">
        <f t="shared" si="701"/>
        <v>0</v>
      </c>
      <c r="L122" s="78">
        <f t="shared" si="701"/>
        <v>0</v>
      </c>
      <c r="M122" s="78">
        <f t="shared" si="701"/>
        <v>0</v>
      </c>
      <c r="N122" s="78">
        <f t="shared" si="701"/>
        <v>156.67184783849225</v>
      </c>
      <c r="O122" s="78">
        <f t="shared" si="701"/>
        <v>0</v>
      </c>
      <c r="P122" s="78">
        <f t="shared" si="701"/>
        <v>0</v>
      </c>
      <c r="Q122" s="78">
        <f t="shared" si="701"/>
        <v>0</v>
      </c>
      <c r="R122" s="78">
        <f t="shared" si="701"/>
        <v>0</v>
      </c>
      <c r="S122" s="78">
        <f t="shared" si="701"/>
        <v>0</v>
      </c>
      <c r="T122" s="78">
        <f t="shared" si="701"/>
        <v>0</v>
      </c>
      <c r="U122" s="78">
        <f t="shared" si="701"/>
        <v>0</v>
      </c>
      <c r="V122" s="78">
        <f t="shared" si="701"/>
        <v>0</v>
      </c>
      <c r="W122" s="78">
        <f t="shared" si="701"/>
        <v>0</v>
      </c>
      <c r="X122" s="78">
        <f t="shared" si="701"/>
        <v>229.69230248563773</v>
      </c>
      <c r="Y122" s="78">
        <f t="shared" si="701"/>
        <v>0</v>
      </c>
      <c r="Z122" s="78">
        <f t="shared" si="701"/>
        <v>0</v>
      </c>
      <c r="AA122" s="78">
        <f t="shared" si="701"/>
        <v>0</v>
      </c>
      <c r="AB122" s="78">
        <f t="shared" si="701"/>
        <v>0</v>
      </c>
      <c r="AC122" s="78">
        <f t="shared" si="701"/>
        <v>0</v>
      </c>
      <c r="AD122" s="78">
        <f t="shared" si="701"/>
        <v>0</v>
      </c>
      <c r="AE122" s="78">
        <f t="shared" si="701"/>
        <v>0</v>
      </c>
      <c r="AF122" s="78">
        <f t="shared" si="701"/>
        <v>0</v>
      </c>
      <c r="AG122" s="78">
        <f t="shared" si="701"/>
        <v>0</v>
      </c>
      <c r="AH122" s="78">
        <f t="shared" si="701"/>
        <v>336.74558990036746</v>
      </c>
      <c r="AI122" s="78">
        <f t="shared" si="701"/>
        <v>0</v>
      </c>
      <c r="AJ122" s="78">
        <f t="shared" si="701"/>
        <v>0</v>
      </c>
      <c r="AK122" s="78">
        <f t="shared" si="701"/>
        <v>0</v>
      </c>
      <c r="AL122" s="78">
        <f t="shared" si="701"/>
        <v>0</v>
      </c>
      <c r="AM122" s="78">
        <f t="shared" si="701"/>
        <v>0</v>
      </c>
      <c r="AN122" s="78">
        <f t="shared" si="701"/>
        <v>0</v>
      </c>
      <c r="AO122" s="78">
        <f t="shared" si="701"/>
        <v>0</v>
      </c>
      <c r="AP122" s="78">
        <f t="shared" si="701"/>
        <v>0</v>
      </c>
      <c r="AQ122" s="78">
        <f t="shared" si="701"/>
        <v>0</v>
      </c>
      <c r="AR122" s="78">
        <f t="shared" si="701"/>
        <v>493.69348075753237</v>
      </c>
      <c r="AS122" s="78">
        <f t="shared" si="701"/>
        <v>0</v>
      </c>
      <c r="AT122" s="78">
        <f t="shared" si="701"/>
        <v>0</v>
      </c>
      <c r="AU122" s="78">
        <f t="shared" si="701"/>
        <v>0</v>
      </c>
      <c r="AV122" s="78">
        <f t="shared" si="701"/>
        <v>0</v>
      </c>
      <c r="AW122" s="78">
        <f t="shared" si="701"/>
        <v>0</v>
      </c>
      <c r="AX122" s="78">
        <f t="shared" si="701"/>
        <v>0</v>
      </c>
      <c r="AY122" s="78">
        <f t="shared" si="701"/>
        <v>0</v>
      </c>
      <c r="AZ122" s="78">
        <f t="shared" si="701"/>
        <v>0</v>
      </c>
      <c r="BA122" s="78">
        <f t="shared" si="701"/>
        <v>0</v>
      </c>
      <c r="BB122" s="78">
        <f t="shared" si="701"/>
        <v>0</v>
      </c>
    </row>
    <row r="123" spans="1:54" x14ac:dyDescent="0.25">
      <c r="A123" s="180"/>
      <c r="B123" s="76" t="s">
        <v>359</v>
      </c>
      <c r="C123" s="77"/>
      <c r="D123" s="76">
        <f t="shared" ref="D123:AI123" si="702">(1+$C$2)^D$194</f>
        <v>1</v>
      </c>
      <c r="E123" s="79">
        <f t="shared" si="702"/>
        <v>1.1219999999999999</v>
      </c>
      <c r="F123" s="79">
        <f t="shared" si="702"/>
        <v>1.2588839999999997</v>
      </c>
      <c r="G123" s="79">
        <f t="shared" si="702"/>
        <v>1.4124678479999995</v>
      </c>
      <c r="H123" s="79">
        <f t="shared" si="702"/>
        <v>1.5847889254559993</v>
      </c>
      <c r="I123" s="79">
        <f t="shared" si="702"/>
        <v>1.7781331743616309</v>
      </c>
      <c r="J123" s="79">
        <f t="shared" si="702"/>
        <v>1.9950654216337496</v>
      </c>
      <c r="K123" s="79">
        <f t="shared" si="702"/>
        <v>2.2384634030730668</v>
      </c>
      <c r="L123" s="79">
        <f t="shared" si="702"/>
        <v>2.5115559382479806</v>
      </c>
      <c r="M123" s="79">
        <f t="shared" si="702"/>
        <v>2.817965762714234</v>
      </c>
      <c r="N123" s="79">
        <f t="shared" si="702"/>
        <v>3.1617575857653701</v>
      </c>
      <c r="O123" s="79">
        <f t="shared" si="702"/>
        <v>3.5474920112287447</v>
      </c>
      <c r="P123" s="79">
        <f t="shared" si="702"/>
        <v>3.9802860365986512</v>
      </c>
      <c r="Q123" s="79">
        <f t="shared" si="702"/>
        <v>4.4658809330636862</v>
      </c>
      <c r="R123" s="79">
        <f t="shared" si="702"/>
        <v>5.0107184068974551</v>
      </c>
      <c r="S123" s="79">
        <f t="shared" si="702"/>
        <v>5.6220260525389438</v>
      </c>
      <c r="T123" s="79">
        <f t="shared" si="702"/>
        <v>6.307913230948694</v>
      </c>
      <c r="U123" s="79">
        <f t="shared" si="702"/>
        <v>7.077478645124434</v>
      </c>
      <c r="V123" s="79">
        <f t="shared" si="702"/>
        <v>7.9409310398296133</v>
      </c>
      <c r="W123" s="79">
        <f t="shared" si="702"/>
        <v>8.9097246266888259</v>
      </c>
      <c r="X123" s="79">
        <f t="shared" si="702"/>
        <v>9.9967110311448621</v>
      </c>
      <c r="Y123" s="79">
        <f t="shared" si="702"/>
        <v>11.216309776944533</v>
      </c>
      <c r="Z123" s="79">
        <f t="shared" si="702"/>
        <v>12.584699569731765</v>
      </c>
      <c r="AA123" s="79">
        <f t="shared" si="702"/>
        <v>14.120032917239037</v>
      </c>
      <c r="AB123" s="79">
        <f t="shared" si="702"/>
        <v>15.842676933142199</v>
      </c>
      <c r="AC123" s="79">
        <f t="shared" si="702"/>
        <v>17.775483518985546</v>
      </c>
      <c r="AD123" s="79">
        <f t="shared" si="702"/>
        <v>19.944092508301779</v>
      </c>
      <c r="AE123" s="79">
        <f t="shared" si="702"/>
        <v>22.377271794314591</v>
      </c>
      <c r="AF123" s="79">
        <f t="shared" si="702"/>
        <v>25.107298953220969</v>
      </c>
      <c r="AG123" s="79">
        <f t="shared" si="702"/>
        <v>28.170389425513925</v>
      </c>
      <c r="AH123" s="79">
        <f t="shared" si="702"/>
        <v>31.607176935426619</v>
      </c>
      <c r="AI123" s="79">
        <f t="shared" si="702"/>
        <v>35.463252521548661</v>
      </c>
      <c r="AJ123" s="79">
        <f t="shared" ref="AJ123:BB123" si="703">(1+$C$2)^AJ$194</f>
        <v>39.789769329177595</v>
      </c>
      <c r="AK123" s="79">
        <f t="shared" si="703"/>
        <v>44.644121187337255</v>
      </c>
      <c r="AL123" s="79">
        <f t="shared" si="703"/>
        <v>50.090703972192394</v>
      </c>
      <c r="AM123" s="79">
        <f t="shared" si="703"/>
        <v>56.201769856799864</v>
      </c>
      <c r="AN123" s="79">
        <f t="shared" si="703"/>
        <v>63.058385779329434</v>
      </c>
      <c r="AO123" s="79">
        <f t="shared" si="703"/>
        <v>70.751508844407624</v>
      </c>
      <c r="AP123" s="79">
        <f t="shared" si="703"/>
        <v>79.383192923425341</v>
      </c>
      <c r="AQ123" s="79">
        <f t="shared" si="703"/>
        <v>89.067942460083216</v>
      </c>
      <c r="AR123" s="79">
        <f t="shared" si="703"/>
        <v>99.934231440213352</v>
      </c>
      <c r="AS123" s="79">
        <f t="shared" si="703"/>
        <v>112.12620767591937</v>
      </c>
      <c r="AT123" s="79">
        <f t="shared" si="703"/>
        <v>125.80560501238152</v>
      </c>
      <c r="AU123" s="79">
        <f t="shared" si="703"/>
        <v>141.15388882389203</v>
      </c>
      <c r="AV123" s="79">
        <f t="shared" si="703"/>
        <v>158.37466326040686</v>
      </c>
      <c r="AW123" s="79">
        <f t="shared" si="703"/>
        <v>177.69637217817649</v>
      </c>
      <c r="AX123" s="79">
        <f t="shared" si="703"/>
        <v>199.37532958391398</v>
      </c>
      <c r="AY123" s="79">
        <f t="shared" si="703"/>
        <v>223.69911979315145</v>
      </c>
      <c r="AZ123" s="79">
        <f t="shared" si="703"/>
        <v>250.9904124079159</v>
      </c>
      <c r="BA123" s="79">
        <f t="shared" si="703"/>
        <v>281.61124272168161</v>
      </c>
      <c r="BB123" s="79">
        <f t="shared" si="703"/>
        <v>315.96781433372672</v>
      </c>
    </row>
    <row r="124" spans="1:54" x14ac:dyDescent="0.25">
      <c r="A124" s="180"/>
      <c r="B124" s="76" t="s">
        <v>360</v>
      </c>
      <c r="C124" s="77" t="s">
        <v>362</v>
      </c>
      <c r="D124" s="76">
        <f>D122/D123</f>
        <v>1231.8110000000001</v>
      </c>
      <c r="E124" s="78">
        <f>E122/E123</f>
        <v>0</v>
      </c>
      <c r="F124" s="78">
        <f>F122/F123</f>
        <v>0</v>
      </c>
      <c r="G124" s="78">
        <f t="shared" ref="G124:BB124" si="704">G122/G123</f>
        <v>0</v>
      </c>
      <c r="H124" s="78">
        <f t="shared" si="704"/>
        <v>0</v>
      </c>
      <c r="I124" s="78">
        <f t="shared" si="704"/>
        <v>0</v>
      </c>
      <c r="J124" s="78">
        <f t="shared" si="704"/>
        <v>0</v>
      </c>
      <c r="K124" s="78">
        <f t="shared" si="704"/>
        <v>0</v>
      </c>
      <c r="L124" s="78">
        <f t="shared" si="704"/>
        <v>0</v>
      </c>
      <c r="M124" s="78">
        <f t="shared" si="704"/>
        <v>0</v>
      </c>
      <c r="N124" s="78">
        <f t="shared" si="704"/>
        <v>49.552137881742922</v>
      </c>
      <c r="O124" s="78">
        <f t="shared" si="704"/>
        <v>0</v>
      </c>
      <c r="P124" s="78">
        <f t="shared" si="704"/>
        <v>0</v>
      </c>
      <c r="Q124" s="78">
        <f t="shared" si="704"/>
        <v>0</v>
      </c>
      <c r="R124" s="78">
        <f t="shared" si="704"/>
        <v>0</v>
      </c>
      <c r="S124" s="78">
        <f t="shared" si="704"/>
        <v>0</v>
      </c>
      <c r="T124" s="78">
        <f t="shared" si="704"/>
        <v>0</v>
      </c>
      <c r="U124" s="78">
        <f t="shared" si="704"/>
        <v>0</v>
      </c>
      <c r="V124" s="78">
        <f t="shared" si="704"/>
        <v>0</v>
      </c>
      <c r="W124" s="78">
        <f t="shared" si="704"/>
        <v>0</v>
      </c>
      <c r="X124" s="78">
        <f t="shared" si="704"/>
        <v>22.976787242326886</v>
      </c>
      <c r="Y124" s="78">
        <f t="shared" si="704"/>
        <v>0</v>
      </c>
      <c r="Z124" s="78">
        <f t="shared" si="704"/>
        <v>0</v>
      </c>
      <c r="AA124" s="78">
        <f t="shared" si="704"/>
        <v>0</v>
      </c>
      <c r="AB124" s="78">
        <f t="shared" si="704"/>
        <v>0</v>
      </c>
      <c r="AC124" s="78">
        <f t="shared" si="704"/>
        <v>0</v>
      </c>
      <c r="AD124" s="78">
        <f t="shared" si="704"/>
        <v>0</v>
      </c>
      <c r="AE124" s="78">
        <f t="shared" si="704"/>
        <v>0</v>
      </c>
      <c r="AF124" s="78">
        <f t="shared" si="704"/>
        <v>0</v>
      </c>
      <c r="AG124" s="78">
        <f t="shared" si="704"/>
        <v>0</v>
      </c>
      <c r="AH124" s="78">
        <f t="shared" si="704"/>
        <v>10.654086272505065</v>
      </c>
      <c r="AI124" s="78">
        <f t="shared" si="704"/>
        <v>0</v>
      </c>
      <c r="AJ124" s="78">
        <f t="shared" si="704"/>
        <v>0</v>
      </c>
      <c r="AK124" s="78">
        <f t="shared" si="704"/>
        <v>0</v>
      </c>
      <c r="AL124" s="78">
        <f t="shared" si="704"/>
        <v>0</v>
      </c>
      <c r="AM124" s="78">
        <f t="shared" si="704"/>
        <v>0</v>
      </c>
      <c r="AN124" s="78">
        <f t="shared" si="704"/>
        <v>0</v>
      </c>
      <c r="AO124" s="78">
        <f t="shared" si="704"/>
        <v>0</v>
      </c>
      <c r="AP124" s="78">
        <f t="shared" si="704"/>
        <v>0</v>
      </c>
      <c r="AQ124" s="78">
        <f t="shared" si="704"/>
        <v>0</v>
      </c>
      <c r="AR124" s="78">
        <f t="shared" si="704"/>
        <v>4.9401838953741235</v>
      </c>
      <c r="AS124" s="78">
        <f t="shared" si="704"/>
        <v>0</v>
      </c>
      <c r="AT124" s="78">
        <f t="shared" si="704"/>
        <v>0</v>
      </c>
      <c r="AU124" s="78">
        <f t="shared" si="704"/>
        <v>0</v>
      </c>
      <c r="AV124" s="78">
        <f t="shared" si="704"/>
        <v>0</v>
      </c>
      <c r="AW124" s="78">
        <f t="shared" si="704"/>
        <v>0</v>
      </c>
      <c r="AX124" s="78">
        <f t="shared" si="704"/>
        <v>0</v>
      </c>
      <c r="AY124" s="78">
        <f t="shared" si="704"/>
        <v>0</v>
      </c>
      <c r="AZ124" s="78">
        <f t="shared" si="704"/>
        <v>0</v>
      </c>
      <c r="BA124" s="78">
        <f t="shared" si="704"/>
        <v>0</v>
      </c>
      <c r="BB124" s="78">
        <f t="shared" si="704"/>
        <v>0</v>
      </c>
    </row>
    <row r="125" spans="1:54" x14ac:dyDescent="0.25">
      <c r="A125" s="180"/>
      <c r="B125" s="76" t="s">
        <v>645</v>
      </c>
      <c r="C125" s="77" t="s">
        <v>362</v>
      </c>
      <c r="D125" s="76">
        <f>D124</f>
        <v>1231.8110000000001</v>
      </c>
      <c r="E125" s="78">
        <f>E124+D125</f>
        <v>1231.8110000000001</v>
      </c>
      <c r="F125" s="78">
        <f t="shared" ref="F125" si="705">F124+E125</f>
        <v>1231.8110000000001</v>
      </c>
      <c r="G125" s="78">
        <f t="shared" ref="G125" si="706">G124+F125</f>
        <v>1231.8110000000001</v>
      </c>
      <c r="H125" s="78">
        <f t="shared" ref="H125" si="707">H124+G125</f>
        <v>1231.8110000000001</v>
      </c>
      <c r="I125" s="78">
        <f t="shared" ref="I125" si="708">I124+H125</f>
        <v>1231.8110000000001</v>
      </c>
      <c r="J125" s="78">
        <f t="shared" ref="J125" si="709">J124+I125</f>
        <v>1231.8110000000001</v>
      </c>
      <c r="K125" s="78">
        <f t="shared" ref="K125" si="710">K124+J125</f>
        <v>1231.8110000000001</v>
      </c>
      <c r="L125" s="78">
        <f t="shared" ref="L125" si="711">L124+K125</f>
        <v>1231.8110000000001</v>
      </c>
      <c r="M125" s="78">
        <f t="shared" ref="M125" si="712">M124+L125</f>
        <v>1231.8110000000001</v>
      </c>
      <c r="N125" s="78">
        <f t="shared" ref="N125" si="713">N124+M125</f>
        <v>1281.3631378817431</v>
      </c>
      <c r="O125" s="78">
        <f t="shared" ref="O125" si="714">O124+N125</f>
        <v>1281.3631378817431</v>
      </c>
      <c r="P125" s="78">
        <f t="shared" ref="P125" si="715">P124+O125</f>
        <v>1281.3631378817431</v>
      </c>
      <c r="Q125" s="78">
        <f t="shared" ref="Q125" si="716">Q124+P125</f>
        <v>1281.3631378817431</v>
      </c>
      <c r="R125" s="78">
        <f t="shared" ref="R125" si="717">R124+Q125</f>
        <v>1281.3631378817431</v>
      </c>
      <c r="S125" s="78">
        <f t="shared" ref="S125" si="718">S124+R125</f>
        <v>1281.3631378817431</v>
      </c>
      <c r="T125" s="78">
        <f t="shared" ref="T125" si="719">T124+S125</f>
        <v>1281.3631378817431</v>
      </c>
      <c r="U125" s="78">
        <f t="shared" ref="U125" si="720">U124+T125</f>
        <v>1281.3631378817431</v>
      </c>
      <c r="V125" s="78">
        <f t="shared" ref="V125" si="721">V124+U125</f>
        <v>1281.3631378817431</v>
      </c>
      <c r="W125" s="78">
        <f t="shared" ref="W125" si="722">W124+V125</f>
        <v>1281.3631378817431</v>
      </c>
      <c r="X125" s="78">
        <f t="shared" ref="X125" si="723">X124+W125</f>
        <v>1304.3399251240701</v>
      </c>
      <c r="Y125" s="78">
        <f t="shared" ref="Y125" si="724">Y124+X125</f>
        <v>1304.3399251240701</v>
      </c>
      <c r="Z125" s="78">
        <f t="shared" ref="Z125" si="725">Z124+Y125</f>
        <v>1304.3399251240701</v>
      </c>
      <c r="AA125" s="78">
        <f t="shared" ref="AA125" si="726">AA124+Z125</f>
        <v>1304.3399251240701</v>
      </c>
      <c r="AB125" s="78">
        <f t="shared" ref="AB125" si="727">AB124+AA125</f>
        <v>1304.3399251240701</v>
      </c>
      <c r="AC125" s="78">
        <f t="shared" ref="AC125" si="728">AC124+AB125</f>
        <v>1304.3399251240701</v>
      </c>
      <c r="AD125" s="78">
        <f t="shared" ref="AD125" si="729">AD124+AC125</f>
        <v>1304.3399251240701</v>
      </c>
      <c r="AE125" s="78">
        <f t="shared" ref="AE125" si="730">AE124+AD125</f>
        <v>1304.3399251240701</v>
      </c>
      <c r="AF125" s="78">
        <f t="shared" ref="AF125" si="731">AF124+AE125</f>
        <v>1304.3399251240701</v>
      </c>
      <c r="AG125" s="78">
        <f t="shared" ref="AG125" si="732">AG124+AF125</f>
        <v>1304.3399251240701</v>
      </c>
      <c r="AH125" s="78">
        <f t="shared" ref="AH125" si="733">AH124+AG125</f>
        <v>1314.9940113965752</v>
      </c>
      <c r="AI125" s="78">
        <f t="shared" ref="AI125" si="734">AI124+AH125</f>
        <v>1314.9940113965752</v>
      </c>
      <c r="AJ125" s="78">
        <f t="shared" ref="AJ125" si="735">AJ124+AI125</f>
        <v>1314.9940113965752</v>
      </c>
      <c r="AK125" s="78">
        <f t="shared" ref="AK125" si="736">AK124+AJ125</f>
        <v>1314.9940113965752</v>
      </c>
      <c r="AL125" s="78">
        <f t="shared" ref="AL125" si="737">AL124+AK125</f>
        <v>1314.9940113965752</v>
      </c>
      <c r="AM125" s="78">
        <f t="shared" ref="AM125" si="738">AM124+AL125</f>
        <v>1314.9940113965752</v>
      </c>
      <c r="AN125" s="78">
        <f t="shared" ref="AN125" si="739">AN124+AM125</f>
        <v>1314.9940113965752</v>
      </c>
      <c r="AO125" s="78">
        <f t="shared" ref="AO125" si="740">AO124+AN125</f>
        <v>1314.9940113965752</v>
      </c>
      <c r="AP125" s="78">
        <f t="shared" ref="AP125" si="741">AP124+AO125</f>
        <v>1314.9940113965752</v>
      </c>
      <c r="AQ125" s="78">
        <f t="shared" ref="AQ125" si="742">AQ124+AP125</f>
        <v>1314.9940113965752</v>
      </c>
      <c r="AR125" s="78">
        <f t="shared" ref="AR125" si="743">AR124+AQ125</f>
        <v>1319.9341952919492</v>
      </c>
      <c r="AS125" s="78">
        <f t="shared" ref="AS125" si="744">AS124+AR125</f>
        <v>1319.9341952919492</v>
      </c>
      <c r="AT125" s="78">
        <f t="shared" ref="AT125" si="745">AT124+AS125</f>
        <v>1319.9341952919492</v>
      </c>
      <c r="AU125" s="78">
        <f t="shared" ref="AU125" si="746">AU124+AT125</f>
        <v>1319.9341952919492</v>
      </c>
      <c r="AV125" s="78">
        <f t="shared" ref="AV125" si="747">AV124+AU125</f>
        <v>1319.9341952919492</v>
      </c>
      <c r="AW125" s="78">
        <f t="shared" ref="AW125" si="748">AW124+AV125</f>
        <v>1319.9341952919492</v>
      </c>
      <c r="AX125" s="78">
        <f t="shared" ref="AX125" si="749">AX124+AW125</f>
        <v>1319.9341952919492</v>
      </c>
      <c r="AY125" s="78">
        <f t="shared" ref="AY125" si="750">AY124+AX125</f>
        <v>1319.9341952919492</v>
      </c>
      <c r="AZ125" s="78">
        <f t="shared" ref="AZ125" si="751">AZ124+AY125</f>
        <v>1319.9341952919492</v>
      </c>
      <c r="BA125" s="78">
        <f t="shared" ref="BA125" si="752">BA124+AZ125</f>
        <v>1319.9341952919492</v>
      </c>
      <c r="BB125" s="78">
        <f t="shared" ref="BB125" si="753">BB124+BA125</f>
        <v>1319.9341952919492</v>
      </c>
    </row>
    <row r="126" spans="1:54" x14ac:dyDescent="0.25">
      <c r="A126" s="180"/>
      <c r="B126" s="80" t="s">
        <v>361</v>
      </c>
      <c r="C126" s="81" t="s">
        <v>362</v>
      </c>
      <c r="D126" s="92">
        <f>SUM(D124:BB124)</f>
        <v>1319.9341952919492</v>
      </c>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row>
    <row r="127" spans="1:54" x14ac:dyDescent="0.25">
      <c r="A127" s="177" t="s">
        <v>549</v>
      </c>
      <c r="B127" t="s">
        <v>363</v>
      </c>
      <c r="C127" s="72" t="s">
        <v>362</v>
      </c>
      <c r="D127" s="18">
        <f>ATR_WALL!B30</f>
        <v>-702.23759999999993</v>
      </c>
      <c r="E127">
        <v>0</v>
      </c>
      <c r="F127">
        <v>0</v>
      </c>
      <c r="G127">
        <v>0</v>
      </c>
      <c r="H127">
        <v>0</v>
      </c>
      <c r="I127">
        <v>0</v>
      </c>
      <c r="J127">
        <v>0</v>
      </c>
      <c r="K127">
        <v>0</v>
      </c>
      <c r="L127">
        <v>0</v>
      </c>
      <c r="M127">
        <v>0</v>
      </c>
      <c r="N127">
        <f>-ATR_WALL!$B$27*(1+$C$1)^N$194</f>
        <v>-196.9345995082486</v>
      </c>
      <c r="O127">
        <v>0</v>
      </c>
      <c r="P127">
        <v>0</v>
      </c>
      <c r="Q127">
        <v>0</v>
      </c>
      <c r="R127">
        <v>0</v>
      </c>
      <c r="S127">
        <v>0</v>
      </c>
      <c r="T127">
        <v>0</v>
      </c>
      <c r="U127">
        <v>0</v>
      </c>
      <c r="V127">
        <v>0</v>
      </c>
      <c r="W127">
        <v>0</v>
      </c>
      <c r="X127">
        <f>-ATR_WALL!$B$27*(1+$C$1)^X$194</f>
        <v>-288.7204192980933</v>
      </c>
      <c r="Y127">
        <v>0</v>
      </c>
      <c r="Z127">
        <v>0</v>
      </c>
      <c r="AA127">
        <v>0</v>
      </c>
      <c r="AB127">
        <v>0</v>
      </c>
      <c r="AC127">
        <v>0</v>
      </c>
      <c r="AD127">
        <v>0</v>
      </c>
      <c r="AE127">
        <v>0</v>
      </c>
      <c r="AF127">
        <v>0</v>
      </c>
      <c r="AG127">
        <v>0</v>
      </c>
      <c r="AH127">
        <f>-ATR_WALL!$B$27*(1+$C$1)^AH$194</f>
        <v>-423.28509427910495</v>
      </c>
      <c r="AI127">
        <v>0</v>
      </c>
      <c r="AJ127">
        <v>0</v>
      </c>
      <c r="AK127">
        <v>0</v>
      </c>
      <c r="AL127">
        <v>0</v>
      </c>
      <c r="AM127">
        <v>0</v>
      </c>
      <c r="AN127">
        <v>0</v>
      </c>
      <c r="AO127">
        <v>0</v>
      </c>
      <c r="AP127">
        <v>0</v>
      </c>
      <c r="AQ127">
        <v>0</v>
      </c>
      <c r="AR127">
        <f>-ATR_WALL!$B$27*(1+$C$1)^AR$194</f>
        <v>-620.5666764908791</v>
      </c>
      <c r="AS127">
        <v>0</v>
      </c>
      <c r="AT127">
        <v>0</v>
      </c>
      <c r="AU127">
        <v>0</v>
      </c>
      <c r="AV127">
        <v>0</v>
      </c>
      <c r="AW127">
        <v>0</v>
      </c>
      <c r="AX127">
        <v>0</v>
      </c>
      <c r="AY127">
        <v>0</v>
      </c>
      <c r="AZ127">
        <v>0</v>
      </c>
      <c r="BA127">
        <v>0</v>
      </c>
      <c r="BB127">
        <v>0</v>
      </c>
    </row>
    <row r="128" spans="1:54" x14ac:dyDescent="0.25">
      <c r="A128" s="177"/>
      <c r="B128" t="s">
        <v>356</v>
      </c>
      <c r="C128" s="72" t="s">
        <v>362</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0</v>
      </c>
      <c r="BB128">
        <v>0</v>
      </c>
    </row>
    <row r="129" spans="1:54" x14ac:dyDescent="0.25">
      <c r="A129" s="177"/>
      <c r="B129" t="s">
        <v>357</v>
      </c>
      <c r="C129" s="72" t="s">
        <v>362</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row>
    <row r="130" spans="1:54" x14ac:dyDescent="0.25">
      <c r="A130" s="177"/>
      <c r="B130" t="s">
        <v>358</v>
      </c>
      <c r="C130" s="72" t="s">
        <v>362</v>
      </c>
      <c r="D130">
        <f>SUM(D127:D129)</f>
        <v>-702.23759999999993</v>
      </c>
      <c r="E130" s="18">
        <f t="shared" ref="E130:BB130" si="754">SUM(E127:E129)</f>
        <v>0</v>
      </c>
      <c r="F130" s="18">
        <f t="shared" si="754"/>
        <v>0</v>
      </c>
      <c r="G130" s="18">
        <f t="shared" si="754"/>
        <v>0</v>
      </c>
      <c r="H130" s="18">
        <f t="shared" si="754"/>
        <v>0</v>
      </c>
      <c r="I130" s="18">
        <f t="shared" si="754"/>
        <v>0</v>
      </c>
      <c r="J130" s="18">
        <f t="shared" si="754"/>
        <v>0</v>
      </c>
      <c r="K130" s="18">
        <f t="shared" si="754"/>
        <v>0</v>
      </c>
      <c r="L130" s="18">
        <f t="shared" si="754"/>
        <v>0</v>
      </c>
      <c r="M130" s="18">
        <f t="shared" si="754"/>
        <v>0</v>
      </c>
      <c r="N130" s="18">
        <f t="shared" si="754"/>
        <v>-196.9345995082486</v>
      </c>
      <c r="O130" s="18">
        <f t="shared" si="754"/>
        <v>0</v>
      </c>
      <c r="P130" s="18">
        <f t="shared" si="754"/>
        <v>0</v>
      </c>
      <c r="Q130" s="18">
        <f t="shared" si="754"/>
        <v>0</v>
      </c>
      <c r="R130" s="18">
        <f t="shared" si="754"/>
        <v>0</v>
      </c>
      <c r="S130" s="18">
        <f t="shared" si="754"/>
        <v>0</v>
      </c>
      <c r="T130" s="18">
        <f t="shared" si="754"/>
        <v>0</v>
      </c>
      <c r="U130" s="18">
        <f t="shared" si="754"/>
        <v>0</v>
      </c>
      <c r="V130" s="18">
        <f t="shared" si="754"/>
        <v>0</v>
      </c>
      <c r="W130" s="18">
        <f t="shared" si="754"/>
        <v>0</v>
      </c>
      <c r="X130" s="18">
        <f t="shared" si="754"/>
        <v>-288.7204192980933</v>
      </c>
      <c r="Y130" s="18">
        <f t="shared" si="754"/>
        <v>0</v>
      </c>
      <c r="Z130" s="18">
        <f t="shared" si="754"/>
        <v>0</v>
      </c>
      <c r="AA130" s="18">
        <f t="shared" si="754"/>
        <v>0</v>
      </c>
      <c r="AB130" s="18">
        <f t="shared" si="754"/>
        <v>0</v>
      </c>
      <c r="AC130" s="18">
        <f t="shared" si="754"/>
        <v>0</v>
      </c>
      <c r="AD130" s="18">
        <f t="shared" si="754"/>
        <v>0</v>
      </c>
      <c r="AE130" s="18">
        <f t="shared" si="754"/>
        <v>0</v>
      </c>
      <c r="AF130" s="18">
        <f t="shared" si="754"/>
        <v>0</v>
      </c>
      <c r="AG130" s="18">
        <f t="shared" si="754"/>
        <v>0</v>
      </c>
      <c r="AH130" s="18">
        <f t="shared" si="754"/>
        <v>-423.28509427910495</v>
      </c>
      <c r="AI130" s="18">
        <f t="shared" si="754"/>
        <v>0</v>
      </c>
      <c r="AJ130" s="18">
        <f t="shared" si="754"/>
        <v>0</v>
      </c>
      <c r="AK130" s="18">
        <f t="shared" si="754"/>
        <v>0</v>
      </c>
      <c r="AL130" s="18">
        <f t="shared" si="754"/>
        <v>0</v>
      </c>
      <c r="AM130" s="18">
        <f t="shared" si="754"/>
        <v>0</v>
      </c>
      <c r="AN130" s="18">
        <f t="shared" si="754"/>
        <v>0</v>
      </c>
      <c r="AO130" s="18">
        <f t="shared" si="754"/>
        <v>0</v>
      </c>
      <c r="AP130" s="18">
        <f t="shared" si="754"/>
        <v>0</v>
      </c>
      <c r="AQ130" s="18">
        <f t="shared" si="754"/>
        <v>0</v>
      </c>
      <c r="AR130" s="18">
        <f t="shared" si="754"/>
        <v>-620.5666764908791</v>
      </c>
      <c r="AS130" s="18">
        <f t="shared" si="754"/>
        <v>0</v>
      </c>
      <c r="AT130" s="18">
        <f t="shared" si="754"/>
        <v>0</v>
      </c>
      <c r="AU130" s="18">
        <f t="shared" si="754"/>
        <v>0</v>
      </c>
      <c r="AV130" s="18">
        <f t="shared" si="754"/>
        <v>0</v>
      </c>
      <c r="AW130" s="18">
        <f t="shared" si="754"/>
        <v>0</v>
      </c>
      <c r="AX130" s="18">
        <f t="shared" si="754"/>
        <v>0</v>
      </c>
      <c r="AY130" s="18">
        <f t="shared" si="754"/>
        <v>0</v>
      </c>
      <c r="AZ130" s="18">
        <f t="shared" si="754"/>
        <v>0</v>
      </c>
      <c r="BA130" s="18">
        <f t="shared" si="754"/>
        <v>0</v>
      </c>
      <c r="BB130" s="18">
        <f t="shared" si="754"/>
        <v>0</v>
      </c>
    </row>
    <row r="131" spans="1:54" x14ac:dyDescent="0.25">
      <c r="A131" s="177"/>
      <c r="B131" t="s">
        <v>359</v>
      </c>
      <c r="C131" s="72"/>
      <c r="D131">
        <f t="shared" ref="D131:AI131" si="755">(1+$C$2)^D$194</f>
        <v>1</v>
      </c>
      <c r="E131" s="40">
        <f t="shared" si="755"/>
        <v>1.1219999999999999</v>
      </c>
      <c r="F131" s="40">
        <f t="shared" si="755"/>
        <v>1.2588839999999997</v>
      </c>
      <c r="G131" s="40">
        <f t="shared" si="755"/>
        <v>1.4124678479999995</v>
      </c>
      <c r="H131" s="40">
        <f t="shared" si="755"/>
        <v>1.5847889254559993</v>
      </c>
      <c r="I131" s="40">
        <f t="shared" si="755"/>
        <v>1.7781331743616309</v>
      </c>
      <c r="J131" s="40">
        <f t="shared" si="755"/>
        <v>1.9950654216337496</v>
      </c>
      <c r="K131" s="40">
        <f t="shared" si="755"/>
        <v>2.2384634030730668</v>
      </c>
      <c r="L131" s="40">
        <f t="shared" si="755"/>
        <v>2.5115559382479806</v>
      </c>
      <c r="M131" s="40">
        <f t="shared" si="755"/>
        <v>2.817965762714234</v>
      </c>
      <c r="N131" s="40">
        <f t="shared" si="755"/>
        <v>3.1617575857653701</v>
      </c>
      <c r="O131" s="40">
        <f t="shared" si="755"/>
        <v>3.5474920112287447</v>
      </c>
      <c r="P131" s="40">
        <f t="shared" si="755"/>
        <v>3.9802860365986512</v>
      </c>
      <c r="Q131" s="40">
        <f t="shared" si="755"/>
        <v>4.4658809330636862</v>
      </c>
      <c r="R131" s="40">
        <f t="shared" si="755"/>
        <v>5.0107184068974551</v>
      </c>
      <c r="S131" s="40">
        <f t="shared" si="755"/>
        <v>5.6220260525389438</v>
      </c>
      <c r="T131" s="40">
        <f t="shared" si="755"/>
        <v>6.307913230948694</v>
      </c>
      <c r="U131" s="40">
        <f t="shared" si="755"/>
        <v>7.077478645124434</v>
      </c>
      <c r="V131" s="40">
        <f t="shared" si="755"/>
        <v>7.9409310398296133</v>
      </c>
      <c r="W131" s="40">
        <f t="shared" si="755"/>
        <v>8.9097246266888259</v>
      </c>
      <c r="X131" s="40">
        <f t="shared" si="755"/>
        <v>9.9967110311448621</v>
      </c>
      <c r="Y131" s="40">
        <f t="shared" si="755"/>
        <v>11.216309776944533</v>
      </c>
      <c r="Z131" s="40">
        <f t="shared" si="755"/>
        <v>12.584699569731765</v>
      </c>
      <c r="AA131" s="40">
        <f t="shared" si="755"/>
        <v>14.120032917239037</v>
      </c>
      <c r="AB131" s="40">
        <f t="shared" si="755"/>
        <v>15.842676933142199</v>
      </c>
      <c r="AC131" s="40">
        <f t="shared" si="755"/>
        <v>17.775483518985546</v>
      </c>
      <c r="AD131" s="40">
        <f t="shared" si="755"/>
        <v>19.944092508301779</v>
      </c>
      <c r="AE131" s="40">
        <f t="shared" si="755"/>
        <v>22.377271794314591</v>
      </c>
      <c r="AF131" s="40">
        <f t="shared" si="755"/>
        <v>25.107298953220969</v>
      </c>
      <c r="AG131" s="40">
        <f t="shared" si="755"/>
        <v>28.170389425513925</v>
      </c>
      <c r="AH131" s="40">
        <f t="shared" si="755"/>
        <v>31.607176935426619</v>
      </c>
      <c r="AI131" s="40">
        <f t="shared" si="755"/>
        <v>35.463252521548661</v>
      </c>
      <c r="AJ131" s="40">
        <f t="shared" ref="AJ131:BB131" si="756">(1+$C$2)^AJ$194</f>
        <v>39.789769329177595</v>
      </c>
      <c r="AK131" s="40">
        <f t="shared" si="756"/>
        <v>44.644121187337255</v>
      </c>
      <c r="AL131" s="40">
        <f t="shared" si="756"/>
        <v>50.090703972192394</v>
      </c>
      <c r="AM131" s="40">
        <f t="shared" si="756"/>
        <v>56.201769856799864</v>
      </c>
      <c r="AN131" s="40">
        <f t="shared" si="756"/>
        <v>63.058385779329434</v>
      </c>
      <c r="AO131" s="40">
        <f t="shared" si="756"/>
        <v>70.751508844407624</v>
      </c>
      <c r="AP131" s="40">
        <f t="shared" si="756"/>
        <v>79.383192923425341</v>
      </c>
      <c r="AQ131" s="40">
        <f t="shared" si="756"/>
        <v>89.067942460083216</v>
      </c>
      <c r="AR131" s="40">
        <f t="shared" si="756"/>
        <v>99.934231440213352</v>
      </c>
      <c r="AS131" s="40">
        <f t="shared" si="756"/>
        <v>112.12620767591937</v>
      </c>
      <c r="AT131" s="40">
        <f t="shared" si="756"/>
        <v>125.80560501238152</v>
      </c>
      <c r="AU131" s="40">
        <f t="shared" si="756"/>
        <v>141.15388882389203</v>
      </c>
      <c r="AV131" s="40">
        <f t="shared" si="756"/>
        <v>158.37466326040686</v>
      </c>
      <c r="AW131" s="40">
        <f t="shared" si="756"/>
        <v>177.69637217817649</v>
      </c>
      <c r="AX131" s="40">
        <f t="shared" si="756"/>
        <v>199.37532958391398</v>
      </c>
      <c r="AY131" s="40">
        <f t="shared" si="756"/>
        <v>223.69911979315145</v>
      </c>
      <c r="AZ131" s="40">
        <f t="shared" si="756"/>
        <v>250.9904124079159</v>
      </c>
      <c r="BA131" s="40">
        <f t="shared" si="756"/>
        <v>281.61124272168161</v>
      </c>
      <c r="BB131" s="40">
        <f t="shared" si="756"/>
        <v>315.96781433372672</v>
      </c>
    </row>
    <row r="132" spans="1:54" x14ac:dyDescent="0.25">
      <c r="A132" s="177"/>
      <c r="B132" t="s">
        <v>360</v>
      </c>
      <c r="C132" s="72" t="s">
        <v>362</v>
      </c>
      <c r="D132">
        <f>D130/D131</f>
        <v>-702.23759999999993</v>
      </c>
      <c r="E132" s="18">
        <f>E130/E131</f>
        <v>0</v>
      </c>
      <c r="F132" s="18">
        <f>F130/F131</f>
        <v>0</v>
      </c>
      <c r="G132" s="18">
        <f t="shared" ref="G132:BB132" si="757">G130/G131</f>
        <v>0</v>
      </c>
      <c r="H132" s="18">
        <f t="shared" si="757"/>
        <v>0</v>
      </c>
      <c r="I132" s="18">
        <f t="shared" si="757"/>
        <v>0</v>
      </c>
      <c r="J132" s="18">
        <f t="shared" si="757"/>
        <v>0</v>
      </c>
      <c r="K132" s="18">
        <f t="shared" si="757"/>
        <v>0</v>
      </c>
      <c r="L132" s="18">
        <f t="shared" si="757"/>
        <v>0</v>
      </c>
      <c r="M132" s="18">
        <f t="shared" si="757"/>
        <v>0</v>
      </c>
      <c r="N132" s="18">
        <f t="shared" si="757"/>
        <v>-62.286432203048363</v>
      </c>
      <c r="O132" s="18">
        <f t="shared" si="757"/>
        <v>0</v>
      </c>
      <c r="P132" s="18">
        <f t="shared" si="757"/>
        <v>0</v>
      </c>
      <c r="Q132" s="18">
        <f t="shared" si="757"/>
        <v>0</v>
      </c>
      <c r="R132" s="18">
        <f t="shared" si="757"/>
        <v>0</v>
      </c>
      <c r="S132" s="18">
        <f t="shared" si="757"/>
        <v>0</v>
      </c>
      <c r="T132" s="18">
        <f t="shared" si="757"/>
        <v>0</v>
      </c>
      <c r="U132" s="18">
        <f t="shared" si="757"/>
        <v>0</v>
      </c>
      <c r="V132" s="18">
        <f t="shared" si="757"/>
        <v>0</v>
      </c>
      <c r="W132" s="18">
        <f t="shared" si="757"/>
        <v>0</v>
      </c>
      <c r="X132" s="18">
        <f t="shared" si="757"/>
        <v>-28.881540978686058</v>
      </c>
      <c r="Y132" s="18">
        <f t="shared" si="757"/>
        <v>0</v>
      </c>
      <c r="Z132" s="18">
        <f t="shared" si="757"/>
        <v>0</v>
      </c>
      <c r="AA132" s="18">
        <f t="shared" si="757"/>
        <v>0</v>
      </c>
      <c r="AB132" s="18">
        <f t="shared" si="757"/>
        <v>0</v>
      </c>
      <c r="AC132" s="18">
        <f t="shared" si="757"/>
        <v>0</v>
      </c>
      <c r="AD132" s="18">
        <f t="shared" si="757"/>
        <v>0</v>
      </c>
      <c r="AE132" s="18">
        <f t="shared" si="757"/>
        <v>0</v>
      </c>
      <c r="AF132" s="18">
        <f t="shared" si="757"/>
        <v>0</v>
      </c>
      <c r="AG132" s="18">
        <f t="shared" si="757"/>
        <v>0</v>
      </c>
      <c r="AH132" s="18">
        <f t="shared" si="757"/>
        <v>-13.392056340364574</v>
      </c>
      <c r="AI132" s="18">
        <f t="shared" si="757"/>
        <v>0</v>
      </c>
      <c r="AJ132" s="18">
        <f t="shared" si="757"/>
        <v>0</v>
      </c>
      <c r="AK132" s="18">
        <f t="shared" si="757"/>
        <v>0</v>
      </c>
      <c r="AL132" s="18">
        <f t="shared" si="757"/>
        <v>0</v>
      </c>
      <c r="AM132" s="18">
        <f t="shared" si="757"/>
        <v>0</v>
      </c>
      <c r="AN132" s="18">
        <f t="shared" si="757"/>
        <v>0</v>
      </c>
      <c r="AO132" s="18">
        <f t="shared" si="757"/>
        <v>0</v>
      </c>
      <c r="AP132" s="18">
        <f t="shared" si="757"/>
        <v>0</v>
      </c>
      <c r="AQ132" s="18">
        <f t="shared" si="757"/>
        <v>0</v>
      </c>
      <c r="AR132" s="18">
        <f t="shared" si="757"/>
        <v>-6.2097508285950971</v>
      </c>
      <c r="AS132" s="18">
        <f t="shared" si="757"/>
        <v>0</v>
      </c>
      <c r="AT132" s="18">
        <f t="shared" si="757"/>
        <v>0</v>
      </c>
      <c r="AU132" s="18">
        <f t="shared" si="757"/>
        <v>0</v>
      </c>
      <c r="AV132" s="18">
        <f t="shared" si="757"/>
        <v>0</v>
      </c>
      <c r="AW132" s="18">
        <f t="shared" si="757"/>
        <v>0</v>
      </c>
      <c r="AX132" s="18">
        <f t="shared" si="757"/>
        <v>0</v>
      </c>
      <c r="AY132" s="18">
        <f t="shared" si="757"/>
        <v>0</v>
      </c>
      <c r="AZ132" s="18">
        <f t="shared" si="757"/>
        <v>0</v>
      </c>
      <c r="BA132" s="18">
        <f t="shared" si="757"/>
        <v>0</v>
      </c>
      <c r="BB132" s="18">
        <f t="shared" si="757"/>
        <v>0</v>
      </c>
    </row>
    <row r="133" spans="1:54" x14ac:dyDescent="0.25">
      <c r="A133" s="177"/>
      <c r="B133" s="76" t="s">
        <v>645</v>
      </c>
      <c r="C133" s="77" t="s">
        <v>362</v>
      </c>
      <c r="D133" s="76">
        <f>D132</f>
        <v>-702.23759999999993</v>
      </c>
      <c r="E133" s="78">
        <f>E132+D133</f>
        <v>-702.23759999999993</v>
      </c>
      <c r="F133" s="78">
        <f t="shared" ref="F133" si="758">F132+E133</f>
        <v>-702.23759999999993</v>
      </c>
      <c r="G133" s="78">
        <f t="shared" ref="G133" si="759">G132+F133</f>
        <v>-702.23759999999993</v>
      </c>
      <c r="H133" s="78">
        <f t="shared" ref="H133" si="760">H132+G133</f>
        <v>-702.23759999999993</v>
      </c>
      <c r="I133" s="78">
        <f t="shared" ref="I133" si="761">I132+H133</f>
        <v>-702.23759999999993</v>
      </c>
      <c r="J133" s="78">
        <f t="shared" ref="J133" si="762">J132+I133</f>
        <v>-702.23759999999993</v>
      </c>
      <c r="K133" s="78">
        <f t="shared" ref="K133" si="763">K132+J133</f>
        <v>-702.23759999999993</v>
      </c>
      <c r="L133" s="78">
        <f t="shared" ref="L133" si="764">L132+K133</f>
        <v>-702.23759999999993</v>
      </c>
      <c r="M133" s="78">
        <f t="shared" ref="M133" si="765">M132+L133</f>
        <v>-702.23759999999993</v>
      </c>
      <c r="N133" s="78">
        <f t="shared" ref="N133" si="766">N132+M133</f>
        <v>-764.52403220304825</v>
      </c>
      <c r="O133" s="78">
        <f t="shared" ref="O133" si="767">O132+N133</f>
        <v>-764.52403220304825</v>
      </c>
      <c r="P133" s="78">
        <f t="shared" ref="P133" si="768">P132+O133</f>
        <v>-764.52403220304825</v>
      </c>
      <c r="Q133" s="78">
        <f t="shared" ref="Q133" si="769">Q132+P133</f>
        <v>-764.52403220304825</v>
      </c>
      <c r="R133" s="78">
        <f t="shared" ref="R133" si="770">R132+Q133</f>
        <v>-764.52403220304825</v>
      </c>
      <c r="S133" s="78">
        <f t="shared" ref="S133" si="771">S132+R133</f>
        <v>-764.52403220304825</v>
      </c>
      <c r="T133" s="78">
        <f t="shared" ref="T133" si="772">T132+S133</f>
        <v>-764.52403220304825</v>
      </c>
      <c r="U133" s="78">
        <f t="shared" ref="U133" si="773">U132+T133</f>
        <v>-764.52403220304825</v>
      </c>
      <c r="V133" s="78">
        <f t="shared" ref="V133" si="774">V132+U133</f>
        <v>-764.52403220304825</v>
      </c>
      <c r="W133" s="78">
        <f t="shared" ref="W133" si="775">W132+V133</f>
        <v>-764.52403220304825</v>
      </c>
      <c r="X133" s="78">
        <f t="shared" ref="X133" si="776">X132+W133</f>
        <v>-793.40557318173433</v>
      </c>
      <c r="Y133" s="78">
        <f t="shared" ref="Y133" si="777">Y132+X133</f>
        <v>-793.40557318173433</v>
      </c>
      <c r="Z133" s="78">
        <f t="shared" ref="Z133" si="778">Z132+Y133</f>
        <v>-793.40557318173433</v>
      </c>
      <c r="AA133" s="78">
        <f t="shared" ref="AA133" si="779">AA132+Z133</f>
        <v>-793.40557318173433</v>
      </c>
      <c r="AB133" s="78">
        <f t="shared" ref="AB133" si="780">AB132+AA133</f>
        <v>-793.40557318173433</v>
      </c>
      <c r="AC133" s="78">
        <f t="shared" ref="AC133" si="781">AC132+AB133</f>
        <v>-793.40557318173433</v>
      </c>
      <c r="AD133" s="78">
        <f t="shared" ref="AD133" si="782">AD132+AC133</f>
        <v>-793.40557318173433</v>
      </c>
      <c r="AE133" s="78">
        <f t="shared" ref="AE133" si="783">AE132+AD133</f>
        <v>-793.40557318173433</v>
      </c>
      <c r="AF133" s="78">
        <f t="shared" ref="AF133" si="784">AF132+AE133</f>
        <v>-793.40557318173433</v>
      </c>
      <c r="AG133" s="78">
        <f t="shared" ref="AG133" si="785">AG132+AF133</f>
        <v>-793.40557318173433</v>
      </c>
      <c r="AH133" s="78">
        <f t="shared" ref="AH133" si="786">AH132+AG133</f>
        <v>-806.79762952209887</v>
      </c>
      <c r="AI133" s="78">
        <f t="shared" ref="AI133" si="787">AI132+AH133</f>
        <v>-806.79762952209887</v>
      </c>
      <c r="AJ133" s="78">
        <f t="shared" ref="AJ133" si="788">AJ132+AI133</f>
        <v>-806.79762952209887</v>
      </c>
      <c r="AK133" s="78">
        <f t="shared" ref="AK133" si="789">AK132+AJ133</f>
        <v>-806.79762952209887</v>
      </c>
      <c r="AL133" s="78">
        <f t="shared" ref="AL133" si="790">AL132+AK133</f>
        <v>-806.79762952209887</v>
      </c>
      <c r="AM133" s="78">
        <f t="shared" ref="AM133" si="791">AM132+AL133</f>
        <v>-806.79762952209887</v>
      </c>
      <c r="AN133" s="78">
        <f t="shared" ref="AN133" si="792">AN132+AM133</f>
        <v>-806.79762952209887</v>
      </c>
      <c r="AO133" s="78">
        <f t="shared" ref="AO133" si="793">AO132+AN133</f>
        <v>-806.79762952209887</v>
      </c>
      <c r="AP133" s="78">
        <f t="shared" ref="AP133" si="794">AP132+AO133</f>
        <v>-806.79762952209887</v>
      </c>
      <c r="AQ133" s="78">
        <f t="shared" ref="AQ133" si="795">AQ132+AP133</f>
        <v>-806.79762952209887</v>
      </c>
      <c r="AR133" s="78">
        <f t="shared" ref="AR133" si="796">AR132+AQ133</f>
        <v>-813.00738035069401</v>
      </c>
      <c r="AS133" s="78">
        <f t="shared" ref="AS133" si="797">AS132+AR133</f>
        <v>-813.00738035069401</v>
      </c>
      <c r="AT133" s="78">
        <f t="shared" ref="AT133" si="798">AT132+AS133</f>
        <v>-813.00738035069401</v>
      </c>
      <c r="AU133" s="78">
        <f t="shared" ref="AU133" si="799">AU132+AT133</f>
        <v>-813.00738035069401</v>
      </c>
      <c r="AV133" s="78">
        <f t="shared" ref="AV133" si="800">AV132+AU133</f>
        <v>-813.00738035069401</v>
      </c>
      <c r="AW133" s="78">
        <f t="shared" ref="AW133" si="801">AW132+AV133</f>
        <v>-813.00738035069401</v>
      </c>
      <c r="AX133" s="78">
        <f t="shared" ref="AX133" si="802">AX132+AW133</f>
        <v>-813.00738035069401</v>
      </c>
      <c r="AY133" s="78">
        <f t="shared" ref="AY133" si="803">AY132+AX133</f>
        <v>-813.00738035069401</v>
      </c>
      <c r="AZ133" s="78">
        <f t="shared" ref="AZ133" si="804">AZ132+AY133</f>
        <v>-813.00738035069401</v>
      </c>
      <c r="BA133" s="78">
        <f t="shared" ref="BA133" si="805">BA132+AZ133</f>
        <v>-813.00738035069401</v>
      </c>
      <c r="BB133" s="78">
        <f t="shared" ref="BB133" si="806">BB132+BA133</f>
        <v>-813.00738035069401</v>
      </c>
    </row>
    <row r="134" spans="1:54" x14ac:dyDescent="0.25">
      <c r="A134" s="177"/>
      <c r="B134" s="22" t="s">
        <v>361</v>
      </c>
      <c r="C134" s="75" t="s">
        <v>362</v>
      </c>
      <c r="D134" s="93">
        <f>SUM(D132:BB132)</f>
        <v>-813.00738035069401</v>
      </c>
    </row>
    <row r="135" spans="1:54" x14ac:dyDescent="0.25">
      <c r="A135" s="182" t="s">
        <v>579</v>
      </c>
      <c r="B135" s="8" t="s">
        <v>363</v>
      </c>
      <c r="C135" s="142" t="s">
        <v>362</v>
      </c>
      <c r="D135" s="143">
        <f>D7+D15+D23+D31+D39+D47+D79+D111+D119+D127</f>
        <v>-11399.832850000001</v>
      </c>
      <c r="E135" s="143">
        <f t="shared" ref="E135:AI135" si="807">E7+E15+E23+E31+E39+E47+E79+E111+E119+E127</f>
        <v>0</v>
      </c>
      <c r="F135" s="143">
        <f t="shared" si="807"/>
        <v>0</v>
      </c>
      <c r="G135" s="143">
        <f t="shared" si="807"/>
        <v>0</v>
      </c>
      <c r="H135" s="143">
        <f t="shared" si="807"/>
        <v>0</v>
      </c>
      <c r="I135" s="143">
        <f t="shared" si="807"/>
        <v>-15.135185592864978</v>
      </c>
      <c r="J135" s="143">
        <f t="shared" si="807"/>
        <v>0</v>
      </c>
      <c r="K135" s="143">
        <f t="shared" si="807"/>
        <v>0</v>
      </c>
      <c r="L135" s="143">
        <f t="shared" si="807"/>
        <v>0</v>
      </c>
      <c r="M135" s="143">
        <f t="shared" si="807"/>
        <v>0</v>
      </c>
      <c r="N135" s="143">
        <f t="shared" si="807"/>
        <v>-14414.803082065162</v>
      </c>
      <c r="O135" s="143">
        <f t="shared" si="807"/>
        <v>0</v>
      </c>
      <c r="P135" s="143">
        <f t="shared" si="807"/>
        <v>0</v>
      </c>
      <c r="Q135" s="143">
        <f t="shared" si="807"/>
        <v>0</v>
      </c>
      <c r="R135" s="143">
        <f t="shared" si="807"/>
        <v>0</v>
      </c>
      <c r="S135" s="143">
        <f t="shared" si="807"/>
        <v>-22.189280814229935</v>
      </c>
      <c r="T135" s="143">
        <f t="shared" si="807"/>
        <v>-673.56502737101482</v>
      </c>
      <c r="U135" s="143">
        <f t="shared" si="807"/>
        <v>0</v>
      </c>
      <c r="V135" s="143">
        <f t="shared" si="807"/>
        <v>0</v>
      </c>
      <c r="W135" s="143">
        <f t="shared" si="807"/>
        <v>0</v>
      </c>
      <c r="X135" s="143">
        <f t="shared" si="807"/>
        <v>-21133.147757405539</v>
      </c>
      <c r="Y135" s="143">
        <f t="shared" si="807"/>
        <v>0</v>
      </c>
      <c r="Z135" s="143">
        <f t="shared" si="807"/>
        <v>0</v>
      </c>
      <c r="AA135" s="143">
        <f t="shared" si="807"/>
        <v>0</v>
      </c>
      <c r="AB135" s="143">
        <f t="shared" si="807"/>
        <v>0</v>
      </c>
      <c r="AC135" s="143">
        <f t="shared" si="807"/>
        <v>-11481.844765785158</v>
      </c>
      <c r="AD135" s="143">
        <f t="shared" si="807"/>
        <v>0</v>
      </c>
      <c r="AE135" s="143">
        <f t="shared" si="807"/>
        <v>0</v>
      </c>
      <c r="AF135" s="143">
        <f t="shared" si="807"/>
        <v>0</v>
      </c>
      <c r="AG135" s="143">
        <f t="shared" si="807"/>
        <v>0</v>
      </c>
      <c r="AH135" s="143">
        <f t="shared" si="807"/>
        <v>-26728.702226464393</v>
      </c>
      <c r="AI135" s="143">
        <f t="shared" si="807"/>
        <v>0</v>
      </c>
      <c r="AJ135" s="143">
        <f t="shared" ref="AJ135:BB135" si="808">AJ7+AJ15+AJ23+AJ31+AJ39+AJ47+AJ79+AJ111+AJ119+AJ127</f>
        <v>-1242.305164560011</v>
      </c>
      <c r="AK135" s="143">
        <f t="shared" si="808"/>
        <v>0</v>
      </c>
      <c r="AL135" s="143">
        <f t="shared" si="808"/>
        <v>0</v>
      </c>
      <c r="AM135" s="143">
        <f t="shared" si="808"/>
        <v>-47.692949054609656</v>
      </c>
      <c r="AN135" s="143">
        <f t="shared" si="808"/>
        <v>0</v>
      </c>
      <c r="AO135" s="143">
        <f t="shared" si="808"/>
        <v>0</v>
      </c>
      <c r="AP135" s="143">
        <f t="shared" si="808"/>
        <v>0</v>
      </c>
      <c r="AQ135" s="143">
        <f t="shared" si="808"/>
        <v>0</v>
      </c>
      <c r="AR135" s="143">
        <f t="shared" si="808"/>
        <v>-65057.022040772768</v>
      </c>
      <c r="AS135" s="143">
        <f t="shared" si="808"/>
        <v>0</v>
      </c>
      <c r="AT135" s="143">
        <f t="shared" si="808"/>
        <v>0</v>
      </c>
      <c r="AU135" s="143">
        <f t="shared" si="808"/>
        <v>0</v>
      </c>
      <c r="AV135" s="143">
        <f t="shared" si="808"/>
        <v>0</v>
      </c>
      <c r="AW135" s="143">
        <f t="shared" si="808"/>
        <v>-69.921325572009238</v>
      </c>
      <c r="AX135" s="143">
        <f t="shared" si="808"/>
        <v>0</v>
      </c>
      <c r="AY135" s="143">
        <f t="shared" si="808"/>
        <v>0</v>
      </c>
      <c r="AZ135" s="143">
        <f t="shared" si="808"/>
        <v>0</v>
      </c>
      <c r="BA135" s="143">
        <f t="shared" si="808"/>
        <v>0</v>
      </c>
      <c r="BB135" s="143">
        <f t="shared" si="808"/>
        <v>-84.661779154519664</v>
      </c>
    </row>
    <row r="136" spans="1:54" x14ac:dyDescent="0.25">
      <c r="A136" s="182"/>
      <c r="B136" s="8" t="s">
        <v>356</v>
      </c>
      <c r="C136" s="142" t="s">
        <v>362</v>
      </c>
      <c r="D136" s="8">
        <v>0</v>
      </c>
      <c r="E136" s="143">
        <f>ABS('Annual Calculations'!$Q$18)*(1+$C$3)^E$194</f>
        <v>518.39041936331569</v>
      </c>
      <c r="F136" s="143">
        <f>ABS('Annual Calculations'!$Q$18)*(1+$C$3)^F$194</f>
        <v>538.60764571848495</v>
      </c>
      <c r="G136" s="143">
        <f>ABS('Annual Calculations'!$Q$18)*(1+$C$3)^G$194</f>
        <v>559.6133439015058</v>
      </c>
      <c r="H136" s="143">
        <f>ABS('Annual Calculations'!$Q$18)*(1+$C$3)^H$194</f>
        <v>581.43826431366438</v>
      </c>
      <c r="I136" s="143">
        <f>ABS('Annual Calculations'!$Q$18)*(1+$C$3)^I$194</f>
        <v>604.11435662189729</v>
      </c>
      <c r="J136" s="143">
        <f>ABS('Annual Calculations'!$Q$18)*(1+$C$3)^J$194</f>
        <v>627.67481653015113</v>
      </c>
      <c r="K136" s="143">
        <f>ABS('Annual Calculations'!$Q$18)*(1+$C$3)^K$194</f>
        <v>652.15413437482698</v>
      </c>
      <c r="L136" s="143">
        <f>ABS('Annual Calculations'!$Q$18)*(1+$C$3)^L$194</f>
        <v>677.58814561544511</v>
      </c>
      <c r="M136" s="143">
        <f>ABS('Annual Calculations'!$Q$18)*(1+$C$3)^M$194</f>
        <v>704.01408329444746</v>
      </c>
      <c r="N136" s="143">
        <f>ABS('Annual Calculations'!$Q$18)*(1+$C$3)^N$194</f>
        <v>731.47063254293073</v>
      </c>
      <c r="O136" s="143">
        <f>ABS('Annual Calculations'!$Q$18)*(1+$C$3)^O$194</f>
        <v>759.99798721210493</v>
      </c>
      <c r="P136" s="143">
        <f>ABS('Annual Calculations'!$Q$18)*(1+$C$3)^P$194</f>
        <v>789.63790871337676</v>
      </c>
      <c r="Q136" s="143">
        <f>ABS('Annual Calculations'!$Q$18)*(1+$C$3)^Q$194</f>
        <v>820.43378715319852</v>
      </c>
      <c r="R136" s="143">
        <f>ABS('Annual Calculations'!$Q$18)*(1+$C$3)^R$194</f>
        <v>852.43070485217299</v>
      </c>
      <c r="S136" s="143">
        <f>ABS('Annual Calculations'!$Q$18)*(1+$C$3)^S$194</f>
        <v>885.67550234140776</v>
      </c>
      <c r="T136" s="143">
        <f>ABS('Annual Calculations'!$Q$18)*(1+$C$3)^T$194</f>
        <v>920.21684693272255</v>
      </c>
      <c r="U136" s="143">
        <f>ABS('Annual Calculations'!$Q$18)*(1+$C$3)^U$194</f>
        <v>956.10530396309866</v>
      </c>
      <c r="V136" s="143">
        <f>ABS('Annual Calculations'!$Q$18)*(1+$C$3)^V$194</f>
        <v>993.39341081765929</v>
      </c>
      <c r="W136" s="143">
        <f>ABS('Annual Calculations'!$Q$18)*(1+$C$3)^W$194</f>
        <v>1032.1357538395478</v>
      </c>
      <c r="X136" s="143">
        <f>ABS('Annual Calculations'!$Q$18)*(1+$C$3)^X$194</f>
        <v>1072.3890482392901</v>
      </c>
      <c r="Y136" s="143">
        <f>ABS('Annual Calculations'!$Q$18)*(1+$C$3)^Y$194</f>
        <v>1114.2122211206224</v>
      </c>
      <c r="Z136" s="143">
        <f>ABS('Annual Calculations'!$Q$18)*(1+$C$3)^Z$194</f>
        <v>1157.6664977443263</v>
      </c>
      <c r="AA136" s="143">
        <f>ABS('Annual Calculations'!$Q$18)*(1+$C$3)^AA$194</f>
        <v>1202.8154911563549</v>
      </c>
      <c r="AB136" s="143">
        <f>ABS('Annual Calculations'!$Q$18)*(1+$C$3)^AB$194</f>
        <v>1249.7252953114526</v>
      </c>
      <c r="AC136" s="143">
        <f>ABS('Annual Calculations'!$Q$18)*(1+$C$3)^AC$194</f>
        <v>1298.4645818285992</v>
      </c>
      <c r="AD136" s="143">
        <f>ABS('Annual Calculations'!$Q$18)*(1+$C$3)^AD$194</f>
        <v>1349.1047005199143</v>
      </c>
      <c r="AE136" s="143">
        <f>ABS('Annual Calculations'!$Q$18)*(1+$C$3)^AE$194</f>
        <v>1401.7197838401908</v>
      </c>
      <c r="AF136" s="143">
        <f>ABS('Annual Calculations'!$Q$18)*(1+$C$3)^AF$194</f>
        <v>1456.3868554099577</v>
      </c>
      <c r="AG136" s="143">
        <f>ABS('Annual Calculations'!$Q$18)*(1+$C$3)^AG$194</f>
        <v>1513.1859427709464</v>
      </c>
      <c r="AH136" s="143">
        <f>ABS('Annual Calculations'!$Q$18)*(1+$C$3)^AH$194</f>
        <v>1572.2001945390125</v>
      </c>
      <c r="AI136" s="143">
        <f>ABS('Annual Calculations'!$Q$18)*(1+$C$3)^AI$194</f>
        <v>1633.516002126034</v>
      </c>
      <c r="AJ136" s="143">
        <f>ABS('Annual Calculations'!$Q$18)*(1+$C$3)^AJ$194</f>
        <v>1697.2231262089492</v>
      </c>
      <c r="AK136" s="143">
        <f>ABS('Annual Calculations'!$Q$18)*(1+$C$3)^AK$194</f>
        <v>1763.4148281310979</v>
      </c>
      <c r="AL136" s="143">
        <f>ABS('Annual Calculations'!$Q$18)*(1+$C$3)^AL$194</f>
        <v>1832.1880064282104</v>
      </c>
      <c r="AM136" s="143">
        <f>ABS('Annual Calculations'!$Q$18)*(1+$C$3)^AM$194</f>
        <v>1903.6433386789108</v>
      </c>
      <c r="AN136" s="143">
        <f>ABS('Annual Calculations'!$Q$18)*(1+$C$3)^AN$194</f>
        <v>1977.8854288873877</v>
      </c>
      <c r="AO136" s="143">
        <f>ABS('Annual Calculations'!$Q$18)*(1+$C$3)^AO$194</f>
        <v>2055.0229606139956</v>
      </c>
      <c r="AP136" s="143">
        <f>ABS('Annual Calculations'!$Q$18)*(1+$C$3)^AP$194</f>
        <v>2135.1688560779407</v>
      </c>
      <c r="AQ136" s="143">
        <f>ABS('Annual Calculations'!$Q$18)*(1+$C$3)^AQ$194</f>
        <v>2218.4404414649807</v>
      </c>
      <c r="AR136" s="143">
        <f>ABS('Annual Calculations'!$Q$18)*(1+$C$3)^AR$194</f>
        <v>2304.9596186821145</v>
      </c>
      <c r="AS136" s="143">
        <f>ABS('Annual Calculations'!$Q$18)*(1+$C$3)^AS$194</f>
        <v>2394.8530438107168</v>
      </c>
      <c r="AT136" s="143">
        <f>ABS('Annual Calculations'!$Q$18)*(1+$C$3)^AT$194</f>
        <v>2488.2523125193343</v>
      </c>
      <c r="AU136" s="143">
        <f>ABS('Annual Calculations'!$Q$18)*(1+$C$3)^AU$194</f>
        <v>2585.2941527075882</v>
      </c>
      <c r="AV136" s="143">
        <f>ABS('Annual Calculations'!$Q$18)*(1+$C$3)^AV$194</f>
        <v>2686.1206246631832</v>
      </c>
      <c r="AW136" s="143">
        <f>ABS('Annual Calculations'!$Q$18)*(1+$C$3)^AW$194</f>
        <v>2790.8793290250474</v>
      </c>
      <c r="AX136" s="143">
        <f>ABS('Annual Calculations'!$Q$18)*(1+$C$3)^AX$194</f>
        <v>2899.7236228570232</v>
      </c>
      <c r="AY136" s="143">
        <f>ABS('Annual Calculations'!$Q$18)*(1+$C$3)^AY$194</f>
        <v>3012.8128441484473</v>
      </c>
      <c r="AZ136" s="143">
        <f>ABS('Annual Calculations'!$Q$18)*(1+$C$3)^AZ$194</f>
        <v>3130.3125450702364</v>
      </c>
      <c r="BA136" s="143">
        <f>ABS('Annual Calculations'!$Q$18)*(1+$C$3)^BA$194</f>
        <v>3252.3947343279751</v>
      </c>
      <c r="BB136" s="143">
        <f>ABS('Annual Calculations'!$Q$18)*(1+$C$3)^BB$194</f>
        <v>3379.238128966766</v>
      </c>
    </row>
    <row r="137" spans="1:54" x14ac:dyDescent="0.25">
      <c r="A137" s="182"/>
      <c r="B137" s="8" t="s">
        <v>357</v>
      </c>
      <c r="C137" s="142" t="s">
        <v>362</v>
      </c>
      <c r="D137" s="8">
        <v>0</v>
      </c>
      <c r="E137" s="143">
        <f>-'Annual Calculations'!$L$33*(1+$C$3)^E$194</f>
        <v>601.81448638888901</v>
      </c>
      <c r="F137" s="143">
        <f>-'Annual Calculations'!$L$33*(1+$C$3)^F$194</f>
        <v>625.28525135805558</v>
      </c>
      <c r="G137" s="143">
        <f>-'Annual Calculations'!$L$33*(1+$C$3)^G$194</f>
        <v>649.67137616101968</v>
      </c>
      <c r="H137" s="143">
        <f>-'Annual Calculations'!$L$33*(1+$C$3)^H$194</f>
        <v>675.00855983129929</v>
      </c>
      <c r="I137" s="143">
        <f>-'Annual Calculations'!$L$33*(1+$C$3)^I$194</f>
        <v>701.33389366471988</v>
      </c>
      <c r="J137" s="143">
        <f>-'Annual Calculations'!$L$33*(1+$C$3)^J$194</f>
        <v>728.68591551764382</v>
      </c>
      <c r="K137" s="143">
        <f>-'Annual Calculations'!$L$33*(1+$C$3)^K$194</f>
        <v>757.10466622283184</v>
      </c>
      <c r="L137" s="143">
        <f>-'Annual Calculations'!$L$33*(1+$C$3)^L$194</f>
        <v>786.63174820552217</v>
      </c>
      <c r="M137" s="143">
        <f>-'Annual Calculations'!$L$33*(1+$C$3)^M$194</f>
        <v>817.31038638553753</v>
      </c>
      <c r="N137" s="143">
        <f>-'Annual Calculations'!$L$33*(1+$C$3)^N$194</f>
        <v>849.18549145457325</v>
      </c>
      <c r="O137" s="143">
        <f>-'Annual Calculations'!$L$33*(1+$C$3)^O$194</f>
        <v>882.30372562130151</v>
      </c>
      <c r="P137" s="143">
        <f>-'Annual Calculations'!$L$33*(1+$C$3)^P$194</f>
        <v>916.71357092053199</v>
      </c>
      <c r="Q137" s="143">
        <f>-'Annual Calculations'!$L$33*(1+$C$3)^Q$194</f>
        <v>952.46540018643282</v>
      </c>
      <c r="R137" s="143">
        <f>-'Annual Calculations'!$L$33*(1+$C$3)^R$194</f>
        <v>989.61155079370337</v>
      </c>
      <c r="S137" s="143">
        <f>-'Annual Calculations'!$L$33*(1+$C$3)^S$194</f>
        <v>1028.2064012746578</v>
      </c>
      <c r="T137" s="143">
        <f>-'Annual Calculations'!$L$33*(1+$C$3)^T$194</f>
        <v>1068.3064509243693</v>
      </c>
      <c r="U137" s="143">
        <f>-'Annual Calculations'!$L$33*(1+$C$3)^U$194</f>
        <v>1109.9704025104197</v>
      </c>
      <c r="V137" s="143">
        <f>-'Annual Calculations'!$L$33*(1+$C$3)^V$194</f>
        <v>1153.2592482083257</v>
      </c>
      <c r="W137" s="143">
        <f>-'Annual Calculations'!$L$33*(1+$C$3)^W$194</f>
        <v>1198.2363588884502</v>
      </c>
      <c r="X137" s="143">
        <f>-'Annual Calculations'!$L$33*(1+$C$3)^X$194</f>
        <v>1244.9675768850998</v>
      </c>
      <c r="Y137" s="143">
        <f>-'Annual Calculations'!$L$33*(1+$C$3)^Y$194</f>
        <v>1293.5213123836186</v>
      </c>
      <c r="Z137" s="143">
        <f>-'Annual Calculations'!$L$33*(1+$C$3)^Z$194</f>
        <v>1343.9686435665792</v>
      </c>
      <c r="AA137" s="143">
        <f>-'Annual Calculations'!$L$33*(1+$C$3)^AA$194</f>
        <v>1396.3834206656759</v>
      </c>
      <c r="AB137" s="143">
        <f>-'Annual Calculations'!$L$33*(1+$C$3)^AB$194</f>
        <v>1450.8423740716369</v>
      </c>
      <c r="AC137" s="143">
        <f>-'Annual Calculations'!$L$33*(1+$C$3)^AC$194</f>
        <v>1507.4252266604308</v>
      </c>
      <c r="AD137" s="143">
        <f>-'Annual Calculations'!$L$33*(1+$C$3)^AD$194</f>
        <v>1566.2148105001872</v>
      </c>
      <c r="AE137" s="143">
        <f>-'Annual Calculations'!$L$33*(1+$C$3)^AE$194</f>
        <v>1627.2971881096942</v>
      </c>
      <c r="AF137" s="143">
        <f>-'Annual Calculations'!$L$33*(1+$C$3)^AF$194</f>
        <v>1690.7617784459719</v>
      </c>
      <c r="AG137" s="143">
        <f>-'Annual Calculations'!$L$33*(1+$C$3)^AG$194</f>
        <v>1756.7014878053651</v>
      </c>
      <c r="AH137" s="143">
        <f>-'Annual Calculations'!$L$33*(1+$C$3)^AH$194</f>
        <v>1825.2128458297734</v>
      </c>
      <c r="AI137" s="143">
        <f>-'Annual Calculations'!$L$33*(1+$C$3)^AI$194</f>
        <v>1896.3961468171346</v>
      </c>
      <c r="AJ137" s="143">
        <f>-'Annual Calculations'!$L$33*(1+$C$3)^AJ$194</f>
        <v>1970.3555965430028</v>
      </c>
      <c r="AK137" s="143">
        <f>-'Annual Calculations'!$L$33*(1+$C$3)^AK$194</f>
        <v>2047.1994648081795</v>
      </c>
      <c r="AL137" s="143">
        <f>-'Annual Calculations'!$L$33*(1+$C$3)^AL$194</f>
        <v>2127.0402439356981</v>
      </c>
      <c r="AM137" s="143">
        <f>-'Annual Calculations'!$L$33*(1+$C$3)^AM$194</f>
        <v>2209.9948134491906</v>
      </c>
      <c r="AN137" s="143">
        <f>-'Annual Calculations'!$L$33*(1+$C$3)^AN$194</f>
        <v>2296.1846111737082</v>
      </c>
      <c r="AO137" s="143">
        <f>-'Annual Calculations'!$L$33*(1+$C$3)^AO$194</f>
        <v>2385.7358110094824</v>
      </c>
      <c r="AP137" s="143">
        <f>-'Annual Calculations'!$L$33*(1+$C$3)^AP$194</f>
        <v>2478.779507638852</v>
      </c>
      <c r="AQ137" s="143">
        <f>-'Annual Calculations'!$L$33*(1+$C$3)^AQ$194</f>
        <v>2575.4519084367671</v>
      </c>
      <c r="AR137" s="143">
        <f>-'Annual Calculations'!$L$33*(1+$C$3)^AR$194</f>
        <v>2675.8945328658006</v>
      </c>
      <c r="AS137" s="143">
        <f>-'Annual Calculations'!$L$33*(1+$C$3)^AS$194</f>
        <v>2780.2544196475665</v>
      </c>
      <c r="AT137" s="143">
        <f>-'Annual Calculations'!$L$33*(1+$C$3)^AT$194</f>
        <v>2888.6843420138207</v>
      </c>
      <c r="AU137" s="143">
        <f>-'Annual Calculations'!$L$33*(1+$C$3)^AU$194</f>
        <v>3001.34303135236</v>
      </c>
      <c r="AV137" s="143">
        <f>-'Annual Calculations'!$L$33*(1+$C$3)^AV$194</f>
        <v>3118.395409575101</v>
      </c>
      <c r="AW137" s="143">
        <f>-'Annual Calculations'!$L$33*(1+$C$3)^AW$194</f>
        <v>3240.01283054853</v>
      </c>
      <c r="AX137" s="143">
        <f>-'Annual Calculations'!$L$33*(1+$C$3)^AX$194</f>
        <v>3366.3733309399213</v>
      </c>
      <c r="AY137" s="143">
        <f>-'Annual Calculations'!$L$33*(1+$C$3)^AY$194</f>
        <v>3497.6618908465784</v>
      </c>
      <c r="AZ137" s="143">
        <f>-'Annual Calculations'!$L$33*(1+$C$3)^AZ$194</f>
        <v>3634.0707045895947</v>
      </c>
      <c r="BA137" s="143">
        <f>-'Annual Calculations'!$L$33*(1+$C$3)^BA$194</f>
        <v>3775.7994620685886</v>
      </c>
      <c r="BB137" s="143">
        <f>-'Annual Calculations'!$L$33*(1+$C$3)^BB$194</f>
        <v>3923.0556410892632</v>
      </c>
    </row>
    <row r="138" spans="1:54" x14ac:dyDescent="0.25">
      <c r="A138" s="182"/>
      <c r="B138" s="8" t="s">
        <v>358</v>
      </c>
      <c r="C138" s="142" t="s">
        <v>362</v>
      </c>
      <c r="D138" s="143">
        <f>SUM(D135:D137)</f>
        <v>-11399.832850000001</v>
      </c>
      <c r="E138" s="143">
        <f>SUM(E135:E137)</f>
        <v>1120.2049057522047</v>
      </c>
      <c r="F138" s="143">
        <f t="shared" ref="F138:BB138" si="809">SUM(F135:F137)</f>
        <v>1163.8928970765405</v>
      </c>
      <c r="G138" s="143">
        <f t="shared" si="809"/>
        <v>1209.2847200625256</v>
      </c>
      <c r="H138" s="143">
        <f t="shared" si="809"/>
        <v>1256.4468241449636</v>
      </c>
      <c r="I138" s="143">
        <f t="shared" si="809"/>
        <v>1290.313064693752</v>
      </c>
      <c r="J138" s="143">
        <f t="shared" si="809"/>
        <v>1356.360732047795</v>
      </c>
      <c r="K138" s="143">
        <f t="shared" si="809"/>
        <v>1409.2588005976588</v>
      </c>
      <c r="L138" s="143">
        <f t="shared" si="809"/>
        <v>1464.2198938209672</v>
      </c>
      <c r="M138" s="143">
        <f t="shared" si="809"/>
        <v>1521.324469679985</v>
      </c>
      <c r="N138" s="143">
        <f t="shared" si="809"/>
        <v>-12834.146958067658</v>
      </c>
      <c r="O138" s="143">
        <f t="shared" si="809"/>
        <v>1642.3017128334063</v>
      </c>
      <c r="P138" s="143">
        <f t="shared" si="809"/>
        <v>1706.3514796339086</v>
      </c>
      <c r="Q138" s="143">
        <f t="shared" si="809"/>
        <v>1772.8991873396312</v>
      </c>
      <c r="R138" s="143">
        <f t="shared" si="809"/>
        <v>1842.0422556458764</v>
      </c>
      <c r="S138" s="143">
        <f t="shared" si="809"/>
        <v>1891.6926228018356</v>
      </c>
      <c r="T138" s="143">
        <f t="shared" si="809"/>
        <v>1314.958270486077</v>
      </c>
      <c r="U138" s="143">
        <f t="shared" si="809"/>
        <v>2066.0757064735185</v>
      </c>
      <c r="V138" s="143">
        <f t="shared" si="809"/>
        <v>2146.652659025985</v>
      </c>
      <c r="W138" s="143">
        <f t="shared" si="809"/>
        <v>2230.3721127279978</v>
      </c>
      <c r="X138" s="143">
        <f t="shared" si="809"/>
        <v>-18815.791132281149</v>
      </c>
      <c r="Y138" s="143">
        <f t="shared" si="809"/>
        <v>2407.7335335042408</v>
      </c>
      <c r="Z138" s="143">
        <f t="shared" si="809"/>
        <v>2501.6351413109055</v>
      </c>
      <c r="AA138" s="143">
        <f t="shared" si="809"/>
        <v>2599.1989118220308</v>
      </c>
      <c r="AB138" s="143">
        <f t="shared" si="809"/>
        <v>2700.5676693830892</v>
      </c>
      <c r="AC138" s="143">
        <f t="shared" si="809"/>
        <v>-8675.9549572961278</v>
      </c>
      <c r="AD138" s="143">
        <f t="shared" si="809"/>
        <v>2915.3195110201013</v>
      </c>
      <c r="AE138" s="143">
        <f t="shared" si="809"/>
        <v>3029.0169719498849</v>
      </c>
      <c r="AF138" s="143">
        <f t="shared" si="809"/>
        <v>3147.1486338559298</v>
      </c>
      <c r="AG138" s="143">
        <f t="shared" si="809"/>
        <v>3269.8874305763115</v>
      </c>
      <c r="AH138" s="143">
        <f t="shared" si="809"/>
        <v>-23331.289186095608</v>
      </c>
      <c r="AI138" s="143">
        <f t="shared" si="809"/>
        <v>3529.9121489431686</v>
      </c>
      <c r="AJ138" s="143">
        <f t="shared" si="809"/>
        <v>2425.273558191941</v>
      </c>
      <c r="AK138" s="143">
        <f t="shared" si="809"/>
        <v>3810.6142929392772</v>
      </c>
      <c r="AL138" s="143">
        <f t="shared" si="809"/>
        <v>3959.2282503639085</v>
      </c>
      <c r="AM138" s="143">
        <f t="shared" si="809"/>
        <v>4065.9452030734919</v>
      </c>
      <c r="AN138" s="143">
        <f t="shared" si="809"/>
        <v>4274.0700400610958</v>
      </c>
      <c r="AO138" s="143">
        <f t="shared" si="809"/>
        <v>4440.7587716234775</v>
      </c>
      <c r="AP138" s="143">
        <f t="shared" si="809"/>
        <v>4613.9483637167923</v>
      </c>
      <c r="AQ138" s="143">
        <f t="shared" si="809"/>
        <v>4793.8923499017474</v>
      </c>
      <c r="AR138" s="143">
        <f t="shared" si="809"/>
        <v>-60076.167889224853</v>
      </c>
      <c r="AS138" s="143">
        <f t="shared" si="809"/>
        <v>5175.1074634582837</v>
      </c>
      <c r="AT138" s="143">
        <f t="shared" si="809"/>
        <v>5376.936654533155</v>
      </c>
      <c r="AU138" s="143">
        <f t="shared" si="809"/>
        <v>5586.6371840599477</v>
      </c>
      <c r="AV138" s="143">
        <f t="shared" si="809"/>
        <v>5804.5160342382842</v>
      </c>
      <c r="AW138" s="143">
        <f t="shared" si="809"/>
        <v>5960.9708340015677</v>
      </c>
      <c r="AX138" s="143">
        <f t="shared" si="809"/>
        <v>6266.0969537969449</v>
      </c>
      <c r="AY138" s="143">
        <f t="shared" si="809"/>
        <v>6510.4747349950258</v>
      </c>
      <c r="AZ138" s="143">
        <f t="shared" si="809"/>
        <v>6764.3832496598316</v>
      </c>
      <c r="BA138" s="143">
        <f t="shared" si="809"/>
        <v>7028.1941963965637</v>
      </c>
      <c r="BB138" s="143">
        <f t="shared" si="809"/>
        <v>7217.6319909015092</v>
      </c>
    </row>
    <row r="139" spans="1:54" x14ac:dyDescent="0.25">
      <c r="A139" s="182"/>
      <c r="B139" s="8" t="s">
        <v>359</v>
      </c>
      <c r="C139" s="142"/>
      <c r="D139" s="8">
        <f t="shared" ref="D139:AI139" si="810">(1+$C$2)^D$194</f>
        <v>1</v>
      </c>
      <c r="E139" s="144">
        <f t="shared" si="810"/>
        <v>1.1219999999999999</v>
      </c>
      <c r="F139" s="144">
        <f t="shared" si="810"/>
        <v>1.2588839999999997</v>
      </c>
      <c r="G139" s="144">
        <f t="shared" si="810"/>
        <v>1.4124678479999995</v>
      </c>
      <c r="H139" s="144">
        <f t="shared" si="810"/>
        <v>1.5847889254559993</v>
      </c>
      <c r="I139" s="144">
        <f t="shared" si="810"/>
        <v>1.7781331743616309</v>
      </c>
      <c r="J139" s="144">
        <f t="shared" si="810"/>
        <v>1.9950654216337496</v>
      </c>
      <c r="K139" s="144">
        <f t="shared" si="810"/>
        <v>2.2384634030730668</v>
      </c>
      <c r="L139" s="144">
        <f t="shared" si="810"/>
        <v>2.5115559382479806</v>
      </c>
      <c r="M139" s="144">
        <f t="shared" si="810"/>
        <v>2.817965762714234</v>
      </c>
      <c r="N139" s="144">
        <f t="shared" si="810"/>
        <v>3.1617575857653701</v>
      </c>
      <c r="O139" s="144">
        <f t="shared" si="810"/>
        <v>3.5474920112287447</v>
      </c>
      <c r="P139" s="144">
        <f t="shared" si="810"/>
        <v>3.9802860365986512</v>
      </c>
      <c r="Q139" s="144">
        <f t="shared" si="810"/>
        <v>4.4658809330636862</v>
      </c>
      <c r="R139" s="144">
        <f t="shared" si="810"/>
        <v>5.0107184068974551</v>
      </c>
      <c r="S139" s="144">
        <f t="shared" si="810"/>
        <v>5.6220260525389438</v>
      </c>
      <c r="T139" s="144">
        <f t="shared" si="810"/>
        <v>6.307913230948694</v>
      </c>
      <c r="U139" s="144">
        <f t="shared" si="810"/>
        <v>7.077478645124434</v>
      </c>
      <c r="V139" s="144">
        <f t="shared" si="810"/>
        <v>7.9409310398296133</v>
      </c>
      <c r="W139" s="144">
        <f t="shared" si="810"/>
        <v>8.9097246266888259</v>
      </c>
      <c r="X139" s="144">
        <f t="shared" si="810"/>
        <v>9.9967110311448621</v>
      </c>
      <c r="Y139" s="144">
        <f t="shared" si="810"/>
        <v>11.216309776944533</v>
      </c>
      <c r="Z139" s="144">
        <f t="shared" si="810"/>
        <v>12.584699569731765</v>
      </c>
      <c r="AA139" s="144">
        <f t="shared" si="810"/>
        <v>14.120032917239037</v>
      </c>
      <c r="AB139" s="144">
        <f t="shared" si="810"/>
        <v>15.842676933142199</v>
      </c>
      <c r="AC139" s="144">
        <f t="shared" si="810"/>
        <v>17.775483518985546</v>
      </c>
      <c r="AD139" s="144">
        <f t="shared" si="810"/>
        <v>19.944092508301779</v>
      </c>
      <c r="AE139" s="144">
        <f t="shared" si="810"/>
        <v>22.377271794314591</v>
      </c>
      <c r="AF139" s="144">
        <f t="shared" si="810"/>
        <v>25.107298953220969</v>
      </c>
      <c r="AG139" s="144">
        <f t="shared" si="810"/>
        <v>28.170389425513925</v>
      </c>
      <c r="AH139" s="144">
        <f t="shared" si="810"/>
        <v>31.607176935426619</v>
      </c>
      <c r="AI139" s="144">
        <f t="shared" si="810"/>
        <v>35.463252521548661</v>
      </c>
      <c r="AJ139" s="144">
        <f t="shared" ref="AJ139:BB139" si="811">(1+$C$2)^AJ$194</f>
        <v>39.789769329177595</v>
      </c>
      <c r="AK139" s="144">
        <f t="shared" si="811"/>
        <v>44.644121187337255</v>
      </c>
      <c r="AL139" s="144">
        <f t="shared" si="811"/>
        <v>50.090703972192394</v>
      </c>
      <c r="AM139" s="144">
        <f t="shared" si="811"/>
        <v>56.201769856799864</v>
      </c>
      <c r="AN139" s="144">
        <f t="shared" si="811"/>
        <v>63.058385779329434</v>
      </c>
      <c r="AO139" s="144">
        <f t="shared" si="811"/>
        <v>70.751508844407624</v>
      </c>
      <c r="AP139" s="144">
        <f t="shared" si="811"/>
        <v>79.383192923425341</v>
      </c>
      <c r="AQ139" s="144">
        <f t="shared" si="811"/>
        <v>89.067942460083216</v>
      </c>
      <c r="AR139" s="144">
        <f t="shared" si="811"/>
        <v>99.934231440213352</v>
      </c>
      <c r="AS139" s="144">
        <f t="shared" si="811"/>
        <v>112.12620767591937</v>
      </c>
      <c r="AT139" s="144">
        <f t="shared" si="811"/>
        <v>125.80560501238152</v>
      </c>
      <c r="AU139" s="144">
        <f t="shared" si="811"/>
        <v>141.15388882389203</v>
      </c>
      <c r="AV139" s="144">
        <f t="shared" si="811"/>
        <v>158.37466326040686</v>
      </c>
      <c r="AW139" s="144">
        <f t="shared" si="811"/>
        <v>177.69637217817649</v>
      </c>
      <c r="AX139" s="144">
        <f t="shared" si="811"/>
        <v>199.37532958391398</v>
      </c>
      <c r="AY139" s="144">
        <f t="shared" si="811"/>
        <v>223.69911979315145</v>
      </c>
      <c r="AZ139" s="144">
        <f t="shared" si="811"/>
        <v>250.9904124079159</v>
      </c>
      <c r="BA139" s="144">
        <f t="shared" si="811"/>
        <v>281.61124272168161</v>
      </c>
      <c r="BB139" s="144">
        <f t="shared" si="811"/>
        <v>315.96781433372672</v>
      </c>
    </row>
    <row r="140" spans="1:54" s="76" customFormat="1" x14ac:dyDescent="0.25">
      <c r="A140" s="182"/>
      <c r="B140" s="8" t="s">
        <v>360</v>
      </c>
      <c r="C140" s="142" t="s">
        <v>362</v>
      </c>
      <c r="D140" s="8">
        <f>D138/D139</f>
        <v>-11399.832850000001</v>
      </c>
      <c r="E140" s="143">
        <f>E138/E139</f>
        <v>998.40009425330197</v>
      </c>
      <c r="F140" s="143">
        <f>F138/F139</f>
        <v>924.54340278893119</v>
      </c>
      <c r="G140" s="143">
        <f t="shared" ref="G140:BB140" si="812">G138/G139</f>
        <v>856.1502633669337</v>
      </c>
      <c r="H140" s="143">
        <f t="shared" si="812"/>
        <v>792.8165094815007</v>
      </c>
      <c r="I140" s="143">
        <f t="shared" si="812"/>
        <v>725.65603257303178</v>
      </c>
      <c r="J140" s="143">
        <f t="shared" si="812"/>
        <v>679.85777175020041</v>
      </c>
      <c r="K140" s="143">
        <f t="shared" si="812"/>
        <v>629.5652627882871</v>
      </c>
      <c r="L140" s="143">
        <f t="shared" si="812"/>
        <v>582.99314441803051</v>
      </c>
      <c r="M140" s="143">
        <f t="shared" si="812"/>
        <v>539.86620057962011</v>
      </c>
      <c r="N140" s="143">
        <f t="shared" si="812"/>
        <v>-4059.1812022049385</v>
      </c>
      <c r="O140" s="143">
        <f t="shared" si="812"/>
        <v>462.9472617937094</v>
      </c>
      <c r="P140" s="143">
        <f t="shared" si="812"/>
        <v>428.70071747207123</v>
      </c>
      <c r="Q140" s="143">
        <f t="shared" si="812"/>
        <v>396.98756279276483</v>
      </c>
      <c r="R140" s="143">
        <f t="shared" si="812"/>
        <v>367.62039014410215</v>
      </c>
      <c r="S140" s="143">
        <f t="shared" si="812"/>
        <v>336.47880766179208</v>
      </c>
      <c r="T140" s="143">
        <f t="shared" si="812"/>
        <v>208.46169285183885</v>
      </c>
      <c r="U140" s="143">
        <f t="shared" si="812"/>
        <v>291.92256311459255</v>
      </c>
      <c r="V140" s="143">
        <f t="shared" si="812"/>
        <v>270.32757849916368</v>
      </c>
      <c r="W140" s="143">
        <f t="shared" si="812"/>
        <v>250.33008383300441</v>
      </c>
      <c r="X140" s="143">
        <f t="shared" si="812"/>
        <v>-1882.1981623416289</v>
      </c>
      <c r="Y140" s="143">
        <f t="shared" si="812"/>
        <v>214.66360874352904</v>
      </c>
      <c r="Z140" s="143">
        <f t="shared" si="812"/>
        <v>198.78385872061199</v>
      </c>
      <c r="AA140" s="143">
        <f t="shared" si="812"/>
        <v>184.07881391329403</v>
      </c>
      <c r="AB140" s="143">
        <f t="shared" si="812"/>
        <v>170.46157545090236</v>
      </c>
      <c r="AC140" s="143">
        <f t="shared" si="812"/>
        <v>-488.08545477986911</v>
      </c>
      <c r="AD140" s="143">
        <f t="shared" si="812"/>
        <v>146.17458828004294</v>
      </c>
      <c r="AE140" s="143">
        <f t="shared" si="812"/>
        <v>135.36131659800768</v>
      </c>
      <c r="AF140" s="143">
        <f t="shared" si="812"/>
        <v>125.34795717052582</v>
      </c>
      <c r="AG140" s="143">
        <f t="shared" si="812"/>
        <v>116.07533645292011</v>
      </c>
      <c r="AH140" s="143">
        <f t="shared" si="812"/>
        <v>-738.16428571780932</v>
      </c>
      <c r="AI140" s="143">
        <f t="shared" si="812"/>
        <v>99.537179980834409</v>
      </c>
      <c r="AJ140" s="143">
        <f t="shared" si="812"/>
        <v>60.952189446685296</v>
      </c>
      <c r="AK140" s="143">
        <f t="shared" si="812"/>
        <v>85.355343359745873</v>
      </c>
      <c r="AL140" s="143">
        <f t="shared" si="812"/>
        <v>79.041178030994629</v>
      </c>
      <c r="AM140" s="143">
        <f t="shared" si="812"/>
        <v>72.345501101359929</v>
      </c>
      <c r="AN140" s="143">
        <f t="shared" si="812"/>
        <v>67.779566305709935</v>
      </c>
      <c r="AO140" s="143">
        <f t="shared" si="812"/>
        <v>62.765569867765244</v>
      </c>
      <c r="AP140" s="143">
        <f t="shared" si="812"/>
        <v>58.122484039757659</v>
      </c>
      <c r="AQ140" s="143">
        <f t="shared" si="812"/>
        <v>53.822870692788072</v>
      </c>
      <c r="AR140" s="143">
        <f t="shared" si="812"/>
        <v>-601.15705122689633</v>
      </c>
      <c r="AS140" s="143">
        <f t="shared" si="812"/>
        <v>46.154307460535904</v>
      </c>
      <c r="AT140" s="143">
        <f t="shared" si="812"/>
        <v>42.740040509355431</v>
      </c>
      <c r="AU140" s="143">
        <f t="shared" si="812"/>
        <v>39.578344108039488</v>
      </c>
      <c r="AV140" s="143">
        <f t="shared" si="812"/>
        <v>36.650534338906432</v>
      </c>
      <c r="AW140" s="143">
        <f t="shared" si="812"/>
        <v>33.545821791029539</v>
      </c>
      <c r="AX140" s="143">
        <f t="shared" si="812"/>
        <v>31.428647500540642</v>
      </c>
      <c r="AY140" s="143">
        <f t="shared" si="812"/>
        <v>29.103711901124537</v>
      </c>
      <c r="AZ140" s="143">
        <f t="shared" si="812"/>
        <v>26.950763516281995</v>
      </c>
      <c r="BA140" s="143">
        <f t="shared" si="812"/>
        <v>24.957079584150616</v>
      </c>
      <c r="BB140" s="143">
        <f t="shared" si="812"/>
        <v>22.842934196070399</v>
      </c>
    </row>
    <row r="141" spans="1:54" s="76" customFormat="1" x14ac:dyDescent="0.25">
      <c r="A141" s="182"/>
      <c r="B141" s="8" t="s">
        <v>645</v>
      </c>
      <c r="C141" s="142" t="s">
        <v>362</v>
      </c>
      <c r="D141" s="8">
        <f>D140</f>
        <v>-11399.832850000001</v>
      </c>
      <c r="E141" s="143">
        <f>E140+D141</f>
        <v>-10401.432755746699</v>
      </c>
      <c r="F141" s="143">
        <f t="shared" ref="F141" si="813">F140+E141</f>
        <v>-9476.8893529577672</v>
      </c>
      <c r="G141" s="143">
        <f t="shared" ref="G141" si="814">G140+F141</f>
        <v>-8620.7390895908338</v>
      </c>
      <c r="H141" s="143">
        <f t="shared" ref="H141" si="815">H140+G141</f>
        <v>-7827.9225801093335</v>
      </c>
      <c r="I141" s="143">
        <f t="shared" ref="I141" si="816">I140+H141</f>
        <v>-7102.2665475363019</v>
      </c>
      <c r="J141" s="143">
        <f t="shared" ref="J141" si="817">J140+I141</f>
        <v>-6422.4087757861016</v>
      </c>
      <c r="K141" s="143">
        <f t="shared" ref="K141" si="818">K140+J141</f>
        <v>-5792.8435129978143</v>
      </c>
      <c r="L141" s="143">
        <f t="shared" ref="L141" si="819">L140+K141</f>
        <v>-5209.8503685797841</v>
      </c>
      <c r="M141" s="143">
        <f t="shared" ref="M141" si="820">M140+L141</f>
        <v>-4669.9841680001637</v>
      </c>
      <c r="N141" s="143">
        <f t="shared" ref="N141" si="821">N140+M141</f>
        <v>-8729.1653702051026</v>
      </c>
      <c r="O141" s="143">
        <f t="shared" ref="O141" si="822">O140+N141</f>
        <v>-8266.2181084113927</v>
      </c>
      <c r="P141" s="143">
        <f t="shared" ref="P141" si="823">P140+O141</f>
        <v>-7837.5173909393216</v>
      </c>
      <c r="Q141" s="143">
        <f t="shared" ref="Q141" si="824">Q140+P141</f>
        <v>-7440.5298281465566</v>
      </c>
      <c r="R141" s="143">
        <f t="shared" ref="R141" si="825">R140+Q141</f>
        <v>-7072.9094380024544</v>
      </c>
      <c r="S141" s="143">
        <f t="shared" ref="S141" si="826">S140+R141</f>
        <v>-6736.430630340662</v>
      </c>
      <c r="T141" s="143">
        <f t="shared" ref="T141" si="827">T140+S141</f>
        <v>-6527.968937488823</v>
      </c>
      <c r="U141" s="143">
        <f t="shared" ref="U141" si="828">U140+T141</f>
        <v>-6236.0463743742303</v>
      </c>
      <c r="V141" s="143">
        <f t="shared" ref="V141" si="829">V140+U141</f>
        <v>-5965.7187958750665</v>
      </c>
      <c r="W141" s="143">
        <f t="shared" ref="W141" si="830">W140+V141</f>
        <v>-5715.3887120420623</v>
      </c>
      <c r="X141" s="143">
        <f t="shared" ref="X141" si="831">X140+W141</f>
        <v>-7597.5868743836909</v>
      </c>
      <c r="Y141" s="143">
        <f t="shared" ref="Y141" si="832">Y140+X141</f>
        <v>-7382.9232656401618</v>
      </c>
      <c r="Z141" s="143">
        <f t="shared" ref="Z141" si="833">Z140+Y141</f>
        <v>-7184.1394069195503</v>
      </c>
      <c r="AA141" s="143">
        <f t="shared" ref="AA141" si="834">AA140+Z141</f>
        <v>-7000.0605930062566</v>
      </c>
      <c r="AB141" s="143">
        <f t="shared" ref="AB141" si="835">AB140+AA141</f>
        <v>-6829.5990175553543</v>
      </c>
      <c r="AC141" s="143">
        <f t="shared" ref="AC141" si="836">AC140+AB141</f>
        <v>-7317.6844723352233</v>
      </c>
      <c r="AD141" s="143">
        <f t="shared" ref="AD141" si="837">AD140+AC141</f>
        <v>-7171.50988405518</v>
      </c>
      <c r="AE141" s="143">
        <f t="shared" ref="AE141" si="838">AE140+AD141</f>
        <v>-7036.1485674571722</v>
      </c>
      <c r="AF141" s="143">
        <f t="shared" ref="AF141" si="839">AF140+AE141</f>
        <v>-6910.8006102866466</v>
      </c>
      <c r="AG141" s="143">
        <f t="shared" ref="AG141" si="840">AG140+AF141</f>
        <v>-6794.7252738337265</v>
      </c>
      <c r="AH141" s="143">
        <f t="shared" ref="AH141" si="841">AH140+AG141</f>
        <v>-7532.889559551536</v>
      </c>
      <c r="AI141" s="143">
        <f t="shared" ref="AI141" si="842">AI140+AH141</f>
        <v>-7433.3523795707015</v>
      </c>
      <c r="AJ141" s="143">
        <f t="shared" ref="AJ141" si="843">AJ140+AI141</f>
        <v>-7372.4001901240163</v>
      </c>
      <c r="AK141" s="143">
        <f t="shared" ref="AK141" si="844">AK140+AJ141</f>
        <v>-7287.04484676427</v>
      </c>
      <c r="AL141" s="143">
        <f t="shared" ref="AL141" si="845">AL140+AK141</f>
        <v>-7208.0036687332749</v>
      </c>
      <c r="AM141" s="143">
        <f t="shared" ref="AM141" si="846">AM140+AL141</f>
        <v>-7135.6581676319147</v>
      </c>
      <c r="AN141" s="143">
        <f t="shared" ref="AN141" si="847">AN140+AM141</f>
        <v>-7067.8786013262052</v>
      </c>
      <c r="AO141" s="143">
        <f t="shared" ref="AO141" si="848">AO140+AN141</f>
        <v>-7005.1130314584398</v>
      </c>
      <c r="AP141" s="143">
        <f t="shared" ref="AP141" si="849">AP140+AO141</f>
        <v>-6946.9905474186817</v>
      </c>
      <c r="AQ141" s="143">
        <f t="shared" ref="AQ141" si="850">AQ140+AP141</f>
        <v>-6893.1676767258932</v>
      </c>
      <c r="AR141" s="143">
        <f t="shared" ref="AR141" si="851">AR140+AQ141</f>
        <v>-7494.3247279527895</v>
      </c>
      <c r="AS141" s="143">
        <f t="shared" ref="AS141" si="852">AS140+AR141</f>
        <v>-7448.1704204922535</v>
      </c>
      <c r="AT141" s="143">
        <f t="shared" ref="AT141" si="853">AT140+AS141</f>
        <v>-7405.4303799828976</v>
      </c>
      <c r="AU141" s="143">
        <f t="shared" ref="AU141" si="854">AU140+AT141</f>
        <v>-7365.8520358748583</v>
      </c>
      <c r="AV141" s="143">
        <f t="shared" ref="AV141" si="855">AV140+AU141</f>
        <v>-7329.201501535952</v>
      </c>
      <c r="AW141" s="143">
        <f t="shared" ref="AW141" si="856">AW140+AV141</f>
        <v>-7295.655679744923</v>
      </c>
      <c r="AX141" s="143">
        <f t="shared" ref="AX141" si="857">AX140+AW141</f>
        <v>-7264.2270322443819</v>
      </c>
      <c r="AY141" s="143">
        <f t="shared" ref="AY141" si="858">AY140+AX141</f>
        <v>-7235.1233203432575</v>
      </c>
      <c r="AZ141" s="143">
        <f t="shared" ref="AZ141" si="859">AZ140+AY141</f>
        <v>-7208.1725568269758</v>
      </c>
      <c r="BA141" s="143">
        <f t="shared" ref="BA141" si="860">BA140+AZ141</f>
        <v>-7183.2154772428248</v>
      </c>
      <c r="BB141" s="143">
        <f t="shared" ref="BB141" si="861">BB140+BA141</f>
        <v>-7160.3725430467548</v>
      </c>
    </row>
    <row r="142" spans="1:54" s="76" customFormat="1" x14ac:dyDescent="0.25">
      <c r="A142" s="8"/>
      <c r="B142" s="9" t="s">
        <v>361</v>
      </c>
      <c r="C142" s="145" t="s">
        <v>362</v>
      </c>
      <c r="D142" s="146">
        <f>SUM(D140:BB140)</f>
        <v>-7160.3725430467548</v>
      </c>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row>
    <row r="143" spans="1:54" s="76" customFormat="1" x14ac:dyDescent="0.25">
      <c r="A143" s="8"/>
      <c r="B143" s="8"/>
      <c r="C143" s="142" t="s">
        <v>362</v>
      </c>
      <c r="D143" s="8"/>
      <c r="E143" s="14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row>
    <row r="144" spans="1:54" s="76" customFormat="1" x14ac:dyDescent="0.25">
      <c r="A144" s="8"/>
      <c r="B144" s="8" t="s">
        <v>829</v>
      </c>
      <c r="C144" s="142" t="s">
        <v>362</v>
      </c>
      <c r="D144" s="8">
        <f>D135/D$139*'General variables'!$B$11</f>
        <v>-91198.662800000006</v>
      </c>
      <c r="E144" s="8">
        <f>E135/E$139*'General variables'!$B$11</f>
        <v>0</v>
      </c>
      <c r="F144" s="8">
        <f>F135/F$139*'General variables'!$B$11</f>
        <v>0</v>
      </c>
      <c r="G144" s="8">
        <f>G135/G$139*'General variables'!$B$11</f>
        <v>0</v>
      </c>
      <c r="H144" s="8">
        <f>H135/H$139*'General variables'!$B$11</f>
        <v>0</v>
      </c>
      <c r="I144" s="8">
        <f>I135/I$139*'General variables'!$B$11</f>
        <v>-68.094722312567725</v>
      </c>
      <c r="J144" s="8">
        <f>J135/J$139*'General variables'!$B$11</f>
        <v>0</v>
      </c>
      <c r="K144" s="8">
        <f>K135/K$139*'General variables'!$B$11</f>
        <v>0</v>
      </c>
      <c r="L144" s="8">
        <f>L135/L$139*'General variables'!$B$11</f>
        <v>0</v>
      </c>
      <c r="M144" s="8">
        <f>M135/M$139*'General variables'!$B$11</f>
        <v>0</v>
      </c>
      <c r="N144" s="8">
        <f>N135/N$139*'General variables'!$B$11</f>
        <v>-36472.886212307778</v>
      </c>
      <c r="O144" s="8">
        <f>O135/O$139*'General variables'!$B$11</f>
        <v>0</v>
      </c>
      <c r="P144" s="8">
        <f>P135/P$139*'General variables'!$B$11</f>
        <v>0</v>
      </c>
      <c r="Q144" s="8">
        <f>Q135/Q$139*'General variables'!$B$11</f>
        <v>0</v>
      </c>
      <c r="R144" s="8">
        <f>R135/R$139*'General variables'!$B$11</f>
        <v>0</v>
      </c>
      <c r="S144" s="8">
        <f>S135/S$139*'General variables'!$B$11</f>
        <v>-31.574781912238361</v>
      </c>
      <c r="T144" s="8">
        <f>T135/T$139*'General variables'!$B$11</f>
        <v>-854.24767616178815</v>
      </c>
      <c r="U144" s="8">
        <f>U135/U$139*'General variables'!$B$11</f>
        <v>0</v>
      </c>
      <c r="V144" s="8">
        <f>V135/V$139*'General variables'!$B$11</f>
        <v>0</v>
      </c>
      <c r="W144" s="8">
        <f>W135/W$139*'General variables'!$B$11</f>
        <v>0</v>
      </c>
      <c r="X144" s="8">
        <f>X135/X$139*'General variables'!$B$11</f>
        <v>-16912.080536540456</v>
      </c>
      <c r="Y144" s="8">
        <f>Y135/Y$139*'General variables'!$B$11</f>
        <v>0</v>
      </c>
      <c r="Z144" s="8">
        <f>Z135/Z$139*'General variables'!$B$11</f>
        <v>0</v>
      </c>
      <c r="AA144" s="8">
        <f>AA135/AA$139*'General variables'!$B$11</f>
        <v>0</v>
      </c>
      <c r="AB144" s="8">
        <f>AB135/AB$139*'General variables'!$B$11</f>
        <v>0</v>
      </c>
      <c r="AC144" s="8">
        <f>AC135/AC$139*'General variables'!$B$11</f>
        <v>-5167.4970207237129</v>
      </c>
      <c r="AD144" s="8">
        <f>AD135/AD$139*'General variables'!$B$11</f>
        <v>0</v>
      </c>
      <c r="AE144" s="8">
        <f>AE135/AE$139*'General variables'!$B$11</f>
        <v>0</v>
      </c>
      <c r="AF144" s="8">
        <f>AF135/AF$139*'General variables'!$B$11</f>
        <v>0</v>
      </c>
      <c r="AG144" s="8">
        <f>AG135/AG$139*'General variables'!$B$11</f>
        <v>0</v>
      </c>
      <c r="AH144" s="8">
        <f>AH135/AH$139*'General variables'!$B$11</f>
        <v>-6765.2235518714151</v>
      </c>
      <c r="AI144" s="8">
        <f>AI135/AI$139*'General variables'!$B$11</f>
        <v>0</v>
      </c>
      <c r="AJ144" s="8">
        <f>AJ135/AJ$139*'General variables'!$B$11</f>
        <v>-249.77378567490939</v>
      </c>
      <c r="AK144" s="8">
        <f>AK135/AK$139*'General variables'!$B$11</f>
        <v>0</v>
      </c>
      <c r="AL144" s="8">
        <f>AL135/AL$139*'General variables'!$B$11</f>
        <v>0</v>
      </c>
      <c r="AM144" s="8">
        <f>AM135/AM$139*'General variables'!$B$11</f>
        <v>-6.7888180996619312</v>
      </c>
      <c r="AN144" s="8">
        <f>AN135/AN$139*'General variables'!$B$11</f>
        <v>0</v>
      </c>
      <c r="AO144" s="8">
        <f>AO135/AO$139*'General variables'!$B$11</f>
        <v>0</v>
      </c>
      <c r="AP144" s="8">
        <f>AP135/AP$139*'General variables'!$B$11</f>
        <v>0</v>
      </c>
      <c r="AQ144" s="8">
        <f>AQ135/AQ$139*'General variables'!$B$11</f>
        <v>0</v>
      </c>
      <c r="AR144" s="8">
        <f>AR135/AR$139*'General variables'!$B$11</f>
        <v>-5207.9869812932939</v>
      </c>
      <c r="AS144" s="8">
        <f>AS135/AS$139*'General variables'!$B$11</f>
        <v>0</v>
      </c>
      <c r="AT144" s="8">
        <f>AT135/AT$139*'General variables'!$B$11</f>
        <v>0</v>
      </c>
      <c r="AU144" s="8">
        <f>AU135/AU$139*'General variables'!$B$11</f>
        <v>0</v>
      </c>
      <c r="AV144" s="8">
        <f>AV135/AV$139*'General variables'!$B$11</f>
        <v>0</v>
      </c>
      <c r="AW144" s="8">
        <f>AW135/AW$139*'General variables'!$B$11</f>
        <v>-3.1479010951061621</v>
      </c>
      <c r="AX144" s="8">
        <f>AX135/AX$139*'General variables'!$B$11</f>
        <v>0</v>
      </c>
      <c r="AY144" s="8">
        <f>AY135/AY$139*'General variables'!$B$11</f>
        <v>0</v>
      </c>
      <c r="AZ144" s="8">
        <f>AZ135/AZ$139*'General variables'!$B$11</f>
        <v>0</v>
      </c>
      <c r="BA144" s="8">
        <f>BA135/BA$139*'General variables'!$B$11</f>
        <v>0</v>
      </c>
      <c r="BB144" s="8">
        <f>BB135/BB$139*'General variables'!$B$11</f>
        <v>-2.1435545093868198</v>
      </c>
    </row>
    <row r="145" spans="1:54" s="76" customFormat="1" x14ac:dyDescent="0.25">
      <c r="A145" s="8"/>
      <c r="B145" s="8" t="s">
        <v>830</v>
      </c>
      <c r="C145" s="142" t="s">
        <v>362</v>
      </c>
      <c r="D145" s="8">
        <f>D136/D$139*'General variables'!$B$11</f>
        <v>0</v>
      </c>
      <c r="E145" s="8">
        <f>E136/E$139*'General variables'!$B$11</f>
        <v>3696.1883733569748</v>
      </c>
      <c r="F145" s="8">
        <f>F136/F$139*'General variables'!$B$11</f>
        <v>3422.762673723616</v>
      </c>
      <c r="G145" s="8">
        <f>G136/G$139*'General variables'!$B$11</f>
        <v>3169.5636524053807</v>
      </c>
      <c r="H145" s="8">
        <f>H136/H$139*'General variables'!$B$11</f>
        <v>2935.0950399725402</v>
      </c>
      <c r="I145" s="8">
        <f>I136/I$139*'General variables'!$B$11</f>
        <v>2717.9712535931103</v>
      </c>
      <c r="J145" s="8">
        <f>J136/J$139*'General variables'!$B$11</f>
        <v>2516.9092089868459</v>
      </c>
      <c r="K145" s="8">
        <f>K136/K$139*'General variables'!$B$11</f>
        <v>2330.7207380903146</v>
      </c>
      <c r="L145" s="8">
        <f>L136/L$139*'General variables'!$B$11</f>
        <v>2158.3055676255231</v>
      </c>
      <c r="M145" s="8">
        <f>M136/M$139*'General variables'!$B$11</f>
        <v>1998.6448170792501</v>
      </c>
      <c r="N145" s="8">
        <f>N136/N$139*'General variables'!$B$11</f>
        <v>1850.7949776696441</v>
      </c>
      <c r="O145" s="8">
        <f>O136/O$139*'General variables'!$B$11</f>
        <v>1713.8823367190375</v>
      </c>
      <c r="P145" s="8">
        <f>P136/P$139*'General variables'!$B$11</f>
        <v>1587.0978144840283</v>
      </c>
      <c r="Q145" s="8">
        <f>Q136/Q$139*'General variables'!$B$11</f>
        <v>1469.6921829312885</v>
      </c>
      <c r="R145" s="8">
        <f>R136/R$139*'General variables'!$B$11</f>
        <v>1360.9716382046422</v>
      </c>
      <c r="S145" s="8">
        <f>S136/S$139*'General variables'!$B$11</f>
        <v>1260.2937006190939</v>
      </c>
      <c r="T145" s="8">
        <f>T136/T$139*'General variables'!$B$11</f>
        <v>1167.0634179529757</v>
      </c>
      <c r="U145" s="8">
        <f>U136/U$139*'General variables'!$B$11</f>
        <v>1080.7298496017306</v>
      </c>
      <c r="V145" s="8">
        <f>V136/V$139*'General variables'!$B$11</f>
        <v>1000.7828108165758</v>
      </c>
      <c r="W145" s="8">
        <f>W136/W$139*'General variables'!$B$11</f>
        <v>926.74985778825487</v>
      </c>
      <c r="X145" s="8">
        <f>X136/X$139*'General variables'!$B$11</f>
        <v>858.19349575935553</v>
      </c>
      <c r="Y145" s="8">
        <f>Y136/Y$139*'General variables'!$B$11</f>
        <v>794.70859366664047</v>
      </c>
      <c r="Z145" s="8">
        <f>Z136/Z$139*'General variables'!$B$11</f>
        <v>735.91999003532908</v>
      </c>
      <c r="AA145" s="8">
        <f>AA136/AA$139*'General variables'!$B$11</f>
        <v>681.48027597745727</v>
      </c>
      <c r="AB145" s="8">
        <f>AB136/AB$139*'General variables'!$B$11</f>
        <v>631.06774219302849</v>
      </c>
      <c r="AC145" s="8">
        <f>AC136/AC$139*'General variables'!$B$11</f>
        <v>584.38447784185087</v>
      </c>
      <c r="AD145" s="8">
        <f>AD136/AD$139*'General variables'!$B$11</f>
        <v>541.15461005141094</v>
      </c>
      <c r="AE145" s="8">
        <f>AE136/AE$139*'General variables'!$B$11</f>
        <v>501.12267365723346</v>
      </c>
      <c r="AF145" s="8">
        <f>AF136/AF$139*'General variables'!$B$11</f>
        <v>464.05210154176956</v>
      </c>
      <c r="AG145" s="8">
        <f>AG136/AG$139*'General variables'!$B$11</f>
        <v>429.72382665053362</v>
      </c>
      <c r="AH145" s="8">
        <f>AH136/AH$139*'General variables'!$B$11</f>
        <v>397.9349874241571</v>
      </c>
      <c r="AI145" s="8">
        <f>AI136/AI$139*'General variables'!$B$11</f>
        <v>368.49772899616693</v>
      </c>
      <c r="AJ145" s="8">
        <f>AJ136/AJ$139*'General variables'!$B$11</f>
        <v>341.23809307220807</v>
      </c>
      <c r="AK145" s="8">
        <f>AK136/AK$139*'General variables'!$B$11</f>
        <v>315.99498993050281</v>
      </c>
      <c r="AL145" s="8">
        <f>AL136/AL$139*'General variables'!$B$11</f>
        <v>292.6192464686207</v>
      </c>
      <c r="AM145" s="8">
        <f>AM136/AM$139*'General variables'!$B$11</f>
        <v>270.97272467103113</v>
      </c>
      <c r="AN145" s="8">
        <f>AN136/AN$139*'General variables'!$B$11</f>
        <v>250.9275052880582</v>
      </c>
      <c r="AO145" s="8">
        <f>AO136/AO$139*'General variables'!$B$11</f>
        <v>232.36513190222144</v>
      </c>
      <c r="AP145" s="8">
        <f>AP136/AP$139*'General variables'!$B$11</f>
        <v>215.17591091480219</v>
      </c>
      <c r="AQ145" s="8">
        <f>AQ136/AQ$139*'General variables'!$B$11</f>
        <v>199.25826331593541</v>
      </c>
      <c r="AR145" s="8">
        <f>AR136/AR$139*'General variables'!$B$11</f>
        <v>184.51812440753733</v>
      </c>
      <c r="AS145" s="8">
        <f>AS136/AS$139*'General variables'!$B$11</f>
        <v>170.86838793175693</v>
      </c>
      <c r="AT145" s="8">
        <f>AT136/AT$139*'General variables'!$B$11</f>
        <v>158.22839132004941</v>
      </c>
      <c r="AU145" s="8">
        <f>AU136/AU$139*'General variables'!$B$11</f>
        <v>146.52343902097272</v>
      </c>
      <c r="AV145" s="8">
        <f>AV136/AV$139*'General variables'!$B$11</f>
        <v>135.68436108983119</v>
      </c>
      <c r="AW145" s="8">
        <f>AW136/AW$139*'General variables'!$B$11</f>
        <v>125.64710443167078</v>
      </c>
      <c r="AX145" s="8">
        <f>AX136/AX$139*'General variables'!$B$11</f>
        <v>116.35235428209083</v>
      </c>
      <c r="AY145" s="8">
        <f>AY136/AY$139*'General variables'!$B$11</f>
        <v>107.74518368903067</v>
      </c>
      <c r="AZ145" s="8">
        <f>AZ136/AZ$139*'General variables'!$B$11</f>
        <v>99.774728924155852</v>
      </c>
      <c r="BA145" s="8">
        <f>BA136/BA$139*'General variables'!$B$11</f>
        <v>92.393888905702255</v>
      </c>
      <c r="BB145" s="8">
        <f>BB136/BB$139*'General variables'!$B$11</f>
        <v>85.559046856528198</v>
      </c>
    </row>
    <row r="146" spans="1:54" s="76" customFormat="1" x14ac:dyDescent="0.25">
      <c r="A146" s="8"/>
      <c r="B146" s="8" t="s">
        <v>831</v>
      </c>
      <c r="C146" s="142" t="s">
        <v>362</v>
      </c>
      <c r="D146" s="8">
        <f>D137/D$139*'General variables'!$B$11</f>
        <v>0</v>
      </c>
      <c r="E146" s="8">
        <f>E137/E$139*'General variables'!$B$11</f>
        <v>4291.012380669441</v>
      </c>
      <c r="F146" s="8">
        <f>F137/F$139*'General variables'!$B$11</f>
        <v>3973.5845485878331</v>
      </c>
      <c r="G146" s="8">
        <f>G137/G$139*'General variables'!$B$11</f>
        <v>3679.638454530088</v>
      </c>
      <c r="H146" s="8">
        <f>H137/H$139*'General variables'!$B$11</f>
        <v>3407.4370358794663</v>
      </c>
      <c r="I146" s="8">
        <f>I137/I$139*'General variables'!$B$11</f>
        <v>3155.3717293037125</v>
      </c>
      <c r="J146" s="8">
        <f>J137/J$139*'General variables'!$B$11</f>
        <v>2921.952965014757</v>
      </c>
      <c r="K146" s="8">
        <f>K137/K$139*'General variables'!$B$11</f>
        <v>2705.8013642159826</v>
      </c>
      <c r="L146" s="8">
        <f>L137/L$139*'General variables'!$B$11</f>
        <v>2505.6395877187215</v>
      </c>
      <c r="M146" s="8">
        <f>M137/M$139*'General variables'!$B$11</f>
        <v>2320.2847875577113</v>
      </c>
      <c r="N146" s="8">
        <f>N137/N$139*'General variables'!$B$11</f>
        <v>2148.6416169986287</v>
      </c>
      <c r="O146" s="8">
        <f>O137/O$139*'General variables'!$B$11</f>
        <v>1989.6957576306377</v>
      </c>
      <c r="P146" s="8">
        <f>P137/P$139*'General variables'!$B$11</f>
        <v>1842.507925292542</v>
      </c>
      <c r="Q146" s="8">
        <f>Q137/Q$139*'General variables'!$B$11</f>
        <v>1706.2083194108302</v>
      </c>
      <c r="R146" s="8">
        <f>R137/R$139*'General variables'!$B$11</f>
        <v>1579.991482948175</v>
      </c>
      <c r="S146" s="8">
        <f>S137/S$139*'General variables'!$B$11</f>
        <v>1463.1115425874814</v>
      </c>
      <c r="T146" s="8">
        <f>T137/T$139*'General variables'!$B$11</f>
        <v>1354.8778010235233</v>
      </c>
      <c r="U146" s="8">
        <f>U137/U$139*'General variables'!$B$11</f>
        <v>1254.6506553150095</v>
      </c>
      <c r="V146" s="8">
        <f>V137/V$139*'General variables'!$B$11</f>
        <v>1161.8378171767333</v>
      </c>
      <c r="W146" s="8">
        <f>W137/W$139*'General variables'!$B$11</f>
        <v>1075.8908128757805</v>
      </c>
      <c r="X146" s="8">
        <f>X137/X$139*'General variables'!$B$11</f>
        <v>996.30174204807145</v>
      </c>
      <c r="Y146" s="8">
        <f>Y137/Y$139*'General variables'!$B$11</f>
        <v>922.60027628159207</v>
      </c>
      <c r="Z146" s="8">
        <f>Z137/Z$139*'General variables'!$B$11</f>
        <v>854.35087972956683</v>
      </c>
      <c r="AA146" s="8">
        <f>AA137/AA$139*'General variables'!$B$11</f>
        <v>791.15023532889495</v>
      </c>
      <c r="AB146" s="8">
        <f>AB137/AB$139*'General variables'!$B$11</f>
        <v>732.62486141419038</v>
      </c>
      <c r="AC146" s="8">
        <f>AC137/AC$139*'General variables'!$B$11</f>
        <v>678.42890464290906</v>
      </c>
      <c r="AD146" s="8">
        <f>AD137/AD$139*'General variables'!$B$11</f>
        <v>628.24209618893269</v>
      </c>
      <c r="AE146" s="8">
        <f>AE137/AE$139*'General variables'!$B$11</f>
        <v>581.76785912682806</v>
      </c>
      <c r="AF146" s="8">
        <f>AF137/AF$139*'General variables'!$B$11</f>
        <v>538.73155582243692</v>
      </c>
      <c r="AG146" s="8">
        <f>AG137/AG$139*'General variables'!$B$11</f>
        <v>498.87886497282722</v>
      </c>
      <c r="AH146" s="8">
        <f>AH137/AH$139*'General variables'!$B$11</f>
        <v>461.97427870478367</v>
      </c>
      <c r="AI146" s="8">
        <f>AI137/AI$139*'General variables'!$B$11</f>
        <v>427.79971085050835</v>
      </c>
      <c r="AJ146" s="8">
        <f>AJ137/AJ$139*'General variables'!$B$11</f>
        <v>396.15320817618374</v>
      </c>
      <c r="AK146" s="8">
        <f>AK137/AK$139*'General variables'!$B$11</f>
        <v>366.84775694746423</v>
      </c>
      <c r="AL146" s="8">
        <f>AL137/AL$139*'General variables'!$B$11</f>
        <v>339.71017777933628</v>
      </c>
      <c r="AM146" s="8">
        <f>AM137/AM$139*'General variables'!$B$11</f>
        <v>314.58010223951021</v>
      </c>
      <c r="AN146" s="8">
        <f>AN137/AN$139*'General variables'!$B$11</f>
        <v>291.30902515762125</v>
      </c>
      <c r="AO146" s="8">
        <f>AO137/AO$139*'General variables'!$B$11</f>
        <v>269.75942703990057</v>
      </c>
      <c r="AP146" s="8">
        <f>AP137/AP$139*'General variables'!$B$11</f>
        <v>249.80396140325911</v>
      </c>
      <c r="AQ146" s="8">
        <f>AQ137/AQ$139*'General variables'!$B$11</f>
        <v>231.3247022263692</v>
      </c>
      <c r="AR146" s="8">
        <f>AR137/AR$139*'General variables'!$B$11</f>
        <v>214.21244707058611</v>
      </c>
      <c r="AS146" s="8">
        <f>AS137/AS$139*'General variables'!$B$11</f>
        <v>198.36607175253025</v>
      </c>
      <c r="AT146" s="8">
        <f>AT137/AT$139*'General variables'!$B$11</f>
        <v>183.69193275479404</v>
      </c>
      <c r="AU146" s="8">
        <f>AU137/AU$139*'General variables'!$B$11</f>
        <v>170.10331384334319</v>
      </c>
      <c r="AV146" s="8">
        <f>AV137/AV$139*'General variables'!$B$11</f>
        <v>157.51991362142024</v>
      </c>
      <c r="AW146" s="8">
        <f>AW137/AW$139*'General variables'!$B$11</f>
        <v>145.86737099167169</v>
      </c>
      <c r="AX146" s="8">
        <f>AX137/AX$139*'General variables'!$B$11</f>
        <v>135.07682572223428</v>
      </c>
      <c r="AY146" s="8">
        <f>AY137/AY$139*'General variables'!$B$11</f>
        <v>125.08451151996564</v>
      </c>
      <c r="AZ146" s="8">
        <f>AZ137/AZ$139*'General variables'!$B$11</f>
        <v>115.8313792061001</v>
      </c>
      <c r="BA146" s="8">
        <f>BA137/BA$139*'General variables'!$B$11</f>
        <v>107.26274776750267</v>
      </c>
      <c r="BB146" s="8">
        <f>BB137/BB$139*'General variables'!$B$11</f>
        <v>99.327981221421823</v>
      </c>
    </row>
    <row r="147" spans="1:54" s="76" customFormat="1" x14ac:dyDescent="0.25">
      <c r="A147" s="8"/>
      <c r="B147" s="8" t="s">
        <v>832</v>
      </c>
      <c r="C147" s="142" t="s">
        <v>362</v>
      </c>
      <c r="D147" s="8">
        <f>SUM(D144:D146)</f>
        <v>-91198.662800000006</v>
      </c>
      <c r="E147" s="8">
        <f t="shared" ref="E147:BB147" si="862">SUM(E144:E146)</f>
        <v>7987.2007540264158</v>
      </c>
      <c r="F147" s="8">
        <f t="shared" si="862"/>
        <v>7396.3472223114495</v>
      </c>
      <c r="G147" s="8">
        <f t="shared" si="862"/>
        <v>6849.2021069354687</v>
      </c>
      <c r="H147" s="8">
        <f t="shared" si="862"/>
        <v>6342.5320758520065</v>
      </c>
      <c r="I147" s="8">
        <f t="shared" si="862"/>
        <v>5805.2482605842551</v>
      </c>
      <c r="J147" s="8">
        <f t="shared" si="862"/>
        <v>5438.8621740016024</v>
      </c>
      <c r="K147" s="8">
        <f t="shared" si="862"/>
        <v>5036.5221023062968</v>
      </c>
      <c r="L147" s="8">
        <f t="shared" si="862"/>
        <v>4663.945155344245</v>
      </c>
      <c r="M147" s="8">
        <f t="shared" si="862"/>
        <v>4318.9296046369618</v>
      </c>
      <c r="N147" s="8">
        <f t="shared" si="862"/>
        <v>-32473.449617639508</v>
      </c>
      <c r="O147" s="8">
        <f t="shared" si="862"/>
        <v>3703.5780943496752</v>
      </c>
      <c r="P147" s="8">
        <f t="shared" si="862"/>
        <v>3429.6057397765703</v>
      </c>
      <c r="Q147" s="8">
        <f t="shared" si="862"/>
        <v>3175.9005023421187</v>
      </c>
      <c r="R147" s="8">
        <f t="shared" si="862"/>
        <v>2940.9631211528172</v>
      </c>
      <c r="S147" s="8">
        <f t="shared" si="862"/>
        <v>2691.8304612943366</v>
      </c>
      <c r="T147" s="8">
        <f t="shared" si="862"/>
        <v>1667.6935428147108</v>
      </c>
      <c r="U147" s="8">
        <f t="shared" si="862"/>
        <v>2335.3805049167404</v>
      </c>
      <c r="V147" s="8">
        <f t="shared" si="862"/>
        <v>2162.620627993309</v>
      </c>
      <c r="W147" s="8">
        <f t="shared" si="862"/>
        <v>2002.6406706640355</v>
      </c>
      <c r="X147" s="8">
        <f t="shared" si="862"/>
        <v>-15057.585298733029</v>
      </c>
      <c r="Y147" s="8">
        <f t="shared" si="862"/>
        <v>1717.3088699482325</v>
      </c>
      <c r="Z147" s="8">
        <f t="shared" si="862"/>
        <v>1590.2708697648959</v>
      </c>
      <c r="AA147" s="8">
        <f t="shared" si="862"/>
        <v>1472.6305113063522</v>
      </c>
      <c r="AB147" s="8">
        <f t="shared" si="862"/>
        <v>1363.6926036072189</v>
      </c>
      <c r="AC147" s="8">
        <f t="shared" si="862"/>
        <v>-3904.6836382389533</v>
      </c>
      <c r="AD147" s="8">
        <f t="shared" si="862"/>
        <v>1169.3967062403435</v>
      </c>
      <c r="AE147" s="8">
        <f t="shared" si="862"/>
        <v>1082.8905327840616</v>
      </c>
      <c r="AF147" s="8">
        <f t="shared" si="862"/>
        <v>1002.7836573642064</v>
      </c>
      <c r="AG147" s="8">
        <f t="shared" si="862"/>
        <v>928.6026916233609</v>
      </c>
      <c r="AH147" s="8">
        <f t="shared" si="862"/>
        <v>-5905.3142857424746</v>
      </c>
      <c r="AI147" s="8">
        <f t="shared" si="862"/>
        <v>796.29743984667527</v>
      </c>
      <c r="AJ147" s="8">
        <f t="shared" si="862"/>
        <v>487.61751557348242</v>
      </c>
      <c r="AK147" s="8">
        <f t="shared" si="862"/>
        <v>682.8427468779671</v>
      </c>
      <c r="AL147" s="8">
        <f t="shared" si="862"/>
        <v>632.32942424795692</v>
      </c>
      <c r="AM147" s="8">
        <f t="shared" si="862"/>
        <v>578.76400881087943</v>
      </c>
      <c r="AN147" s="8">
        <f t="shared" si="862"/>
        <v>542.23653044567948</v>
      </c>
      <c r="AO147" s="8">
        <f t="shared" si="862"/>
        <v>502.12455894212201</v>
      </c>
      <c r="AP147" s="8">
        <f t="shared" si="862"/>
        <v>464.97987231806133</v>
      </c>
      <c r="AQ147" s="8">
        <f t="shared" si="862"/>
        <v>430.58296554230458</v>
      </c>
      <c r="AR147" s="8">
        <f t="shared" si="862"/>
        <v>-4809.2564098151706</v>
      </c>
      <c r="AS147" s="8">
        <f t="shared" si="862"/>
        <v>369.23445968428717</v>
      </c>
      <c r="AT147" s="8">
        <f t="shared" si="862"/>
        <v>341.92032407484345</v>
      </c>
      <c r="AU147" s="8">
        <f t="shared" si="862"/>
        <v>316.6267528643159</v>
      </c>
      <c r="AV147" s="8">
        <f t="shared" si="862"/>
        <v>293.2042747112514</v>
      </c>
      <c r="AW147" s="8">
        <f t="shared" si="862"/>
        <v>268.36657432823631</v>
      </c>
      <c r="AX147" s="8">
        <f t="shared" si="862"/>
        <v>251.4291800043251</v>
      </c>
      <c r="AY147" s="8">
        <f t="shared" si="862"/>
        <v>232.82969520899633</v>
      </c>
      <c r="AZ147" s="8">
        <f t="shared" si="862"/>
        <v>215.60610813025596</v>
      </c>
      <c r="BA147" s="8">
        <f t="shared" si="862"/>
        <v>199.65663667320493</v>
      </c>
      <c r="BB147" s="8">
        <f t="shared" si="862"/>
        <v>182.74347356856322</v>
      </c>
    </row>
    <row r="148" spans="1:54" s="76" customFormat="1" x14ac:dyDescent="0.25">
      <c r="A148" s="8"/>
      <c r="B148" s="8" t="s">
        <v>646</v>
      </c>
      <c r="C148" s="147" t="s">
        <v>362</v>
      </c>
      <c r="D148" s="8">
        <f>D141*'General variables'!$B$11</f>
        <v>-91198.662800000006</v>
      </c>
      <c r="E148" s="8">
        <f>E141*'General variables'!$B$11</f>
        <v>-83211.462045973589</v>
      </c>
      <c r="F148" s="8">
        <f>F141*'General variables'!$B$11</f>
        <v>-75815.114823662137</v>
      </c>
      <c r="G148" s="8">
        <f>G141*'General variables'!$B$11</f>
        <v>-68965.912716726671</v>
      </c>
      <c r="H148" s="8">
        <f>H141*'General variables'!$B$11</f>
        <v>-62623.380640874668</v>
      </c>
      <c r="I148" s="8">
        <f>I141*'General variables'!$B$11</f>
        <v>-56818.132380290415</v>
      </c>
      <c r="J148" s="8">
        <f>J141*'General variables'!$B$11</f>
        <v>-51379.270206288813</v>
      </c>
      <c r="K148" s="8">
        <f>K141*'General variables'!$B$11</f>
        <v>-46342.748103982514</v>
      </c>
      <c r="L148" s="8">
        <f>L141*'General variables'!$B$11</f>
        <v>-41678.802948638273</v>
      </c>
      <c r="M148" s="8">
        <f>M141*'General variables'!$B$11</f>
        <v>-37359.873344001309</v>
      </c>
      <c r="N148" s="8">
        <f>N141*'General variables'!$B$11</f>
        <v>-69833.322961640821</v>
      </c>
      <c r="O148" s="8">
        <f>O141*'General variables'!$B$11</f>
        <v>-66129.744867291141</v>
      </c>
      <c r="P148" s="8">
        <f>P141*'General variables'!$B$11</f>
        <v>-62700.139127514572</v>
      </c>
      <c r="Q148" s="8">
        <f>Q141*'General variables'!$B$11</f>
        <v>-59524.238625172453</v>
      </c>
      <c r="R148" s="8">
        <f>R141*'General variables'!$B$11</f>
        <v>-56583.275504019635</v>
      </c>
      <c r="S148" s="8">
        <f>S141*'General variables'!$B$11</f>
        <v>-53891.445042725296</v>
      </c>
      <c r="T148" s="8">
        <f>T141*'General variables'!$B$11</f>
        <v>-52223.751499910584</v>
      </c>
      <c r="U148" s="8">
        <f>U141*'General variables'!$B$11</f>
        <v>-49888.370994993842</v>
      </c>
      <c r="V148" s="8">
        <f>V141*'General variables'!$B$11</f>
        <v>-47725.750367000532</v>
      </c>
      <c r="W148" s="8">
        <f>W141*'General variables'!$B$11</f>
        <v>-45723.109696336498</v>
      </c>
      <c r="X148" s="8">
        <f>X141*'General variables'!$B$11</f>
        <v>-60780.694995069527</v>
      </c>
      <c r="Y148" s="8">
        <f>Y141*'General variables'!$B$11</f>
        <v>-59063.386125121295</v>
      </c>
      <c r="Z148" s="8">
        <f>Z141*'General variables'!$B$11</f>
        <v>-57473.115255356402</v>
      </c>
      <c r="AA148" s="8">
        <f>AA141*'General variables'!$B$11</f>
        <v>-56000.484744050053</v>
      </c>
      <c r="AB148" s="8">
        <f>AB141*'General variables'!$B$11</f>
        <v>-54636.792140442834</v>
      </c>
      <c r="AC148" s="8">
        <f>AC141*'General variables'!$B$11</f>
        <v>-58541.475778681786</v>
      </c>
      <c r="AD148" s="8">
        <f>AD141*'General variables'!$B$11</f>
        <v>-57372.07907244144</v>
      </c>
      <c r="AE148" s="8">
        <f>AE141*'General variables'!$B$11</f>
        <v>-56289.188539657378</v>
      </c>
      <c r="AF148" s="8">
        <f>AF141*'General variables'!$B$11</f>
        <v>-55286.404882293173</v>
      </c>
      <c r="AG148" s="8">
        <f>AG141*'General variables'!$B$11</f>
        <v>-54357.802190669812</v>
      </c>
      <c r="AH148" s="8">
        <f>AH141*'General variables'!$B$11</f>
        <v>-60263.116476412288</v>
      </c>
      <c r="AI148" s="8">
        <f>AI141*'General variables'!$B$11</f>
        <v>-59466.819036565612</v>
      </c>
      <c r="AJ148" s="8">
        <f>AJ141*'General variables'!$B$11</f>
        <v>-58979.20152099213</v>
      </c>
      <c r="AK148" s="8">
        <f>AK141*'General variables'!$B$11</f>
        <v>-58296.35877411416</v>
      </c>
      <c r="AL148" s="8">
        <f>AL141*'General variables'!$B$11</f>
        <v>-57664.029349866199</v>
      </c>
      <c r="AM148" s="8">
        <f>AM141*'General variables'!$B$11</f>
        <v>-57085.265341055318</v>
      </c>
      <c r="AN148" s="8">
        <f>AN141*'General variables'!$B$11</f>
        <v>-56543.028810609641</v>
      </c>
      <c r="AO148" s="8">
        <f>AO141*'General variables'!$B$11</f>
        <v>-56040.904251667518</v>
      </c>
      <c r="AP148" s="8">
        <f>AP141*'General variables'!$B$11</f>
        <v>-55575.924379349453</v>
      </c>
      <c r="AQ148" s="8">
        <f>AQ141*'General variables'!$B$11</f>
        <v>-55145.341413807146</v>
      </c>
      <c r="AR148" s="8">
        <f>AR141*'General variables'!$B$11</f>
        <v>-59954.597823622316</v>
      </c>
      <c r="AS148" s="8">
        <f>AS141*'General variables'!$B$11</f>
        <v>-59585.363363938028</v>
      </c>
      <c r="AT148" s="8">
        <f>AT141*'General variables'!$B$11</f>
        <v>-59243.443039863181</v>
      </c>
      <c r="AU148" s="8">
        <f>AU141*'General variables'!$B$11</f>
        <v>-58926.816286998866</v>
      </c>
      <c r="AV148" s="8">
        <f>AV141*'General variables'!$B$11</f>
        <v>-58633.612012287616</v>
      </c>
      <c r="AW148" s="8">
        <f>AW141*'General variables'!$B$11</f>
        <v>-58365.245437959384</v>
      </c>
      <c r="AX148" s="8">
        <f>AX141*'General variables'!$B$11</f>
        <v>-58113.816257955055</v>
      </c>
      <c r="AY148" s="8">
        <f>AY141*'General variables'!$B$11</f>
        <v>-57880.98656274606</v>
      </c>
      <c r="AZ148" s="8">
        <f>AZ141*'General variables'!$B$11</f>
        <v>-57665.380454615806</v>
      </c>
      <c r="BA148" s="8">
        <f>BA141*'General variables'!$B$11</f>
        <v>-57465.723817942599</v>
      </c>
      <c r="BB148" s="8">
        <f>BB141*'General variables'!$B$11</f>
        <v>-57282.980344374038</v>
      </c>
    </row>
    <row r="149" spans="1:54" s="83" customFormat="1" x14ac:dyDescent="0.25">
      <c r="A149" s="179" t="s">
        <v>717</v>
      </c>
      <c r="B149" s="83" t="s">
        <v>363</v>
      </c>
      <c r="C149" s="84" t="s">
        <v>362</v>
      </c>
      <c r="D149" s="85">
        <f>D7+D15+D23+D31+D39+D63+D95+D111+D119+D127</f>
        <v>-9151.0515999999989</v>
      </c>
      <c r="E149" s="85">
        <f t="shared" ref="E149:BB149" si="863">E7+E15+E23+E31+E39+E63+E95+E111+E119+E127</f>
        <v>0</v>
      </c>
      <c r="F149" s="85">
        <f t="shared" si="863"/>
        <v>0</v>
      </c>
      <c r="G149" s="85">
        <f t="shared" si="863"/>
        <v>0</v>
      </c>
      <c r="H149" s="85">
        <f t="shared" si="863"/>
        <v>0</v>
      </c>
      <c r="I149" s="85">
        <f t="shared" si="863"/>
        <v>-15.135185592864978</v>
      </c>
      <c r="J149" s="85">
        <f t="shared" si="863"/>
        <v>0</v>
      </c>
      <c r="K149" s="85">
        <f t="shared" si="863"/>
        <v>0</v>
      </c>
      <c r="L149" s="85">
        <f t="shared" si="863"/>
        <v>0</v>
      </c>
      <c r="M149" s="85">
        <f t="shared" si="863"/>
        <v>0</v>
      </c>
      <c r="N149" s="85">
        <f t="shared" si="863"/>
        <v>-11708.200149863955</v>
      </c>
      <c r="O149" s="85">
        <f t="shared" si="863"/>
        <v>0</v>
      </c>
      <c r="P149" s="85">
        <f t="shared" si="863"/>
        <v>0</v>
      </c>
      <c r="Q149" s="85">
        <f t="shared" si="863"/>
        <v>0</v>
      </c>
      <c r="R149" s="85">
        <f t="shared" si="863"/>
        <v>0</v>
      </c>
      <c r="S149" s="85">
        <f t="shared" si="863"/>
        <v>-22.189280814229935</v>
      </c>
      <c r="T149" s="85">
        <f t="shared" si="863"/>
        <v>-673.56502737101482</v>
      </c>
      <c r="U149" s="85">
        <f t="shared" si="863"/>
        <v>0</v>
      </c>
      <c r="V149" s="85">
        <f t="shared" si="863"/>
        <v>0</v>
      </c>
      <c r="W149" s="85">
        <f t="shared" si="863"/>
        <v>0</v>
      </c>
      <c r="X149" s="85">
        <f t="shared" si="863"/>
        <v>-17165.071373621842</v>
      </c>
      <c r="Y149" s="85">
        <f t="shared" si="863"/>
        <v>0</v>
      </c>
      <c r="Z149" s="85">
        <f t="shared" si="863"/>
        <v>0</v>
      </c>
      <c r="AA149" s="85">
        <f t="shared" si="863"/>
        <v>0</v>
      </c>
      <c r="AB149" s="85">
        <f t="shared" si="863"/>
        <v>0</v>
      </c>
      <c r="AC149" s="85">
        <f t="shared" si="863"/>
        <v>-10443.706818958388</v>
      </c>
      <c r="AD149" s="85">
        <f t="shared" si="863"/>
        <v>0</v>
      </c>
      <c r="AE149" s="85">
        <f t="shared" si="863"/>
        <v>0</v>
      </c>
      <c r="AF149" s="85">
        <f t="shared" si="863"/>
        <v>0</v>
      </c>
      <c r="AG149" s="85">
        <f t="shared" si="863"/>
        <v>0</v>
      </c>
      <c r="AH149" s="85">
        <f t="shared" si="863"/>
        <v>-20911.214186304624</v>
      </c>
      <c r="AI149" s="85">
        <f t="shared" si="863"/>
        <v>0</v>
      </c>
      <c r="AJ149" s="85">
        <f t="shared" si="863"/>
        <v>-1242.305164560011</v>
      </c>
      <c r="AK149" s="85">
        <f t="shared" si="863"/>
        <v>0</v>
      </c>
      <c r="AL149" s="85">
        <f t="shared" si="863"/>
        <v>0</v>
      </c>
      <c r="AM149" s="85">
        <f t="shared" si="863"/>
        <v>-47.692949054609656</v>
      </c>
      <c r="AN149" s="85">
        <f t="shared" si="863"/>
        <v>0</v>
      </c>
      <c r="AO149" s="85">
        <f t="shared" si="863"/>
        <v>0</v>
      </c>
      <c r="AP149" s="85">
        <f t="shared" si="863"/>
        <v>0</v>
      </c>
      <c r="AQ149" s="85">
        <f t="shared" si="863"/>
        <v>0</v>
      </c>
      <c r="AR149" s="85">
        <f t="shared" si="863"/>
        <v>-56528.162254779592</v>
      </c>
      <c r="AS149" s="85">
        <f t="shared" si="863"/>
        <v>0</v>
      </c>
      <c r="AT149" s="85">
        <f t="shared" si="863"/>
        <v>0</v>
      </c>
      <c r="AU149" s="85">
        <f t="shared" si="863"/>
        <v>0</v>
      </c>
      <c r="AV149" s="85">
        <f t="shared" si="863"/>
        <v>0</v>
      </c>
      <c r="AW149" s="85">
        <f t="shared" si="863"/>
        <v>-69.921325572009238</v>
      </c>
      <c r="AX149" s="85">
        <f t="shared" si="863"/>
        <v>0</v>
      </c>
      <c r="AY149" s="85">
        <f t="shared" si="863"/>
        <v>0</v>
      </c>
      <c r="AZ149" s="85">
        <f t="shared" si="863"/>
        <v>0</v>
      </c>
      <c r="BA149" s="85">
        <f t="shared" si="863"/>
        <v>0</v>
      </c>
      <c r="BB149" s="85">
        <f t="shared" si="863"/>
        <v>-84.661779154519664</v>
      </c>
    </row>
    <row r="150" spans="1:54" s="83" customFormat="1" x14ac:dyDescent="0.25">
      <c r="A150" s="179"/>
      <c r="B150" s="83" t="s">
        <v>356</v>
      </c>
      <c r="C150" s="84" t="s">
        <v>362</v>
      </c>
      <c r="D150" s="83">
        <v>0</v>
      </c>
      <c r="E150" s="85">
        <f>ABS('Annual Calculations'!$Q$19)*(1+$C$3)^E$194</f>
        <v>506.97684293854246</v>
      </c>
      <c r="F150" s="85">
        <f>ABS('Annual Calculations'!$Q$19)*(1+$C$3)^F$194</f>
        <v>526.74893981314551</v>
      </c>
      <c r="G150" s="85">
        <f>ABS('Annual Calculations'!$Q$19)*(1+$C$3)^G$194</f>
        <v>547.29214846585819</v>
      </c>
      <c r="H150" s="85">
        <f>ABS('Annual Calculations'!$Q$19)*(1+$C$3)^H$194</f>
        <v>568.63654225602647</v>
      </c>
      <c r="I150" s="85">
        <f>ABS('Annual Calculations'!$Q$19)*(1+$C$3)^I$194</f>
        <v>590.8133674040115</v>
      </c>
      <c r="J150" s="85">
        <f>ABS('Annual Calculations'!$Q$19)*(1+$C$3)^J$194</f>
        <v>613.85508873276774</v>
      </c>
      <c r="K150" s="85">
        <f>ABS('Annual Calculations'!$Q$19)*(1+$C$3)^K$194</f>
        <v>637.79543719334572</v>
      </c>
      <c r="L150" s="85">
        <f>ABS('Annual Calculations'!$Q$19)*(1+$C$3)^L$194</f>
        <v>662.66945924388608</v>
      </c>
      <c r="M150" s="85">
        <f>ABS('Annual Calculations'!$Q$19)*(1+$C$3)^M$194</f>
        <v>688.5135681543976</v>
      </c>
      <c r="N150" s="85">
        <f>ABS('Annual Calculations'!$Q$19)*(1+$C$3)^N$194</f>
        <v>715.36559731241891</v>
      </c>
      <c r="O150" s="85">
        <f>ABS('Annual Calculations'!$Q$19)*(1+$C$3)^O$194</f>
        <v>743.26485560760318</v>
      </c>
      <c r="P150" s="85">
        <f>ABS('Annual Calculations'!$Q$19)*(1+$C$3)^P$194</f>
        <v>772.25218497629953</v>
      </c>
      <c r="Q150" s="85">
        <f>ABS('Annual Calculations'!$Q$19)*(1+$C$3)^Q$194</f>
        <v>802.37002019037527</v>
      </c>
      <c r="R150" s="85">
        <f>ABS('Annual Calculations'!$Q$19)*(1+$C$3)^R$194</f>
        <v>833.66245097779961</v>
      </c>
      <c r="S150" s="85">
        <f>ABS('Annual Calculations'!$Q$19)*(1+$C$3)^S$194</f>
        <v>866.17528656593379</v>
      </c>
      <c r="T150" s="85">
        <f>ABS('Annual Calculations'!$Q$19)*(1+$C$3)^T$194</f>
        <v>899.95612274200505</v>
      </c>
      <c r="U150" s="85">
        <f>ABS('Annual Calculations'!$Q$19)*(1+$C$3)^U$194</f>
        <v>935.05441152894332</v>
      </c>
      <c r="V150" s="85">
        <f>ABS('Annual Calculations'!$Q$19)*(1+$C$3)^V$194</f>
        <v>971.52153357857185</v>
      </c>
      <c r="W150" s="85">
        <f>ABS('Annual Calculations'!$Q$19)*(1+$C$3)^W$194</f>
        <v>1009.410873388136</v>
      </c>
      <c r="X150" s="85">
        <f>ABS('Annual Calculations'!$Q$19)*(1+$C$3)^X$194</f>
        <v>1048.777897450273</v>
      </c>
      <c r="Y150" s="85">
        <f>ABS('Annual Calculations'!$Q$19)*(1+$C$3)^Y$194</f>
        <v>1089.6802354508336</v>
      </c>
      <c r="Z150" s="85">
        <f>ABS('Annual Calculations'!$Q$19)*(1+$C$3)^Z$194</f>
        <v>1132.1777646334158</v>
      </c>
      <c r="AA150" s="85">
        <f>ABS('Annual Calculations'!$Q$19)*(1+$C$3)^AA$194</f>
        <v>1176.3326974541192</v>
      </c>
      <c r="AB150" s="85">
        <f>ABS('Annual Calculations'!$Q$19)*(1+$C$3)^AB$194</f>
        <v>1222.2096726548295</v>
      </c>
      <c r="AC150" s="85">
        <f>ABS('Annual Calculations'!$Q$19)*(1+$C$3)^AC$194</f>
        <v>1269.8758498883678</v>
      </c>
      <c r="AD150" s="85">
        <f>ABS('Annual Calculations'!$Q$19)*(1+$C$3)^AD$194</f>
        <v>1319.4010080340138</v>
      </c>
      <c r="AE150" s="85">
        <f>ABS('Annual Calculations'!$Q$19)*(1+$C$3)^AE$194</f>
        <v>1370.8576473473402</v>
      </c>
      <c r="AF150" s="85">
        <f>ABS('Annual Calculations'!$Q$19)*(1+$C$3)^AF$194</f>
        <v>1424.3210955938862</v>
      </c>
      <c r="AG150" s="85">
        <f>ABS('Annual Calculations'!$Q$19)*(1+$C$3)^AG$194</f>
        <v>1479.8696183220479</v>
      </c>
      <c r="AH150" s="85">
        <f>ABS('Annual Calculations'!$Q$19)*(1+$C$3)^AH$194</f>
        <v>1537.584533436607</v>
      </c>
      <c r="AI150" s="85">
        <f>ABS('Annual Calculations'!$Q$19)*(1+$C$3)^AI$194</f>
        <v>1597.5503302406348</v>
      </c>
      <c r="AJ150" s="85">
        <f>ABS('Annual Calculations'!$Q$19)*(1+$C$3)^AJ$194</f>
        <v>1659.8547931200194</v>
      </c>
      <c r="AK150" s="85">
        <f>ABS('Annual Calculations'!$Q$19)*(1+$C$3)^AK$194</f>
        <v>1724.5891300516998</v>
      </c>
      <c r="AL150" s="85">
        <f>ABS('Annual Calculations'!$Q$19)*(1+$C$3)^AL$194</f>
        <v>1791.848106123716</v>
      </c>
      <c r="AM150" s="85">
        <f>ABS('Annual Calculations'!$Q$19)*(1+$C$3)^AM$194</f>
        <v>1861.7301822625409</v>
      </c>
      <c r="AN150" s="85">
        <f>ABS('Annual Calculations'!$Q$19)*(1+$C$3)^AN$194</f>
        <v>1934.3376593707794</v>
      </c>
      <c r="AO150" s="85">
        <f>ABS('Annual Calculations'!$Q$19)*(1+$C$3)^AO$194</f>
        <v>2009.7768280862394</v>
      </c>
      <c r="AP150" s="85">
        <f>ABS('Annual Calculations'!$Q$19)*(1+$C$3)^AP$194</f>
        <v>2088.1581243816022</v>
      </c>
      <c r="AQ150" s="85">
        <f>ABS('Annual Calculations'!$Q$19)*(1+$C$3)^AQ$194</f>
        <v>2169.5962912324849</v>
      </c>
      <c r="AR150" s="85">
        <f>ABS('Annual Calculations'!$Q$19)*(1+$C$3)^AR$194</f>
        <v>2254.2105465905515</v>
      </c>
      <c r="AS150" s="85">
        <f>ABS('Annual Calculations'!$Q$19)*(1+$C$3)^AS$194</f>
        <v>2342.124757907583</v>
      </c>
      <c r="AT150" s="85">
        <f>ABS('Annual Calculations'!$Q$19)*(1+$C$3)^AT$194</f>
        <v>2433.4676234659778</v>
      </c>
      <c r="AU150" s="85">
        <f>ABS('Annual Calculations'!$Q$19)*(1+$C$3)^AU$194</f>
        <v>2528.3728607811508</v>
      </c>
      <c r="AV150" s="85">
        <f>ABS('Annual Calculations'!$Q$19)*(1+$C$3)^AV$194</f>
        <v>2626.9794023516151</v>
      </c>
      <c r="AW150" s="85">
        <f>ABS('Annual Calculations'!$Q$19)*(1+$C$3)^AW$194</f>
        <v>2729.4315990433283</v>
      </c>
      <c r="AX150" s="85">
        <f>ABS('Annual Calculations'!$Q$19)*(1+$C$3)^AX$194</f>
        <v>2835.8794314060169</v>
      </c>
      <c r="AY150" s="85">
        <f>ABS('Annual Calculations'!$Q$19)*(1+$C$3)^AY$194</f>
        <v>2946.478729230852</v>
      </c>
      <c r="AZ150" s="85">
        <f>ABS('Annual Calculations'!$Q$19)*(1+$C$3)^AZ$194</f>
        <v>3061.3913996708548</v>
      </c>
      <c r="BA150" s="85">
        <f>ABS('Annual Calculations'!$Q$19)*(1+$C$3)^BA$194</f>
        <v>3180.7856642580177</v>
      </c>
      <c r="BB150" s="85">
        <f>ABS('Annual Calculations'!$Q$19)*(1+$C$3)^BB$194</f>
        <v>3304.8363051640799</v>
      </c>
    </row>
    <row r="151" spans="1:54" s="83" customFormat="1" x14ac:dyDescent="0.25">
      <c r="A151" s="179"/>
      <c r="B151" s="83" t="s">
        <v>357</v>
      </c>
      <c r="C151" s="84" t="s">
        <v>362</v>
      </c>
      <c r="D151" s="83">
        <v>0</v>
      </c>
      <c r="E151" s="85">
        <f>-'Annual Calculations'!$L$33*(1+$C$3)^E$194</f>
        <v>601.81448638888901</v>
      </c>
      <c r="F151" s="85">
        <f>-'Annual Calculations'!$L$33*(1+$C$3)^F$194</f>
        <v>625.28525135805558</v>
      </c>
      <c r="G151" s="85">
        <f>-'Annual Calculations'!$L$33*(1+$C$3)^G$194</f>
        <v>649.67137616101968</v>
      </c>
      <c r="H151" s="85">
        <f>-'Annual Calculations'!$L$33*(1+$C$3)^H$194</f>
        <v>675.00855983129929</v>
      </c>
      <c r="I151" s="85">
        <f>-'Annual Calculations'!$L$33*(1+$C$3)^I$194</f>
        <v>701.33389366471988</v>
      </c>
      <c r="J151" s="85">
        <f>-'Annual Calculations'!$L$33*(1+$C$3)^J$194</f>
        <v>728.68591551764382</v>
      </c>
      <c r="K151" s="85">
        <f>-'Annual Calculations'!$L$33*(1+$C$3)^K$194</f>
        <v>757.10466622283184</v>
      </c>
      <c r="L151" s="85">
        <f>-'Annual Calculations'!$L$33*(1+$C$3)^L$194</f>
        <v>786.63174820552217</v>
      </c>
      <c r="M151" s="85">
        <f>-'Annual Calculations'!$L$33*(1+$C$3)^M$194</f>
        <v>817.31038638553753</v>
      </c>
      <c r="N151" s="85">
        <f>-'Annual Calculations'!$L$33*(1+$C$3)^N$194</f>
        <v>849.18549145457325</v>
      </c>
      <c r="O151" s="85">
        <f>-'Annual Calculations'!$L$33*(1+$C$3)^O$194</f>
        <v>882.30372562130151</v>
      </c>
      <c r="P151" s="85">
        <f>-'Annual Calculations'!$L$33*(1+$C$3)^P$194</f>
        <v>916.71357092053199</v>
      </c>
      <c r="Q151" s="85">
        <f>-'Annual Calculations'!$L$33*(1+$C$3)^Q$194</f>
        <v>952.46540018643282</v>
      </c>
      <c r="R151" s="85">
        <f>-'Annual Calculations'!$L$33*(1+$C$3)^R$194</f>
        <v>989.61155079370337</v>
      </c>
      <c r="S151" s="85">
        <f>-'Annual Calculations'!$L$33*(1+$C$3)^S$194</f>
        <v>1028.2064012746578</v>
      </c>
      <c r="T151" s="85">
        <f>-'Annual Calculations'!$L$33*(1+$C$3)^T$194</f>
        <v>1068.3064509243693</v>
      </c>
      <c r="U151" s="85">
        <f>-'Annual Calculations'!$L$33*(1+$C$3)^U$194</f>
        <v>1109.9704025104197</v>
      </c>
      <c r="V151" s="85">
        <f>-'Annual Calculations'!$L$33*(1+$C$3)^V$194</f>
        <v>1153.2592482083257</v>
      </c>
      <c r="W151" s="85">
        <f>-'Annual Calculations'!$L$33*(1+$C$3)^W$194</f>
        <v>1198.2363588884502</v>
      </c>
      <c r="X151" s="85">
        <f>-'Annual Calculations'!$L$33*(1+$C$3)^X$194</f>
        <v>1244.9675768850998</v>
      </c>
      <c r="Y151" s="85">
        <f>-'Annual Calculations'!$L$33*(1+$C$3)^Y$194</f>
        <v>1293.5213123836186</v>
      </c>
      <c r="Z151" s="85">
        <f>-'Annual Calculations'!$L$33*(1+$C$3)^Z$194</f>
        <v>1343.9686435665792</v>
      </c>
      <c r="AA151" s="85">
        <f>-'Annual Calculations'!$L$33*(1+$C$3)^AA$194</f>
        <v>1396.3834206656759</v>
      </c>
      <c r="AB151" s="85">
        <f>-'Annual Calculations'!$L$33*(1+$C$3)^AB$194</f>
        <v>1450.8423740716369</v>
      </c>
      <c r="AC151" s="85">
        <f>-'Annual Calculations'!$L$33*(1+$C$3)^AC$194</f>
        <v>1507.4252266604308</v>
      </c>
      <c r="AD151" s="85">
        <f>-'Annual Calculations'!$L$33*(1+$C$3)^AD$194</f>
        <v>1566.2148105001872</v>
      </c>
      <c r="AE151" s="85">
        <f>-'Annual Calculations'!$L$33*(1+$C$3)^AE$194</f>
        <v>1627.2971881096942</v>
      </c>
      <c r="AF151" s="85">
        <f>-'Annual Calculations'!$L$33*(1+$C$3)^AF$194</f>
        <v>1690.7617784459719</v>
      </c>
      <c r="AG151" s="85">
        <f>-'Annual Calculations'!$L$33*(1+$C$3)^AG$194</f>
        <v>1756.7014878053651</v>
      </c>
      <c r="AH151" s="85">
        <f>-'Annual Calculations'!$L$33*(1+$C$3)^AH$194</f>
        <v>1825.2128458297734</v>
      </c>
      <c r="AI151" s="85">
        <f>-'Annual Calculations'!$L$33*(1+$C$3)^AI$194</f>
        <v>1896.3961468171346</v>
      </c>
      <c r="AJ151" s="85">
        <f>-'Annual Calculations'!$L$33*(1+$C$3)^AJ$194</f>
        <v>1970.3555965430028</v>
      </c>
      <c r="AK151" s="85">
        <f>-'Annual Calculations'!$L$33*(1+$C$3)^AK$194</f>
        <v>2047.1994648081795</v>
      </c>
      <c r="AL151" s="85">
        <f>-'Annual Calculations'!$L$33*(1+$C$3)^AL$194</f>
        <v>2127.0402439356981</v>
      </c>
      <c r="AM151" s="85">
        <f>-'Annual Calculations'!$L$33*(1+$C$3)^AM$194</f>
        <v>2209.9948134491906</v>
      </c>
      <c r="AN151" s="85">
        <f>-'Annual Calculations'!$L$33*(1+$C$3)^AN$194</f>
        <v>2296.1846111737082</v>
      </c>
      <c r="AO151" s="85">
        <f>-'Annual Calculations'!$L$33*(1+$C$3)^AO$194</f>
        <v>2385.7358110094824</v>
      </c>
      <c r="AP151" s="85">
        <f>-'Annual Calculations'!$L$33*(1+$C$3)^AP$194</f>
        <v>2478.779507638852</v>
      </c>
      <c r="AQ151" s="85">
        <f>-'Annual Calculations'!$L$33*(1+$C$3)^AQ$194</f>
        <v>2575.4519084367671</v>
      </c>
      <c r="AR151" s="85">
        <f>-'Annual Calculations'!$L$33*(1+$C$3)^AR$194</f>
        <v>2675.8945328658006</v>
      </c>
      <c r="AS151" s="85">
        <f>-'Annual Calculations'!$L$33*(1+$C$3)^AS$194</f>
        <v>2780.2544196475665</v>
      </c>
      <c r="AT151" s="85">
        <f>-'Annual Calculations'!$L$33*(1+$C$3)^AT$194</f>
        <v>2888.6843420138207</v>
      </c>
      <c r="AU151" s="85">
        <f>-'Annual Calculations'!$L$33*(1+$C$3)^AU$194</f>
        <v>3001.34303135236</v>
      </c>
      <c r="AV151" s="85">
        <f>-'Annual Calculations'!$L$33*(1+$C$3)^AV$194</f>
        <v>3118.395409575101</v>
      </c>
      <c r="AW151" s="85">
        <f>-'Annual Calculations'!$L$33*(1+$C$3)^AW$194</f>
        <v>3240.01283054853</v>
      </c>
      <c r="AX151" s="85">
        <f>-'Annual Calculations'!$L$33*(1+$C$3)^AX$194</f>
        <v>3366.3733309399213</v>
      </c>
      <c r="AY151" s="85">
        <f>-'Annual Calculations'!$L$33*(1+$C$3)^AY$194</f>
        <v>3497.6618908465784</v>
      </c>
      <c r="AZ151" s="85">
        <f>-'Annual Calculations'!$L$33*(1+$C$3)^AZ$194</f>
        <v>3634.0707045895947</v>
      </c>
      <c r="BA151" s="85">
        <f>-'Annual Calculations'!$L$33*(1+$C$3)^BA$194</f>
        <v>3775.7994620685886</v>
      </c>
      <c r="BB151" s="85">
        <f>-'Annual Calculations'!$L$33*(1+$C$3)^BB$194</f>
        <v>3923.0556410892632</v>
      </c>
    </row>
    <row r="152" spans="1:54" s="83" customFormat="1" x14ac:dyDescent="0.25">
      <c r="A152" s="179"/>
      <c r="B152" s="83" t="s">
        <v>358</v>
      </c>
      <c r="C152" s="84" t="s">
        <v>362</v>
      </c>
      <c r="D152" s="85">
        <f>SUM(D149:D151)</f>
        <v>-9151.0515999999989</v>
      </c>
      <c r="E152" s="85">
        <f>SUM(E149:E151)</f>
        <v>1108.7913293274314</v>
      </c>
      <c r="F152" s="85">
        <f t="shared" ref="F152:BB152" si="864">SUM(F149:F151)</f>
        <v>1152.0341911712012</v>
      </c>
      <c r="G152" s="85">
        <f t="shared" si="864"/>
        <v>1196.9635246268779</v>
      </c>
      <c r="H152" s="85">
        <f t="shared" si="864"/>
        <v>1243.6451020873258</v>
      </c>
      <c r="I152" s="85">
        <f t="shared" si="864"/>
        <v>1277.0120754758664</v>
      </c>
      <c r="J152" s="85">
        <f t="shared" si="864"/>
        <v>1342.5410042504116</v>
      </c>
      <c r="K152" s="85">
        <f t="shared" si="864"/>
        <v>1394.9001034161774</v>
      </c>
      <c r="L152" s="85">
        <f t="shared" si="864"/>
        <v>1449.3012074494081</v>
      </c>
      <c r="M152" s="85">
        <f t="shared" si="864"/>
        <v>1505.8239545399351</v>
      </c>
      <c r="N152" s="85">
        <f t="shared" si="864"/>
        <v>-10143.649061096963</v>
      </c>
      <c r="O152" s="85">
        <f t="shared" si="864"/>
        <v>1625.5685812289048</v>
      </c>
      <c r="P152" s="85">
        <f t="shared" si="864"/>
        <v>1688.9657558968315</v>
      </c>
      <c r="Q152" s="85">
        <f t="shared" si="864"/>
        <v>1754.8354203768081</v>
      </c>
      <c r="R152" s="85">
        <f t="shared" si="864"/>
        <v>1823.274001771503</v>
      </c>
      <c r="S152" s="85">
        <f t="shared" si="864"/>
        <v>1872.1924070263617</v>
      </c>
      <c r="T152" s="85">
        <f t="shared" si="864"/>
        <v>1294.6975462953596</v>
      </c>
      <c r="U152" s="85">
        <f t="shared" si="864"/>
        <v>2045.024814039363</v>
      </c>
      <c r="V152" s="85">
        <f t="shared" si="864"/>
        <v>2124.7807817868975</v>
      </c>
      <c r="W152" s="85">
        <f t="shared" si="864"/>
        <v>2207.6472322765862</v>
      </c>
      <c r="X152" s="85">
        <f t="shared" si="864"/>
        <v>-14871.32589928647</v>
      </c>
      <c r="Y152" s="85">
        <f t="shared" si="864"/>
        <v>2383.201547834452</v>
      </c>
      <c r="Z152" s="85">
        <f t="shared" si="864"/>
        <v>2476.1464081999948</v>
      </c>
      <c r="AA152" s="85">
        <f t="shared" si="864"/>
        <v>2572.7161181197953</v>
      </c>
      <c r="AB152" s="85">
        <f t="shared" si="864"/>
        <v>2673.0520467264664</v>
      </c>
      <c r="AC152" s="85">
        <f t="shared" si="864"/>
        <v>-7666.4057424095899</v>
      </c>
      <c r="AD152" s="85">
        <f t="shared" si="864"/>
        <v>2885.615818534201</v>
      </c>
      <c r="AE152" s="85">
        <f t="shared" si="864"/>
        <v>2998.1548354570341</v>
      </c>
      <c r="AF152" s="85">
        <f t="shared" si="864"/>
        <v>3115.0828740398583</v>
      </c>
      <c r="AG152" s="85">
        <f t="shared" si="864"/>
        <v>3236.5711061274133</v>
      </c>
      <c r="AH152" s="85">
        <f t="shared" si="864"/>
        <v>-17548.416807038244</v>
      </c>
      <c r="AI152" s="85">
        <f t="shared" si="864"/>
        <v>3493.9464770577697</v>
      </c>
      <c r="AJ152" s="85">
        <f t="shared" si="864"/>
        <v>2387.9052251030112</v>
      </c>
      <c r="AK152" s="85">
        <f t="shared" si="864"/>
        <v>3771.7885948598796</v>
      </c>
      <c r="AL152" s="85">
        <f t="shared" si="864"/>
        <v>3918.8883500594138</v>
      </c>
      <c r="AM152" s="85">
        <f t="shared" si="864"/>
        <v>4024.032046657122</v>
      </c>
      <c r="AN152" s="85">
        <f t="shared" si="864"/>
        <v>4230.5222705444876</v>
      </c>
      <c r="AO152" s="85">
        <f t="shared" si="864"/>
        <v>4395.5126390957221</v>
      </c>
      <c r="AP152" s="85">
        <f t="shared" si="864"/>
        <v>4566.9376320204537</v>
      </c>
      <c r="AQ152" s="85">
        <f t="shared" si="864"/>
        <v>4745.0481996692524</v>
      </c>
      <c r="AR152" s="85">
        <f t="shared" si="864"/>
        <v>-51598.057175323236</v>
      </c>
      <c r="AS152" s="85">
        <f t="shared" si="864"/>
        <v>5122.379177555149</v>
      </c>
      <c r="AT152" s="85">
        <f t="shared" si="864"/>
        <v>5322.1519654797985</v>
      </c>
      <c r="AU152" s="85">
        <f t="shared" si="864"/>
        <v>5529.7158921335104</v>
      </c>
      <c r="AV152" s="85">
        <f t="shared" si="864"/>
        <v>5745.3748119267166</v>
      </c>
      <c r="AW152" s="85">
        <f t="shared" si="864"/>
        <v>5899.5231040198487</v>
      </c>
      <c r="AX152" s="85">
        <f t="shared" si="864"/>
        <v>6202.2527623459382</v>
      </c>
      <c r="AY152" s="85">
        <f t="shared" si="864"/>
        <v>6444.1406200774309</v>
      </c>
      <c r="AZ152" s="85">
        <f t="shared" si="864"/>
        <v>6695.4621042604495</v>
      </c>
      <c r="BA152" s="85">
        <f t="shared" si="864"/>
        <v>6956.5851263266068</v>
      </c>
      <c r="BB152" s="85">
        <f t="shared" si="864"/>
        <v>7143.2301670988236</v>
      </c>
    </row>
    <row r="153" spans="1:54" s="83" customFormat="1" x14ac:dyDescent="0.25">
      <c r="A153" s="179"/>
      <c r="B153" s="83" t="s">
        <v>359</v>
      </c>
      <c r="C153" s="84"/>
      <c r="D153" s="83">
        <f t="shared" ref="D153:AI153" si="865">(1+$C$2)^D$194</f>
        <v>1</v>
      </c>
      <c r="E153" s="86">
        <f t="shared" si="865"/>
        <v>1.1219999999999999</v>
      </c>
      <c r="F153" s="86">
        <f t="shared" si="865"/>
        <v>1.2588839999999997</v>
      </c>
      <c r="G153" s="86">
        <f t="shared" si="865"/>
        <v>1.4124678479999995</v>
      </c>
      <c r="H153" s="86">
        <f t="shared" si="865"/>
        <v>1.5847889254559993</v>
      </c>
      <c r="I153" s="86">
        <f t="shared" si="865"/>
        <v>1.7781331743616309</v>
      </c>
      <c r="J153" s="86">
        <f t="shared" si="865"/>
        <v>1.9950654216337496</v>
      </c>
      <c r="K153" s="86">
        <f t="shared" si="865"/>
        <v>2.2384634030730668</v>
      </c>
      <c r="L153" s="86">
        <f t="shared" si="865"/>
        <v>2.5115559382479806</v>
      </c>
      <c r="M153" s="86">
        <f t="shared" si="865"/>
        <v>2.817965762714234</v>
      </c>
      <c r="N153" s="86">
        <f t="shared" si="865"/>
        <v>3.1617575857653701</v>
      </c>
      <c r="O153" s="86">
        <f t="shared" si="865"/>
        <v>3.5474920112287447</v>
      </c>
      <c r="P153" s="86">
        <f t="shared" si="865"/>
        <v>3.9802860365986512</v>
      </c>
      <c r="Q153" s="86">
        <f t="shared" si="865"/>
        <v>4.4658809330636862</v>
      </c>
      <c r="R153" s="86">
        <f t="shared" si="865"/>
        <v>5.0107184068974551</v>
      </c>
      <c r="S153" s="86">
        <f t="shared" si="865"/>
        <v>5.6220260525389438</v>
      </c>
      <c r="T153" s="86">
        <f t="shared" si="865"/>
        <v>6.307913230948694</v>
      </c>
      <c r="U153" s="86">
        <f t="shared" si="865"/>
        <v>7.077478645124434</v>
      </c>
      <c r="V153" s="86">
        <f t="shared" si="865"/>
        <v>7.9409310398296133</v>
      </c>
      <c r="W153" s="86">
        <f t="shared" si="865"/>
        <v>8.9097246266888259</v>
      </c>
      <c r="X153" s="86">
        <f t="shared" si="865"/>
        <v>9.9967110311448621</v>
      </c>
      <c r="Y153" s="86">
        <f t="shared" si="865"/>
        <v>11.216309776944533</v>
      </c>
      <c r="Z153" s="86">
        <f t="shared" si="865"/>
        <v>12.584699569731765</v>
      </c>
      <c r="AA153" s="86">
        <f t="shared" si="865"/>
        <v>14.120032917239037</v>
      </c>
      <c r="AB153" s="86">
        <f t="shared" si="865"/>
        <v>15.842676933142199</v>
      </c>
      <c r="AC153" s="86">
        <f t="shared" si="865"/>
        <v>17.775483518985546</v>
      </c>
      <c r="AD153" s="86">
        <f t="shared" si="865"/>
        <v>19.944092508301779</v>
      </c>
      <c r="AE153" s="86">
        <f t="shared" si="865"/>
        <v>22.377271794314591</v>
      </c>
      <c r="AF153" s="86">
        <f t="shared" si="865"/>
        <v>25.107298953220969</v>
      </c>
      <c r="AG153" s="86">
        <f t="shared" si="865"/>
        <v>28.170389425513925</v>
      </c>
      <c r="AH153" s="86">
        <f t="shared" si="865"/>
        <v>31.607176935426619</v>
      </c>
      <c r="AI153" s="86">
        <f t="shared" si="865"/>
        <v>35.463252521548661</v>
      </c>
      <c r="AJ153" s="86">
        <f t="shared" ref="AJ153:BB153" si="866">(1+$C$2)^AJ$194</f>
        <v>39.789769329177595</v>
      </c>
      <c r="AK153" s="86">
        <f t="shared" si="866"/>
        <v>44.644121187337255</v>
      </c>
      <c r="AL153" s="86">
        <f t="shared" si="866"/>
        <v>50.090703972192394</v>
      </c>
      <c r="AM153" s="86">
        <f t="shared" si="866"/>
        <v>56.201769856799864</v>
      </c>
      <c r="AN153" s="86">
        <f t="shared" si="866"/>
        <v>63.058385779329434</v>
      </c>
      <c r="AO153" s="86">
        <f t="shared" si="866"/>
        <v>70.751508844407624</v>
      </c>
      <c r="AP153" s="86">
        <f t="shared" si="866"/>
        <v>79.383192923425341</v>
      </c>
      <c r="AQ153" s="86">
        <f t="shared" si="866"/>
        <v>89.067942460083216</v>
      </c>
      <c r="AR153" s="86">
        <f t="shared" si="866"/>
        <v>99.934231440213352</v>
      </c>
      <c r="AS153" s="86">
        <f t="shared" si="866"/>
        <v>112.12620767591937</v>
      </c>
      <c r="AT153" s="86">
        <f t="shared" si="866"/>
        <v>125.80560501238152</v>
      </c>
      <c r="AU153" s="86">
        <f t="shared" si="866"/>
        <v>141.15388882389203</v>
      </c>
      <c r="AV153" s="86">
        <f t="shared" si="866"/>
        <v>158.37466326040686</v>
      </c>
      <c r="AW153" s="86">
        <f t="shared" si="866"/>
        <v>177.69637217817649</v>
      </c>
      <c r="AX153" s="86">
        <f t="shared" si="866"/>
        <v>199.37532958391398</v>
      </c>
      <c r="AY153" s="86">
        <f t="shared" si="866"/>
        <v>223.69911979315145</v>
      </c>
      <c r="AZ153" s="86">
        <f t="shared" si="866"/>
        <v>250.9904124079159</v>
      </c>
      <c r="BA153" s="86">
        <f t="shared" si="866"/>
        <v>281.61124272168161</v>
      </c>
      <c r="BB153" s="86">
        <f t="shared" si="866"/>
        <v>315.96781433372672</v>
      </c>
    </row>
    <row r="154" spans="1:54" s="83" customFormat="1" x14ac:dyDescent="0.25">
      <c r="A154" s="179"/>
      <c r="B154" s="83" t="s">
        <v>360</v>
      </c>
      <c r="C154" s="84" t="s">
        <v>362</v>
      </c>
      <c r="D154" s="83">
        <f>D152/D153</f>
        <v>-9151.0515999999989</v>
      </c>
      <c r="E154" s="85">
        <f>E152/E153</f>
        <v>988.22756624548265</v>
      </c>
      <c r="F154" s="85">
        <f>F152/F153</f>
        <v>915.12338799381155</v>
      </c>
      <c r="G154" s="85">
        <f t="shared" ref="G154:BB154" si="867">G152/G153</f>
        <v>847.42709458606964</v>
      </c>
      <c r="H154" s="85">
        <f t="shared" si="867"/>
        <v>784.73863749993427</v>
      </c>
      <c r="I154" s="85">
        <f t="shared" si="867"/>
        <v>718.17572153127821</v>
      </c>
      <c r="J154" s="85">
        <f t="shared" si="867"/>
        <v>672.93081705110762</v>
      </c>
      <c r="K154" s="85">
        <f t="shared" si="867"/>
        <v>623.15072987174756</v>
      </c>
      <c r="L154" s="85">
        <f t="shared" si="867"/>
        <v>577.05312685984461</v>
      </c>
      <c r="M154" s="85">
        <f t="shared" si="867"/>
        <v>534.36559608500772</v>
      </c>
      <c r="N154" s="85">
        <f t="shared" si="867"/>
        <v>-3208.2311138478626</v>
      </c>
      <c r="O154" s="85">
        <f t="shared" si="867"/>
        <v>458.23037122664488</v>
      </c>
      <c r="P154" s="85">
        <f t="shared" si="867"/>
        <v>424.33275909490544</v>
      </c>
      <c r="Q154" s="85">
        <f t="shared" si="867"/>
        <v>392.9427243312004</v>
      </c>
      <c r="R154" s="85">
        <f t="shared" si="867"/>
        <v>363.87476878798321</v>
      </c>
      <c r="S154" s="85">
        <f t="shared" si="867"/>
        <v>333.01026881240927</v>
      </c>
      <c r="T154" s="85">
        <f t="shared" si="867"/>
        <v>205.24973931840856</v>
      </c>
      <c r="U154" s="85">
        <f t="shared" si="867"/>
        <v>288.9482139869329</v>
      </c>
      <c r="V154" s="85">
        <f t="shared" si="867"/>
        <v>267.57325698076937</v>
      </c>
      <c r="W154" s="85">
        <f t="shared" si="867"/>
        <v>247.77951337167502</v>
      </c>
      <c r="X154" s="85">
        <f t="shared" si="867"/>
        <v>-1487.6218641265805</v>
      </c>
      <c r="Y154" s="85">
        <f t="shared" si="867"/>
        <v>212.47643790413096</v>
      </c>
      <c r="Z154" s="85">
        <f t="shared" si="867"/>
        <v>196.75848394152587</v>
      </c>
      <c r="AA154" s="85">
        <f t="shared" si="867"/>
        <v>182.20326632374818</v>
      </c>
      <c r="AB154" s="85">
        <f t="shared" si="867"/>
        <v>168.72477157787372</v>
      </c>
      <c r="AC154" s="85">
        <f t="shared" si="867"/>
        <v>-431.29098199895913</v>
      </c>
      <c r="AD154" s="85">
        <f t="shared" si="867"/>
        <v>144.68524037045336</v>
      </c>
      <c r="AE154" s="85">
        <f t="shared" si="867"/>
        <v>133.98214326640021</v>
      </c>
      <c r="AF154" s="85">
        <f t="shared" si="867"/>
        <v>124.07080824758452</v>
      </c>
      <c r="AG154" s="85">
        <f t="shared" si="867"/>
        <v>114.89266467846733</v>
      </c>
      <c r="AH154" s="85">
        <f t="shared" si="867"/>
        <v>-555.20354895628975</v>
      </c>
      <c r="AI154" s="85">
        <f t="shared" si="867"/>
        <v>98.523012657531368</v>
      </c>
      <c r="AJ154" s="85">
        <f t="shared" si="867"/>
        <v>60.01304519631821</v>
      </c>
      <c r="AK154" s="85">
        <f t="shared" si="867"/>
        <v>84.485672347151052</v>
      </c>
      <c r="AL154" s="85">
        <f t="shared" si="867"/>
        <v>78.235840970311884</v>
      </c>
      <c r="AM154" s="85">
        <f t="shared" si="867"/>
        <v>71.599738885629662</v>
      </c>
      <c r="AN154" s="85">
        <f t="shared" si="867"/>
        <v>67.088971883121914</v>
      </c>
      <c r="AO154" s="85">
        <f t="shared" si="867"/>
        <v>62.126062198363343</v>
      </c>
      <c r="AP154" s="85">
        <f t="shared" si="867"/>
        <v>57.530283978698307</v>
      </c>
      <c r="AQ154" s="85">
        <f t="shared" si="867"/>
        <v>53.274478657635974</v>
      </c>
      <c r="AR154" s="85">
        <f t="shared" si="867"/>
        <v>-516.32014807851192</v>
      </c>
      <c r="AS154" s="85">
        <f t="shared" si="867"/>
        <v>45.684049106168509</v>
      </c>
      <c r="AT154" s="85">
        <f t="shared" si="867"/>
        <v>42.304569537708623</v>
      </c>
      <c r="AU154" s="85">
        <f t="shared" si="867"/>
        <v>39.175087120926264</v>
      </c>
      <c r="AV154" s="85">
        <f t="shared" si="867"/>
        <v>36.277108305385369</v>
      </c>
      <c r="AW154" s="85">
        <f t="shared" si="867"/>
        <v>33.200019964979283</v>
      </c>
      <c r="AX154" s="85">
        <f t="shared" si="867"/>
        <v>31.108426379982514</v>
      </c>
      <c r="AY154" s="85">
        <f t="shared" si="867"/>
        <v>28.807179152229807</v>
      </c>
      <c r="AZ154" s="85">
        <f t="shared" si="867"/>
        <v>26.67616679070122</v>
      </c>
      <c r="BA154" s="85">
        <f t="shared" si="867"/>
        <v>24.702796163581613</v>
      </c>
      <c r="BB154" s="85">
        <f t="shared" si="867"/>
        <v>22.607461402869692</v>
      </c>
    </row>
    <row r="155" spans="1:54" s="83" customFormat="1" x14ac:dyDescent="0.25">
      <c r="A155" s="179"/>
      <c r="B155" s="83" t="s">
        <v>645</v>
      </c>
      <c r="C155" s="84" t="s">
        <v>362</v>
      </c>
      <c r="D155" s="83">
        <f>D154</f>
        <v>-9151.0515999999989</v>
      </c>
      <c r="E155" s="85">
        <f>E154+D155</f>
        <v>-8162.8240337545158</v>
      </c>
      <c r="F155" s="85">
        <f t="shared" ref="F155" si="868">F154+E155</f>
        <v>-7247.700645760704</v>
      </c>
      <c r="G155" s="85">
        <f t="shared" ref="G155" si="869">G154+F155</f>
        <v>-6400.2735511746341</v>
      </c>
      <c r="H155" s="85">
        <f t="shared" ref="H155" si="870">H154+G155</f>
        <v>-5615.5349136747</v>
      </c>
      <c r="I155" s="85">
        <f t="shared" ref="I155" si="871">I154+H155</f>
        <v>-4897.3591921434218</v>
      </c>
      <c r="J155" s="85">
        <f t="shared" ref="J155" si="872">J154+I155</f>
        <v>-4224.4283750923141</v>
      </c>
      <c r="K155" s="85">
        <f t="shared" ref="K155" si="873">K154+J155</f>
        <v>-3601.2776452205667</v>
      </c>
      <c r="L155" s="85">
        <f t="shared" ref="L155" si="874">L154+K155</f>
        <v>-3024.224518360722</v>
      </c>
      <c r="M155" s="85">
        <f t="shared" ref="M155" si="875">M154+L155</f>
        <v>-2489.8589222757141</v>
      </c>
      <c r="N155" s="85">
        <f t="shared" ref="N155" si="876">N154+M155</f>
        <v>-5698.0900361235763</v>
      </c>
      <c r="O155" s="85">
        <f t="shared" ref="O155" si="877">O154+N155</f>
        <v>-5239.8596648969315</v>
      </c>
      <c r="P155" s="85">
        <f t="shared" ref="P155" si="878">P154+O155</f>
        <v>-4815.5269058020258</v>
      </c>
      <c r="Q155" s="85">
        <f t="shared" ref="Q155" si="879">Q154+P155</f>
        <v>-4422.5841814708256</v>
      </c>
      <c r="R155" s="85">
        <f t="shared" ref="R155" si="880">R154+Q155</f>
        <v>-4058.7094126828424</v>
      </c>
      <c r="S155" s="85">
        <f t="shared" ref="S155" si="881">S154+R155</f>
        <v>-3725.6991438704331</v>
      </c>
      <c r="T155" s="85">
        <f t="shared" ref="T155" si="882">T154+S155</f>
        <v>-3520.4494045520246</v>
      </c>
      <c r="U155" s="85">
        <f t="shared" ref="U155" si="883">U154+T155</f>
        <v>-3231.5011905650917</v>
      </c>
      <c r="V155" s="85">
        <f t="shared" ref="V155" si="884">V154+U155</f>
        <v>-2963.9279335843225</v>
      </c>
      <c r="W155" s="85">
        <f t="shared" ref="W155" si="885">W154+V155</f>
        <v>-2716.1484202126476</v>
      </c>
      <c r="X155" s="85">
        <f t="shared" ref="X155" si="886">X154+W155</f>
        <v>-4203.7702843392281</v>
      </c>
      <c r="Y155" s="85">
        <f t="shared" ref="Y155" si="887">Y154+X155</f>
        <v>-3991.2938464350973</v>
      </c>
      <c r="Z155" s="85">
        <f t="shared" ref="Z155" si="888">Z154+Y155</f>
        <v>-3794.5353624935715</v>
      </c>
      <c r="AA155" s="85">
        <f t="shared" ref="AA155" si="889">AA154+Z155</f>
        <v>-3612.3320961698232</v>
      </c>
      <c r="AB155" s="85">
        <f t="shared" ref="AB155" si="890">AB154+AA155</f>
        <v>-3443.6073245919497</v>
      </c>
      <c r="AC155" s="85">
        <f t="shared" ref="AC155" si="891">AC154+AB155</f>
        <v>-3874.8983065909088</v>
      </c>
      <c r="AD155" s="85">
        <f t="shared" ref="AD155" si="892">AD154+AC155</f>
        <v>-3730.2130662204554</v>
      </c>
      <c r="AE155" s="85">
        <f t="shared" ref="AE155" si="893">AE154+AD155</f>
        <v>-3596.2309229540551</v>
      </c>
      <c r="AF155" s="85">
        <f t="shared" ref="AF155" si="894">AF154+AE155</f>
        <v>-3472.1601147064707</v>
      </c>
      <c r="AG155" s="85">
        <f t="shared" ref="AG155" si="895">AG154+AF155</f>
        <v>-3357.2674500280036</v>
      </c>
      <c r="AH155" s="85">
        <f t="shared" ref="AH155" si="896">AH154+AG155</f>
        <v>-3912.4709989842931</v>
      </c>
      <c r="AI155" s="85">
        <f t="shared" ref="AI155" si="897">AI154+AH155</f>
        <v>-3813.9479863267616</v>
      </c>
      <c r="AJ155" s="85">
        <f t="shared" ref="AJ155" si="898">AJ154+AI155</f>
        <v>-3753.9349411304433</v>
      </c>
      <c r="AK155" s="85">
        <f t="shared" ref="AK155" si="899">AK154+AJ155</f>
        <v>-3669.4492687832922</v>
      </c>
      <c r="AL155" s="85">
        <f t="shared" ref="AL155" si="900">AL154+AK155</f>
        <v>-3591.2134278129802</v>
      </c>
      <c r="AM155" s="85">
        <f t="shared" ref="AM155" si="901">AM154+AL155</f>
        <v>-3519.6136889273507</v>
      </c>
      <c r="AN155" s="85">
        <f t="shared" ref="AN155" si="902">AN154+AM155</f>
        <v>-3452.524717044229</v>
      </c>
      <c r="AO155" s="85">
        <f t="shared" ref="AO155" si="903">AO154+AN155</f>
        <v>-3390.3986548458656</v>
      </c>
      <c r="AP155" s="85">
        <f t="shared" ref="AP155" si="904">AP154+AO155</f>
        <v>-3332.8683708671674</v>
      </c>
      <c r="AQ155" s="85">
        <f t="shared" ref="AQ155" si="905">AQ154+AP155</f>
        <v>-3279.5938922095315</v>
      </c>
      <c r="AR155" s="85">
        <f t="shared" ref="AR155" si="906">AR154+AQ155</f>
        <v>-3795.9140402880435</v>
      </c>
      <c r="AS155" s="85">
        <f t="shared" ref="AS155" si="907">AS154+AR155</f>
        <v>-3750.229991181875</v>
      </c>
      <c r="AT155" s="85">
        <f t="shared" ref="AT155" si="908">AT154+AS155</f>
        <v>-3707.9254216441664</v>
      </c>
      <c r="AU155" s="85">
        <f t="shared" ref="AU155" si="909">AU154+AT155</f>
        <v>-3668.7503345232399</v>
      </c>
      <c r="AV155" s="85">
        <f t="shared" ref="AV155" si="910">AV154+AU155</f>
        <v>-3632.4732262178545</v>
      </c>
      <c r="AW155" s="85">
        <f t="shared" ref="AW155" si="911">AW154+AV155</f>
        <v>-3599.2732062528753</v>
      </c>
      <c r="AX155" s="85">
        <f t="shared" ref="AX155" si="912">AX154+AW155</f>
        <v>-3568.1647798728927</v>
      </c>
      <c r="AY155" s="85">
        <f t="shared" ref="AY155" si="913">AY154+AX155</f>
        <v>-3539.357600720663</v>
      </c>
      <c r="AZ155" s="85">
        <f t="shared" ref="AZ155" si="914">AZ154+AY155</f>
        <v>-3512.6814339299617</v>
      </c>
      <c r="BA155" s="85">
        <f t="shared" ref="BA155" si="915">BA154+AZ155</f>
        <v>-3487.97863776638</v>
      </c>
      <c r="BB155" s="85">
        <f t="shared" ref="BB155" si="916">BB154+BA155</f>
        <v>-3465.3711763635101</v>
      </c>
    </row>
    <row r="156" spans="1:54" s="83" customFormat="1" x14ac:dyDescent="0.25">
      <c r="B156" s="87" t="s">
        <v>361</v>
      </c>
      <c r="C156" s="88" t="s">
        <v>362</v>
      </c>
      <c r="D156" s="91">
        <f>SUM(D154:BB154)</f>
        <v>-3465.3711763635101</v>
      </c>
    </row>
    <row r="157" spans="1:54" s="83" customFormat="1" x14ac:dyDescent="0.25">
      <c r="C157" s="132"/>
      <c r="E157" s="133"/>
    </row>
    <row r="158" spans="1:54" s="83" customFormat="1" x14ac:dyDescent="0.25">
      <c r="B158" s="83" t="s">
        <v>646</v>
      </c>
      <c r="C158" s="132" t="s">
        <v>362</v>
      </c>
      <c r="D158" s="83">
        <f>D155*'General variables'!$B$11</f>
        <v>-73208.412799999991</v>
      </c>
      <c r="E158" s="83">
        <f>E155*'General variables'!$B$11</f>
        <v>-65302.592270036126</v>
      </c>
      <c r="F158" s="83">
        <f>F155*'General variables'!$B$11</f>
        <v>-57981.605166085632</v>
      </c>
      <c r="G158" s="83">
        <f>G155*'General variables'!$B$11</f>
        <v>-51202.188409397073</v>
      </c>
      <c r="H158" s="83">
        <f>H155*'General variables'!$B$11</f>
        <v>-44924.2793093976</v>
      </c>
      <c r="I158" s="83">
        <f>I155*'General variables'!$B$11</f>
        <v>-39178.873537147374</v>
      </c>
      <c r="J158" s="83">
        <f>J155*'General variables'!$B$11</f>
        <v>-33795.427000738513</v>
      </c>
      <c r="K158" s="83">
        <f>K155*'General variables'!$B$11</f>
        <v>-28810.221161764533</v>
      </c>
      <c r="L158" s="83">
        <f>L155*'General variables'!$B$11</f>
        <v>-24193.796146885776</v>
      </c>
      <c r="M158" s="83">
        <f>M155*'General variables'!$B$11</f>
        <v>-19918.871378205713</v>
      </c>
      <c r="N158" s="83">
        <f>N155*'General variables'!$B$11</f>
        <v>-45584.72028898861</v>
      </c>
      <c r="O158" s="83">
        <f>O155*'General variables'!$B$11</f>
        <v>-41918.877319175452</v>
      </c>
      <c r="P158" s="83">
        <f>P155*'General variables'!$B$11</f>
        <v>-38524.215246416206</v>
      </c>
      <c r="Q158" s="83">
        <f>Q155*'General variables'!$B$11</f>
        <v>-35380.673451766605</v>
      </c>
      <c r="R158" s="83">
        <f>R155*'General variables'!$B$11</f>
        <v>-32469.675301462739</v>
      </c>
      <c r="S158" s="83">
        <f>S155*'General variables'!$B$11</f>
        <v>-29805.593150963465</v>
      </c>
      <c r="T158" s="83">
        <f>T155*'General variables'!$B$11</f>
        <v>-28163.595236416197</v>
      </c>
      <c r="U158" s="83">
        <f>U155*'General variables'!$B$11</f>
        <v>-25852.009524520734</v>
      </c>
      <c r="V158" s="83">
        <f>V155*'General variables'!$B$11</f>
        <v>-23711.42346867458</v>
      </c>
      <c r="W158" s="83">
        <f>W155*'General variables'!$B$11</f>
        <v>-21729.187361701181</v>
      </c>
      <c r="X158" s="83">
        <f>X155*'General variables'!$B$11</f>
        <v>-33630.162274713824</v>
      </c>
      <c r="Y158" s="83">
        <f>Y155*'General variables'!$B$11</f>
        <v>-31930.350771480778</v>
      </c>
      <c r="Z158" s="83">
        <f>Z155*'General variables'!$B$11</f>
        <v>-30356.282899948572</v>
      </c>
      <c r="AA158" s="83">
        <f>AA155*'General variables'!$B$11</f>
        <v>-28898.656769358586</v>
      </c>
      <c r="AB158" s="83">
        <f>AB155*'General variables'!$B$11</f>
        <v>-27548.858596735598</v>
      </c>
      <c r="AC158" s="83">
        <f>AC155*'General variables'!$B$11</f>
        <v>-30999.18645272727</v>
      </c>
      <c r="AD158" s="83">
        <f>AD155*'General variables'!$B$11</f>
        <v>-29841.704529763643</v>
      </c>
      <c r="AE158" s="83">
        <f>AE155*'General variables'!$B$11</f>
        <v>-28769.847383632441</v>
      </c>
      <c r="AF158" s="83">
        <f>AF155*'General variables'!$B$11</f>
        <v>-27777.280917651766</v>
      </c>
      <c r="AG158" s="83">
        <f>AG155*'General variables'!$B$11</f>
        <v>-26858.139600224029</v>
      </c>
      <c r="AH158" s="83">
        <f>AH155*'General variables'!$B$11</f>
        <v>-31299.767991874345</v>
      </c>
      <c r="AI158" s="83">
        <f>AI155*'General variables'!$B$11</f>
        <v>-30511.583890614093</v>
      </c>
      <c r="AJ158" s="83">
        <f>AJ155*'General variables'!$B$11</f>
        <v>-30031.479529043547</v>
      </c>
      <c r="AK158" s="83">
        <f>AK155*'General variables'!$B$11</f>
        <v>-29355.594150266337</v>
      </c>
      <c r="AL158" s="83">
        <f>AL155*'General variables'!$B$11</f>
        <v>-28729.707422503841</v>
      </c>
      <c r="AM158" s="83">
        <f>AM155*'General variables'!$B$11</f>
        <v>-28156.909511418806</v>
      </c>
      <c r="AN158" s="83">
        <f>AN155*'General variables'!$B$11</f>
        <v>-27620.197736353832</v>
      </c>
      <c r="AO158" s="83">
        <f>AO155*'General variables'!$B$11</f>
        <v>-27123.189238766925</v>
      </c>
      <c r="AP158" s="83">
        <f>AP155*'General variables'!$B$11</f>
        <v>-26662.946966937339</v>
      </c>
      <c r="AQ158" s="83">
        <f>AQ155*'General variables'!$B$11</f>
        <v>-26236.751137676252</v>
      </c>
      <c r="AR158" s="83">
        <f>AR155*'General variables'!$B$11</f>
        <v>-30367.312322304348</v>
      </c>
      <c r="AS158" s="83">
        <f>AS155*'General variables'!$B$11</f>
        <v>-30001.839929455</v>
      </c>
      <c r="AT158" s="83">
        <f>AT155*'General variables'!$B$11</f>
        <v>-29663.403373153331</v>
      </c>
      <c r="AU158" s="83">
        <f>AU155*'General variables'!$B$11</f>
        <v>-29350.002676185919</v>
      </c>
      <c r="AV158" s="83">
        <f>AV155*'General variables'!$B$11</f>
        <v>-29059.785809742836</v>
      </c>
      <c r="AW158" s="83">
        <f>AW155*'General variables'!$B$11</f>
        <v>-28794.185650023002</v>
      </c>
      <c r="AX158" s="83">
        <f>AX155*'General variables'!$B$11</f>
        <v>-28545.318238983142</v>
      </c>
      <c r="AY158" s="83">
        <f>AY155*'General variables'!$B$11</f>
        <v>-28314.860805765304</v>
      </c>
      <c r="AZ158" s="83">
        <f>AZ155*'General variables'!$B$11</f>
        <v>-28101.451471439694</v>
      </c>
      <c r="BA158" s="83">
        <f>BA155*'General variables'!$B$11</f>
        <v>-27903.82910213104</v>
      </c>
      <c r="BB158" s="83">
        <f>BB155*'General variables'!$B$11</f>
        <v>-27722.969410908081</v>
      </c>
    </row>
    <row r="159" spans="1:54" x14ac:dyDescent="0.25">
      <c r="A159" s="180" t="s">
        <v>718</v>
      </c>
      <c r="B159" s="76" t="s">
        <v>363</v>
      </c>
      <c r="C159" s="77" t="s">
        <v>362</v>
      </c>
      <c r="D159" s="78">
        <f>D7+D15+D23+D31+D39+D71+D103+D111+D119+D127</f>
        <v>-4985.4891000000007</v>
      </c>
      <c r="E159" s="78">
        <f t="shared" ref="E159:BB159" si="917">E7+E15+E23+E31+E39+E71+E103+E111+E119+E127</f>
        <v>0</v>
      </c>
      <c r="F159" s="78">
        <f t="shared" si="917"/>
        <v>0</v>
      </c>
      <c r="G159" s="78">
        <f t="shared" si="917"/>
        <v>0</v>
      </c>
      <c r="H159" s="78">
        <f t="shared" si="917"/>
        <v>0</v>
      </c>
      <c r="I159" s="78">
        <f t="shared" si="917"/>
        <v>-15.135185592864978</v>
      </c>
      <c r="J159" s="78">
        <f t="shared" si="917"/>
        <v>0</v>
      </c>
      <c r="K159" s="78">
        <f t="shared" si="917"/>
        <v>0</v>
      </c>
      <c r="L159" s="78">
        <f t="shared" si="917"/>
        <v>0</v>
      </c>
      <c r="M159" s="78">
        <f t="shared" si="917"/>
        <v>0</v>
      </c>
      <c r="N159" s="78">
        <f t="shared" si="917"/>
        <v>-8263.4254512448988</v>
      </c>
      <c r="O159" s="78">
        <f t="shared" si="917"/>
        <v>0</v>
      </c>
      <c r="P159" s="78">
        <f t="shared" si="917"/>
        <v>0</v>
      </c>
      <c r="Q159" s="78">
        <f t="shared" si="917"/>
        <v>0</v>
      </c>
      <c r="R159" s="78">
        <f t="shared" si="917"/>
        <v>0</v>
      </c>
      <c r="S159" s="78">
        <f t="shared" si="917"/>
        <v>-22.189280814229935</v>
      </c>
      <c r="T159" s="78">
        <f t="shared" si="917"/>
        <v>-673.56502737101482</v>
      </c>
      <c r="U159" s="78">
        <f t="shared" si="917"/>
        <v>0</v>
      </c>
      <c r="V159" s="78">
        <f t="shared" si="917"/>
        <v>0</v>
      </c>
      <c r="W159" s="78">
        <f t="shared" si="917"/>
        <v>0</v>
      </c>
      <c r="X159" s="78">
        <f t="shared" si="917"/>
        <v>-12114.781592871053</v>
      </c>
      <c r="Y159" s="78">
        <f t="shared" si="917"/>
        <v>0</v>
      </c>
      <c r="Z159" s="78">
        <f t="shared" si="917"/>
        <v>0</v>
      </c>
      <c r="AA159" s="78">
        <f t="shared" si="917"/>
        <v>0</v>
      </c>
      <c r="AB159" s="78">
        <f t="shared" si="917"/>
        <v>0</v>
      </c>
      <c r="AC159" s="78">
        <f t="shared" si="917"/>
        <v>-8367.4309253048505</v>
      </c>
      <c r="AD159" s="78">
        <f t="shared" si="917"/>
        <v>0</v>
      </c>
      <c r="AE159" s="78">
        <f t="shared" si="917"/>
        <v>0</v>
      </c>
      <c r="AF159" s="78">
        <f t="shared" si="917"/>
        <v>0</v>
      </c>
      <c r="AG159" s="78">
        <f t="shared" si="917"/>
        <v>0</v>
      </c>
      <c r="AH159" s="78">
        <f t="shared" si="917"/>
        <v>-13507.122743174697</v>
      </c>
      <c r="AI159" s="78">
        <f t="shared" si="917"/>
        <v>0</v>
      </c>
      <c r="AJ159" s="78">
        <f t="shared" si="917"/>
        <v>-1242.305164560011</v>
      </c>
      <c r="AK159" s="78">
        <f t="shared" si="917"/>
        <v>0</v>
      </c>
      <c r="AL159" s="78">
        <f t="shared" si="917"/>
        <v>0</v>
      </c>
      <c r="AM159" s="78">
        <f t="shared" si="917"/>
        <v>-47.692949054609656</v>
      </c>
      <c r="AN159" s="78">
        <f t="shared" si="917"/>
        <v>0</v>
      </c>
      <c r="AO159" s="78">
        <f t="shared" si="917"/>
        <v>0</v>
      </c>
      <c r="AP159" s="78">
        <f t="shared" si="917"/>
        <v>0</v>
      </c>
      <c r="AQ159" s="78">
        <f t="shared" si="917"/>
        <v>0</v>
      </c>
      <c r="AR159" s="78">
        <f t="shared" si="917"/>
        <v>-45673.226700946863</v>
      </c>
      <c r="AS159" s="78">
        <f t="shared" si="917"/>
        <v>0</v>
      </c>
      <c r="AT159" s="78">
        <f t="shared" si="917"/>
        <v>0</v>
      </c>
      <c r="AU159" s="78">
        <f t="shared" si="917"/>
        <v>0</v>
      </c>
      <c r="AV159" s="78">
        <f t="shared" si="917"/>
        <v>0</v>
      </c>
      <c r="AW159" s="78">
        <f t="shared" si="917"/>
        <v>-69.921325572009238</v>
      </c>
      <c r="AX159" s="78">
        <f t="shared" si="917"/>
        <v>0</v>
      </c>
      <c r="AY159" s="78">
        <f t="shared" si="917"/>
        <v>0</v>
      </c>
      <c r="AZ159" s="78">
        <f t="shared" si="917"/>
        <v>0</v>
      </c>
      <c r="BA159" s="78">
        <f t="shared" si="917"/>
        <v>0</v>
      </c>
      <c r="BB159" s="78">
        <f t="shared" si="917"/>
        <v>-84.661779154519664</v>
      </c>
    </row>
    <row r="160" spans="1:54" x14ac:dyDescent="0.25">
      <c r="A160" s="180"/>
      <c r="B160" s="76" t="s">
        <v>356</v>
      </c>
      <c r="C160" s="77" t="s">
        <v>362</v>
      </c>
      <c r="D160" s="76">
        <v>0</v>
      </c>
      <c r="E160" s="78">
        <f>ABS('Annual Calculations'!$Q$20)*(1+$C$3)^E$194</f>
        <v>394.08162037000483</v>
      </c>
      <c r="F160" s="78">
        <f>ABS('Annual Calculations'!$Q$20)*(1+$C$3)^F$194</f>
        <v>409.45080356443498</v>
      </c>
      <c r="G160" s="78">
        <f>ABS('Annual Calculations'!$Q$20)*(1+$C$3)^G$194</f>
        <v>425.41938490344791</v>
      </c>
      <c r="H160" s="78">
        <f>ABS('Annual Calculations'!$Q$20)*(1+$C$3)^H$194</f>
        <v>442.01074091468223</v>
      </c>
      <c r="I160" s="78">
        <f>ABS('Annual Calculations'!$Q$20)*(1+$C$3)^I$194</f>
        <v>459.2491598103548</v>
      </c>
      <c r="J160" s="78">
        <f>ABS('Annual Calculations'!$Q$20)*(1+$C$3)^J$194</f>
        <v>477.15987704295856</v>
      </c>
      <c r="K160" s="78">
        <f>ABS('Annual Calculations'!$Q$20)*(1+$C$3)^K$194</f>
        <v>495.76911224763393</v>
      </c>
      <c r="L160" s="78">
        <f>ABS('Annual Calculations'!$Q$20)*(1+$C$3)^L$194</f>
        <v>515.10410762529159</v>
      </c>
      <c r="M160" s="78">
        <f>ABS('Annual Calculations'!$Q$20)*(1+$C$3)^M$194</f>
        <v>535.19316782267788</v>
      </c>
      <c r="N160" s="78">
        <f>ABS('Annual Calculations'!$Q$20)*(1+$C$3)^N$194</f>
        <v>556.06570136776213</v>
      </c>
      <c r="O160" s="78">
        <f>ABS('Annual Calculations'!$Q$20)*(1+$C$3)^O$194</f>
        <v>577.7522637211049</v>
      </c>
      <c r="P160" s="78">
        <f>ABS('Annual Calculations'!$Q$20)*(1+$C$3)^P$194</f>
        <v>600.28460200622783</v>
      </c>
      <c r="Q160" s="78">
        <f>ABS('Annual Calculations'!$Q$20)*(1+$C$3)^Q$194</f>
        <v>623.69570148447065</v>
      </c>
      <c r="R160" s="78">
        <f>ABS('Annual Calculations'!$Q$20)*(1+$C$3)^R$194</f>
        <v>648.01983384236485</v>
      </c>
      <c r="S160" s="78">
        <f>ABS('Annual Calculations'!$Q$20)*(1+$C$3)^S$194</f>
        <v>673.29260736221704</v>
      </c>
      <c r="T160" s="78">
        <f>ABS('Annual Calculations'!$Q$20)*(1+$C$3)^T$194</f>
        <v>699.55101904934349</v>
      </c>
      <c r="U160" s="78">
        <f>ABS('Annual Calculations'!$Q$20)*(1+$C$3)^U$194</f>
        <v>726.83350879226782</v>
      </c>
      <c r="V160" s="78">
        <f>ABS('Annual Calculations'!$Q$20)*(1+$C$3)^V$194</f>
        <v>755.18001563516611</v>
      </c>
      <c r="W160" s="78">
        <f>ABS('Annual Calculations'!$Q$20)*(1+$C$3)^W$194</f>
        <v>784.63203624493747</v>
      </c>
      <c r="X160" s="78">
        <f>ABS('Annual Calculations'!$Q$20)*(1+$C$3)^X$194</f>
        <v>815.23268565848991</v>
      </c>
      <c r="Y160" s="78">
        <f>ABS('Annual Calculations'!$Q$20)*(1+$C$3)^Y$194</f>
        <v>847.02676039917094</v>
      </c>
      <c r="Z160" s="78">
        <f>ABS('Annual Calculations'!$Q$20)*(1+$C$3)^Z$194</f>
        <v>880.06080405473836</v>
      </c>
      <c r="AA160" s="78">
        <f>ABS('Annual Calculations'!$Q$20)*(1+$C$3)^AA$194</f>
        <v>914.38317541287324</v>
      </c>
      <c r="AB160" s="78">
        <f>ABS('Annual Calculations'!$Q$20)*(1+$C$3)^AB$194</f>
        <v>950.04411925397505</v>
      </c>
      <c r="AC160" s="78">
        <f>ABS('Annual Calculations'!$Q$20)*(1+$C$3)^AC$194</f>
        <v>987.09583990488011</v>
      </c>
      <c r="AD160" s="78">
        <f>ABS('Annual Calculations'!$Q$20)*(1+$C$3)^AD$194</f>
        <v>1025.59257766117</v>
      </c>
      <c r="AE160" s="78">
        <f>ABS('Annual Calculations'!$Q$20)*(1+$C$3)^AE$194</f>
        <v>1065.5906881899557</v>
      </c>
      <c r="AF160" s="78">
        <f>ABS('Annual Calculations'!$Q$20)*(1+$C$3)^AF$194</f>
        <v>1107.1487250293635</v>
      </c>
      <c r="AG160" s="78">
        <f>ABS('Annual Calculations'!$Q$20)*(1+$C$3)^AG$194</f>
        <v>1150.327525305509</v>
      </c>
      <c r="AH160" s="78">
        <f>ABS('Annual Calculations'!$Q$20)*(1+$C$3)^AH$194</f>
        <v>1195.1902987924232</v>
      </c>
      <c r="AI160" s="78">
        <f>ABS('Annual Calculations'!$Q$20)*(1+$C$3)^AI$194</f>
        <v>1241.8027204453279</v>
      </c>
      <c r="AJ160" s="78">
        <f>ABS('Annual Calculations'!$Q$20)*(1+$C$3)^AJ$194</f>
        <v>1290.2330265426954</v>
      </c>
      <c r="AK160" s="78">
        <f>ABS('Annual Calculations'!$Q$20)*(1+$C$3)^AK$194</f>
        <v>1340.5521145778603</v>
      </c>
      <c r="AL160" s="78">
        <f>ABS('Annual Calculations'!$Q$20)*(1+$C$3)^AL$194</f>
        <v>1392.8336470463967</v>
      </c>
      <c r="AM160" s="78">
        <f>ABS('Annual Calculations'!$Q$20)*(1+$C$3)^AM$194</f>
        <v>1447.1541592812061</v>
      </c>
      <c r="AN160" s="78">
        <f>ABS('Annual Calculations'!$Q$20)*(1+$C$3)^AN$194</f>
        <v>1503.5931714931728</v>
      </c>
      <c r="AO160" s="78">
        <f>ABS('Annual Calculations'!$Q$20)*(1+$C$3)^AO$194</f>
        <v>1562.2333051814064</v>
      </c>
      <c r="AP160" s="78">
        <f>ABS('Annual Calculations'!$Q$20)*(1+$C$3)^AP$194</f>
        <v>1623.1604040834809</v>
      </c>
      <c r="AQ160" s="78">
        <f>ABS('Annual Calculations'!$Q$20)*(1+$C$3)^AQ$194</f>
        <v>1686.4636598427364</v>
      </c>
      <c r="AR160" s="78">
        <f>ABS('Annual Calculations'!$Q$20)*(1+$C$3)^AR$194</f>
        <v>1752.2357425766029</v>
      </c>
      <c r="AS160" s="78">
        <f>ABS('Annual Calculations'!$Q$20)*(1+$C$3)^AS$194</f>
        <v>1820.5729365370905</v>
      </c>
      <c r="AT160" s="78">
        <f>ABS('Annual Calculations'!$Q$20)*(1+$C$3)^AT$194</f>
        <v>1891.5752810620365</v>
      </c>
      <c r="AU160" s="78">
        <f>ABS('Annual Calculations'!$Q$20)*(1+$C$3)^AU$194</f>
        <v>1965.3467170234558</v>
      </c>
      <c r="AV160" s="78">
        <f>ABS('Annual Calculations'!$Q$20)*(1+$C$3)^AV$194</f>
        <v>2041.9952389873702</v>
      </c>
      <c r="AW160" s="78">
        <f>ABS('Annual Calculations'!$Q$20)*(1+$C$3)^AW$194</f>
        <v>2121.6330533078776</v>
      </c>
      <c r="AX160" s="78">
        <f>ABS('Annual Calculations'!$Q$20)*(1+$C$3)^AX$194</f>
        <v>2204.376742386884</v>
      </c>
      <c r="AY160" s="78">
        <f>ABS('Annual Calculations'!$Q$20)*(1+$C$3)^AY$194</f>
        <v>2290.3474353399724</v>
      </c>
      <c r="AZ160" s="78">
        <f>ABS('Annual Calculations'!$Q$20)*(1+$C$3)^AZ$194</f>
        <v>2379.670985318231</v>
      </c>
      <c r="BA160" s="78">
        <f>ABS('Annual Calculations'!$Q$20)*(1+$C$3)^BA$194</f>
        <v>2472.478153745642</v>
      </c>
      <c r="BB160" s="78">
        <f>ABS('Annual Calculations'!$Q$20)*(1+$C$3)^BB$194</f>
        <v>2568.9048017417217</v>
      </c>
    </row>
    <row r="161" spans="1:54" x14ac:dyDescent="0.25">
      <c r="A161" s="180"/>
      <c r="B161" s="76" t="s">
        <v>357</v>
      </c>
      <c r="C161" s="77" t="s">
        <v>362</v>
      </c>
      <c r="D161" s="76">
        <v>0</v>
      </c>
      <c r="E161" s="78">
        <f>-'Annual Calculations'!$L$33*(1+$C$3)^E$194</f>
        <v>601.81448638888901</v>
      </c>
      <c r="F161" s="78">
        <f>-'Annual Calculations'!$L$33*(1+$C$3)^F$194</f>
        <v>625.28525135805558</v>
      </c>
      <c r="G161" s="78">
        <f>-'Annual Calculations'!$L$33*(1+$C$3)^G$194</f>
        <v>649.67137616101968</v>
      </c>
      <c r="H161" s="78">
        <f>-'Annual Calculations'!$L$33*(1+$C$3)^H$194</f>
        <v>675.00855983129929</v>
      </c>
      <c r="I161" s="78">
        <f>-'Annual Calculations'!$L$33*(1+$C$3)^I$194</f>
        <v>701.33389366471988</v>
      </c>
      <c r="J161" s="78">
        <f>-'Annual Calculations'!$L$33*(1+$C$3)^J$194</f>
        <v>728.68591551764382</v>
      </c>
      <c r="K161" s="78">
        <f>-'Annual Calculations'!$L$33*(1+$C$3)^K$194</f>
        <v>757.10466622283184</v>
      </c>
      <c r="L161" s="78">
        <f>-'Annual Calculations'!$L$33*(1+$C$3)^L$194</f>
        <v>786.63174820552217</v>
      </c>
      <c r="M161" s="78">
        <f>-'Annual Calculations'!$L$33*(1+$C$3)^M$194</f>
        <v>817.31038638553753</v>
      </c>
      <c r="N161" s="78">
        <f>-'Annual Calculations'!$L$33*(1+$C$3)^N$194</f>
        <v>849.18549145457325</v>
      </c>
      <c r="O161" s="78">
        <f>-'Annual Calculations'!$L$33*(1+$C$3)^O$194</f>
        <v>882.30372562130151</v>
      </c>
      <c r="P161" s="78">
        <f>-'Annual Calculations'!$L$33*(1+$C$3)^P$194</f>
        <v>916.71357092053199</v>
      </c>
      <c r="Q161" s="78">
        <f>-'Annual Calculations'!$L$33*(1+$C$3)^Q$194</f>
        <v>952.46540018643282</v>
      </c>
      <c r="R161" s="78">
        <f>-'Annual Calculations'!$L$33*(1+$C$3)^R$194</f>
        <v>989.61155079370337</v>
      </c>
      <c r="S161" s="78">
        <f>-'Annual Calculations'!$L$33*(1+$C$3)^S$194</f>
        <v>1028.2064012746578</v>
      </c>
      <c r="T161" s="78">
        <f>-'Annual Calculations'!$L$33*(1+$C$3)^T$194</f>
        <v>1068.3064509243693</v>
      </c>
      <c r="U161" s="78">
        <f>-'Annual Calculations'!$L$33*(1+$C$3)^U$194</f>
        <v>1109.9704025104197</v>
      </c>
      <c r="V161" s="78">
        <f>-'Annual Calculations'!$L$33*(1+$C$3)^V$194</f>
        <v>1153.2592482083257</v>
      </c>
      <c r="W161" s="78">
        <f>-'Annual Calculations'!$L$33*(1+$C$3)^W$194</f>
        <v>1198.2363588884502</v>
      </c>
      <c r="X161" s="78">
        <f>-'Annual Calculations'!$L$33*(1+$C$3)^X$194</f>
        <v>1244.9675768850998</v>
      </c>
      <c r="Y161" s="78">
        <f>-'Annual Calculations'!$L$33*(1+$C$3)^Y$194</f>
        <v>1293.5213123836186</v>
      </c>
      <c r="Z161" s="78">
        <f>-'Annual Calculations'!$L$33*(1+$C$3)^Z$194</f>
        <v>1343.9686435665792</v>
      </c>
      <c r="AA161" s="78">
        <f>-'Annual Calculations'!$L$33*(1+$C$3)^AA$194</f>
        <v>1396.3834206656759</v>
      </c>
      <c r="AB161" s="78">
        <f>-'Annual Calculations'!$L$33*(1+$C$3)^AB$194</f>
        <v>1450.8423740716369</v>
      </c>
      <c r="AC161" s="78">
        <f>-'Annual Calculations'!$L$33*(1+$C$3)^AC$194</f>
        <v>1507.4252266604308</v>
      </c>
      <c r="AD161" s="78">
        <f>-'Annual Calculations'!$L$33*(1+$C$3)^AD$194</f>
        <v>1566.2148105001872</v>
      </c>
      <c r="AE161" s="78">
        <f>-'Annual Calculations'!$L$33*(1+$C$3)^AE$194</f>
        <v>1627.2971881096942</v>
      </c>
      <c r="AF161" s="78">
        <f>-'Annual Calculations'!$L$33*(1+$C$3)^AF$194</f>
        <v>1690.7617784459719</v>
      </c>
      <c r="AG161" s="78">
        <f>-'Annual Calculations'!$L$33*(1+$C$3)^AG$194</f>
        <v>1756.7014878053651</v>
      </c>
      <c r="AH161" s="78">
        <f>-'Annual Calculations'!$L$33*(1+$C$3)^AH$194</f>
        <v>1825.2128458297734</v>
      </c>
      <c r="AI161" s="78">
        <f>-'Annual Calculations'!$L$33*(1+$C$3)^AI$194</f>
        <v>1896.3961468171346</v>
      </c>
      <c r="AJ161" s="78">
        <f>-'Annual Calculations'!$L$33*(1+$C$3)^AJ$194</f>
        <v>1970.3555965430028</v>
      </c>
      <c r="AK161" s="78">
        <f>-'Annual Calculations'!$L$33*(1+$C$3)^AK$194</f>
        <v>2047.1994648081795</v>
      </c>
      <c r="AL161" s="78">
        <f>-'Annual Calculations'!$L$33*(1+$C$3)^AL$194</f>
        <v>2127.0402439356981</v>
      </c>
      <c r="AM161" s="78">
        <f>-'Annual Calculations'!$L$33*(1+$C$3)^AM$194</f>
        <v>2209.9948134491906</v>
      </c>
      <c r="AN161" s="78">
        <f>-'Annual Calculations'!$L$33*(1+$C$3)^AN$194</f>
        <v>2296.1846111737082</v>
      </c>
      <c r="AO161" s="78">
        <f>-'Annual Calculations'!$L$33*(1+$C$3)^AO$194</f>
        <v>2385.7358110094824</v>
      </c>
      <c r="AP161" s="78">
        <f>-'Annual Calculations'!$L$33*(1+$C$3)^AP$194</f>
        <v>2478.779507638852</v>
      </c>
      <c r="AQ161" s="78">
        <f>-'Annual Calculations'!$L$33*(1+$C$3)^AQ$194</f>
        <v>2575.4519084367671</v>
      </c>
      <c r="AR161" s="78">
        <f>-'Annual Calculations'!$L$33*(1+$C$3)^AR$194</f>
        <v>2675.8945328658006</v>
      </c>
      <c r="AS161" s="78">
        <f>-'Annual Calculations'!$L$33*(1+$C$3)^AS$194</f>
        <v>2780.2544196475665</v>
      </c>
      <c r="AT161" s="78">
        <f>-'Annual Calculations'!$L$33*(1+$C$3)^AT$194</f>
        <v>2888.6843420138207</v>
      </c>
      <c r="AU161" s="78">
        <f>-'Annual Calculations'!$L$33*(1+$C$3)^AU$194</f>
        <v>3001.34303135236</v>
      </c>
      <c r="AV161" s="78">
        <f>-'Annual Calculations'!$L$33*(1+$C$3)^AV$194</f>
        <v>3118.395409575101</v>
      </c>
      <c r="AW161" s="78">
        <f>-'Annual Calculations'!$L$33*(1+$C$3)^AW$194</f>
        <v>3240.01283054853</v>
      </c>
      <c r="AX161" s="78">
        <f>-'Annual Calculations'!$L$33*(1+$C$3)^AX$194</f>
        <v>3366.3733309399213</v>
      </c>
      <c r="AY161" s="78">
        <f>-'Annual Calculations'!$L$33*(1+$C$3)^AY$194</f>
        <v>3497.6618908465784</v>
      </c>
      <c r="AZ161" s="78">
        <f>-'Annual Calculations'!$L$33*(1+$C$3)^AZ$194</f>
        <v>3634.0707045895947</v>
      </c>
      <c r="BA161" s="78">
        <f>-'Annual Calculations'!$L$33*(1+$C$3)^BA$194</f>
        <v>3775.7994620685886</v>
      </c>
      <c r="BB161" s="78">
        <f>-'Annual Calculations'!$L$33*(1+$C$3)^BB$194</f>
        <v>3923.0556410892632</v>
      </c>
    </row>
    <row r="162" spans="1:54" x14ac:dyDescent="0.25">
      <c r="A162" s="180"/>
      <c r="B162" s="76" t="s">
        <v>358</v>
      </c>
      <c r="C162" s="77" t="s">
        <v>362</v>
      </c>
      <c r="D162" s="78">
        <f>SUM(D159:D161)</f>
        <v>-4985.4891000000007</v>
      </c>
      <c r="E162" s="78">
        <f>SUM(E159:E161)</f>
        <v>995.89610675889389</v>
      </c>
      <c r="F162" s="78">
        <f t="shared" ref="F162:BB162" si="918">SUM(F159:F161)</f>
        <v>1034.7360549224904</v>
      </c>
      <c r="G162" s="78">
        <f t="shared" si="918"/>
        <v>1075.0907610644676</v>
      </c>
      <c r="H162" s="78">
        <f t="shared" si="918"/>
        <v>1117.0193007459816</v>
      </c>
      <c r="I162" s="78">
        <f t="shared" si="918"/>
        <v>1145.4478678822097</v>
      </c>
      <c r="J162" s="78">
        <f t="shared" si="918"/>
        <v>1205.8457925606024</v>
      </c>
      <c r="K162" s="78">
        <f t="shared" si="918"/>
        <v>1252.8737784704658</v>
      </c>
      <c r="L162" s="78">
        <f t="shared" si="918"/>
        <v>1301.7358558308138</v>
      </c>
      <c r="M162" s="78">
        <f t="shared" si="918"/>
        <v>1352.5035542082155</v>
      </c>
      <c r="N162" s="78">
        <f t="shared" si="918"/>
        <v>-6858.174258422564</v>
      </c>
      <c r="O162" s="78">
        <f t="shared" si="918"/>
        <v>1460.0559893424065</v>
      </c>
      <c r="P162" s="78">
        <f t="shared" si="918"/>
        <v>1516.9981729267597</v>
      </c>
      <c r="Q162" s="78">
        <f t="shared" si="918"/>
        <v>1576.1611016709035</v>
      </c>
      <c r="R162" s="78">
        <f t="shared" si="918"/>
        <v>1637.6313846360681</v>
      </c>
      <c r="S162" s="78">
        <f t="shared" si="918"/>
        <v>1679.3097278226448</v>
      </c>
      <c r="T162" s="78">
        <f t="shared" si="918"/>
        <v>1094.292442602698</v>
      </c>
      <c r="U162" s="78">
        <f t="shared" si="918"/>
        <v>1836.8039113026875</v>
      </c>
      <c r="V162" s="78">
        <f t="shared" si="918"/>
        <v>1908.439263843492</v>
      </c>
      <c r="W162" s="78">
        <f t="shared" si="918"/>
        <v>1982.8683951333878</v>
      </c>
      <c r="X162" s="78">
        <f t="shared" si="918"/>
        <v>-10054.581330327464</v>
      </c>
      <c r="Y162" s="78">
        <f t="shared" si="918"/>
        <v>2140.5480727827894</v>
      </c>
      <c r="Z162" s="78">
        <f t="shared" si="918"/>
        <v>2224.0294476213176</v>
      </c>
      <c r="AA162" s="78">
        <f t="shared" si="918"/>
        <v>2310.7665960785489</v>
      </c>
      <c r="AB162" s="78">
        <f t="shared" si="918"/>
        <v>2400.8864933256118</v>
      </c>
      <c r="AC162" s="78">
        <f t="shared" si="918"/>
        <v>-5872.9098587395392</v>
      </c>
      <c r="AD162" s="78">
        <f t="shared" si="918"/>
        <v>2591.8073881613573</v>
      </c>
      <c r="AE162" s="78">
        <f t="shared" si="918"/>
        <v>2692.8878762996501</v>
      </c>
      <c r="AF162" s="78">
        <f t="shared" si="918"/>
        <v>2797.9105034753356</v>
      </c>
      <c r="AG162" s="78">
        <f t="shared" si="918"/>
        <v>2907.0290131108741</v>
      </c>
      <c r="AH162" s="78">
        <f t="shared" si="918"/>
        <v>-10486.7195985525</v>
      </c>
      <c r="AI162" s="78">
        <f t="shared" si="918"/>
        <v>3138.1988672624625</v>
      </c>
      <c r="AJ162" s="78">
        <f t="shared" si="918"/>
        <v>2018.2834585256871</v>
      </c>
      <c r="AK162" s="78">
        <f t="shared" si="918"/>
        <v>3387.7515793860398</v>
      </c>
      <c r="AL162" s="78">
        <f t="shared" si="918"/>
        <v>3519.873890982095</v>
      </c>
      <c r="AM162" s="78">
        <f t="shared" si="918"/>
        <v>3609.456023675787</v>
      </c>
      <c r="AN162" s="78">
        <f t="shared" si="918"/>
        <v>3799.7777826668807</v>
      </c>
      <c r="AO162" s="78">
        <f t="shared" si="918"/>
        <v>3947.9691161908886</v>
      </c>
      <c r="AP162" s="78">
        <f t="shared" si="918"/>
        <v>4101.9399117223329</v>
      </c>
      <c r="AQ162" s="78">
        <f t="shared" si="918"/>
        <v>4261.9155682795035</v>
      </c>
      <c r="AR162" s="78">
        <f t="shared" si="918"/>
        <v>-41245.09642550446</v>
      </c>
      <c r="AS162" s="78">
        <f t="shared" si="918"/>
        <v>4600.8273561846572</v>
      </c>
      <c r="AT162" s="78">
        <f t="shared" si="918"/>
        <v>4780.2596230758572</v>
      </c>
      <c r="AU162" s="78">
        <f t="shared" si="918"/>
        <v>4966.6897483758157</v>
      </c>
      <c r="AV162" s="78">
        <f t="shared" si="918"/>
        <v>5160.3906485624711</v>
      </c>
      <c r="AW162" s="78">
        <f t="shared" si="918"/>
        <v>5291.7245582843989</v>
      </c>
      <c r="AX162" s="78">
        <f t="shared" si="918"/>
        <v>5570.7500733268052</v>
      </c>
      <c r="AY162" s="78">
        <f t="shared" si="918"/>
        <v>5788.0093261865513</v>
      </c>
      <c r="AZ162" s="78">
        <f t="shared" si="918"/>
        <v>6013.7416899078253</v>
      </c>
      <c r="BA162" s="78">
        <f t="shared" si="918"/>
        <v>6248.2776158142306</v>
      </c>
      <c r="BB162" s="78">
        <f t="shared" si="918"/>
        <v>6407.2986636764654</v>
      </c>
    </row>
    <row r="163" spans="1:54" x14ac:dyDescent="0.25">
      <c r="A163" s="180"/>
      <c r="B163" s="76" t="s">
        <v>359</v>
      </c>
      <c r="C163" s="77"/>
      <c r="D163" s="76">
        <f t="shared" ref="D163:AI163" si="919">(1+$C$2)^D$194</f>
        <v>1</v>
      </c>
      <c r="E163" s="79">
        <f t="shared" si="919"/>
        <v>1.1219999999999999</v>
      </c>
      <c r="F163" s="79">
        <f t="shared" si="919"/>
        <v>1.2588839999999997</v>
      </c>
      <c r="G163" s="79">
        <f t="shared" si="919"/>
        <v>1.4124678479999995</v>
      </c>
      <c r="H163" s="79">
        <f t="shared" si="919"/>
        <v>1.5847889254559993</v>
      </c>
      <c r="I163" s="79">
        <f t="shared" si="919"/>
        <v>1.7781331743616309</v>
      </c>
      <c r="J163" s="79">
        <f t="shared" si="919"/>
        <v>1.9950654216337496</v>
      </c>
      <c r="K163" s="79">
        <f t="shared" si="919"/>
        <v>2.2384634030730668</v>
      </c>
      <c r="L163" s="79">
        <f t="shared" si="919"/>
        <v>2.5115559382479806</v>
      </c>
      <c r="M163" s="79">
        <f t="shared" si="919"/>
        <v>2.817965762714234</v>
      </c>
      <c r="N163" s="79">
        <f t="shared" si="919"/>
        <v>3.1617575857653701</v>
      </c>
      <c r="O163" s="79">
        <f t="shared" si="919"/>
        <v>3.5474920112287447</v>
      </c>
      <c r="P163" s="79">
        <f t="shared" si="919"/>
        <v>3.9802860365986512</v>
      </c>
      <c r="Q163" s="79">
        <f t="shared" si="919"/>
        <v>4.4658809330636862</v>
      </c>
      <c r="R163" s="79">
        <f t="shared" si="919"/>
        <v>5.0107184068974551</v>
      </c>
      <c r="S163" s="79">
        <f t="shared" si="919"/>
        <v>5.6220260525389438</v>
      </c>
      <c r="T163" s="79">
        <f t="shared" si="919"/>
        <v>6.307913230948694</v>
      </c>
      <c r="U163" s="79">
        <f t="shared" si="919"/>
        <v>7.077478645124434</v>
      </c>
      <c r="V163" s="79">
        <f t="shared" si="919"/>
        <v>7.9409310398296133</v>
      </c>
      <c r="W163" s="79">
        <f t="shared" si="919"/>
        <v>8.9097246266888259</v>
      </c>
      <c r="X163" s="79">
        <f t="shared" si="919"/>
        <v>9.9967110311448621</v>
      </c>
      <c r="Y163" s="79">
        <f t="shared" si="919"/>
        <v>11.216309776944533</v>
      </c>
      <c r="Z163" s="79">
        <f t="shared" si="919"/>
        <v>12.584699569731765</v>
      </c>
      <c r="AA163" s="79">
        <f t="shared" si="919"/>
        <v>14.120032917239037</v>
      </c>
      <c r="AB163" s="79">
        <f t="shared" si="919"/>
        <v>15.842676933142199</v>
      </c>
      <c r="AC163" s="79">
        <f t="shared" si="919"/>
        <v>17.775483518985546</v>
      </c>
      <c r="AD163" s="79">
        <f t="shared" si="919"/>
        <v>19.944092508301779</v>
      </c>
      <c r="AE163" s="79">
        <f t="shared" si="919"/>
        <v>22.377271794314591</v>
      </c>
      <c r="AF163" s="79">
        <f t="shared" si="919"/>
        <v>25.107298953220969</v>
      </c>
      <c r="AG163" s="79">
        <f t="shared" si="919"/>
        <v>28.170389425513925</v>
      </c>
      <c r="AH163" s="79">
        <f t="shared" si="919"/>
        <v>31.607176935426619</v>
      </c>
      <c r="AI163" s="79">
        <f t="shared" si="919"/>
        <v>35.463252521548661</v>
      </c>
      <c r="AJ163" s="79">
        <f t="shared" ref="AJ163:BB163" si="920">(1+$C$2)^AJ$194</f>
        <v>39.789769329177595</v>
      </c>
      <c r="AK163" s="79">
        <f t="shared" si="920"/>
        <v>44.644121187337255</v>
      </c>
      <c r="AL163" s="79">
        <f t="shared" si="920"/>
        <v>50.090703972192394</v>
      </c>
      <c r="AM163" s="79">
        <f t="shared" si="920"/>
        <v>56.201769856799864</v>
      </c>
      <c r="AN163" s="79">
        <f t="shared" si="920"/>
        <v>63.058385779329434</v>
      </c>
      <c r="AO163" s="79">
        <f t="shared" si="920"/>
        <v>70.751508844407624</v>
      </c>
      <c r="AP163" s="79">
        <f t="shared" si="920"/>
        <v>79.383192923425341</v>
      </c>
      <c r="AQ163" s="79">
        <f t="shared" si="920"/>
        <v>89.067942460083216</v>
      </c>
      <c r="AR163" s="79">
        <f t="shared" si="920"/>
        <v>99.934231440213352</v>
      </c>
      <c r="AS163" s="79">
        <f t="shared" si="920"/>
        <v>112.12620767591937</v>
      </c>
      <c r="AT163" s="79">
        <f t="shared" si="920"/>
        <v>125.80560501238152</v>
      </c>
      <c r="AU163" s="79">
        <f t="shared" si="920"/>
        <v>141.15388882389203</v>
      </c>
      <c r="AV163" s="79">
        <f t="shared" si="920"/>
        <v>158.37466326040686</v>
      </c>
      <c r="AW163" s="79">
        <f t="shared" si="920"/>
        <v>177.69637217817649</v>
      </c>
      <c r="AX163" s="79">
        <f t="shared" si="920"/>
        <v>199.37532958391398</v>
      </c>
      <c r="AY163" s="79">
        <f t="shared" si="920"/>
        <v>223.69911979315145</v>
      </c>
      <c r="AZ163" s="79">
        <f t="shared" si="920"/>
        <v>250.9904124079159</v>
      </c>
      <c r="BA163" s="79">
        <f t="shared" si="920"/>
        <v>281.61124272168161</v>
      </c>
      <c r="BB163" s="79">
        <f t="shared" si="920"/>
        <v>315.96781433372672</v>
      </c>
    </row>
    <row r="164" spans="1:54" s="76" customFormat="1" x14ac:dyDescent="0.25">
      <c r="A164" s="180"/>
      <c r="B164" s="76" t="s">
        <v>360</v>
      </c>
      <c r="C164" s="77" t="s">
        <v>362</v>
      </c>
      <c r="D164" s="76">
        <f>D162/D163</f>
        <v>-4985.4891000000007</v>
      </c>
      <c r="E164" s="78">
        <f>E162/E163</f>
        <v>887.60793828778435</v>
      </c>
      <c r="F164" s="78">
        <f>F162/F163</f>
        <v>821.94710149822436</v>
      </c>
      <c r="G164" s="78">
        <f t="shared" ref="G164:BB164" si="921">G162/G163</f>
        <v>761.14352803623467</v>
      </c>
      <c r="H164" s="78">
        <f t="shared" si="921"/>
        <v>704.83790163070205</v>
      </c>
      <c r="I164" s="78">
        <f t="shared" si="921"/>
        <v>644.18564615861123</v>
      </c>
      <c r="J164" s="78">
        <f t="shared" si="921"/>
        <v>604.41416080137412</v>
      </c>
      <c r="K164" s="78">
        <f t="shared" si="921"/>
        <v>559.70259632141506</v>
      </c>
      <c r="L164" s="78">
        <f t="shared" si="921"/>
        <v>518.29857181635498</v>
      </c>
      <c r="M164" s="78">
        <f t="shared" si="921"/>
        <v>479.95741186915586</v>
      </c>
      <c r="N164" s="78">
        <f t="shared" si="921"/>
        <v>-2169.1018594527695</v>
      </c>
      <c r="O164" s="78">
        <f t="shared" si="921"/>
        <v>411.57414441553232</v>
      </c>
      <c r="P164" s="78">
        <f t="shared" si="921"/>
        <v>381.1279287412994</v>
      </c>
      <c r="Q164" s="78">
        <f t="shared" si="921"/>
        <v>352.93397322835131</v>
      </c>
      <c r="R164" s="78">
        <f t="shared" si="921"/>
        <v>326.82566683088851</v>
      </c>
      <c r="S164" s="78">
        <f t="shared" si="921"/>
        <v>298.70187582362013</v>
      </c>
      <c r="T164" s="78">
        <f t="shared" si="921"/>
        <v>173.47931122985963</v>
      </c>
      <c r="U164" s="78">
        <f t="shared" si="921"/>
        <v>259.52800473202888</v>
      </c>
      <c r="V164" s="78">
        <f t="shared" si="921"/>
        <v>240.32940901655795</v>
      </c>
      <c r="W164" s="78">
        <f t="shared" si="921"/>
        <v>222.55103027469133</v>
      </c>
      <c r="X164" s="78">
        <f t="shared" si="921"/>
        <v>-1005.788933880584</v>
      </c>
      <c r="Y164" s="78">
        <f t="shared" si="921"/>
        <v>190.84245311971958</v>
      </c>
      <c r="Z164" s="78">
        <f t="shared" si="921"/>
        <v>176.72487414562264</v>
      </c>
      <c r="AA164" s="78">
        <f t="shared" si="921"/>
        <v>163.65164370526023</v>
      </c>
      <c r="AB164" s="78">
        <f t="shared" si="921"/>
        <v>151.54550606930957</v>
      </c>
      <c r="AC164" s="78">
        <f t="shared" si="921"/>
        <v>-330.39381755589557</v>
      </c>
      <c r="AD164" s="78">
        <f t="shared" si="921"/>
        <v>129.95363850636528</v>
      </c>
      <c r="AE164" s="78">
        <f t="shared" si="921"/>
        <v>120.34031230669656</v>
      </c>
      <c r="AF164" s="78">
        <f t="shared" si="921"/>
        <v>111.43813234104965</v>
      </c>
      <c r="AG164" s="78">
        <f t="shared" si="921"/>
        <v>103.19449153507185</v>
      </c>
      <c r="AH164" s="78">
        <f t="shared" si="921"/>
        <v>-331.78286121461718</v>
      </c>
      <c r="AI164" s="78">
        <f t="shared" si="921"/>
        <v>88.491569275987516</v>
      </c>
      <c r="AJ164" s="78">
        <f t="shared" si="921"/>
        <v>50.723678285958101</v>
      </c>
      <c r="AK164" s="78">
        <f t="shared" si="921"/>
        <v>75.883486767949478</v>
      </c>
      <c r="AL164" s="78">
        <f t="shared" si="921"/>
        <v>70.270002452673367</v>
      </c>
      <c r="AM164" s="78">
        <f t="shared" si="921"/>
        <v>64.223173627317323</v>
      </c>
      <c r="AN164" s="78">
        <f t="shared" si="921"/>
        <v>60.258088368517193</v>
      </c>
      <c r="AO164" s="78">
        <f t="shared" si="921"/>
        <v>55.80049359615807</v>
      </c>
      <c r="AP164" s="78">
        <f t="shared" si="921"/>
        <v>51.672649595729268</v>
      </c>
      <c r="AQ164" s="78">
        <f t="shared" si="921"/>
        <v>47.850163039182455</v>
      </c>
      <c r="AR164" s="78">
        <f t="shared" si="921"/>
        <v>-412.72240583728058</v>
      </c>
      <c r="AS164" s="78">
        <f t="shared" si="921"/>
        <v>41.03257794540346</v>
      </c>
      <c r="AT164" s="78">
        <f t="shared" si="921"/>
        <v>37.997191163345974</v>
      </c>
      <c r="AU164" s="78">
        <f t="shared" si="921"/>
        <v>35.186347253758001</v>
      </c>
      <c r="AV164" s="78">
        <f t="shared" si="921"/>
        <v>32.583435647642204</v>
      </c>
      <c r="AW164" s="78">
        <f t="shared" si="921"/>
        <v>29.779586906694846</v>
      </c>
      <c r="AX164" s="78">
        <f t="shared" si="921"/>
        <v>27.94102000961038</v>
      </c>
      <c r="AY164" s="78">
        <f t="shared" si="921"/>
        <v>25.874081809255966</v>
      </c>
      <c r="AZ164" s="78">
        <f t="shared" si="921"/>
        <v>23.960045454382303</v>
      </c>
      <c r="BA164" s="78">
        <f t="shared" si="921"/>
        <v>22.187600024156165</v>
      </c>
      <c r="BB164" s="78">
        <f t="shared" si="921"/>
        <v>20.278327009943631</v>
      </c>
    </row>
    <row r="165" spans="1:54" s="76" customFormat="1" x14ac:dyDescent="0.25">
      <c r="A165" s="180"/>
      <c r="B165" s="76" t="s">
        <v>645</v>
      </c>
      <c r="C165" s="77" t="s">
        <v>362</v>
      </c>
      <c r="D165" s="76">
        <f>D164</f>
        <v>-4985.4891000000007</v>
      </c>
      <c r="E165" s="78">
        <f>E164+D165</f>
        <v>-4097.8811617122165</v>
      </c>
      <c r="F165" s="78">
        <f t="shared" ref="F165" si="922">F164+E165</f>
        <v>-3275.9340602139919</v>
      </c>
      <c r="G165" s="78">
        <f t="shared" ref="G165" si="923">G164+F165</f>
        <v>-2514.7905321777571</v>
      </c>
      <c r="H165" s="78">
        <f t="shared" ref="H165" si="924">H164+G165</f>
        <v>-1809.9526305470549</v>
      </c>
      <c r="I165" s="78">
        <f t="shared" ref="I165" si="925">I164+H165</f>
        <v>-1165.7669843884437</v>
      </c>
      <c r="J165" s="78">
        <f t="shared" ref="J165" si="926">J164+I165</f>
        <v>-561.35282358706957</v>
      </c>
      <c r="K165" s="78">
        <f t="shared" ref="K165" si="927">K164+J165</f>
        <v>-1.6502272656545074</v>
      </c>
      <c r="L165" s="78">
        <f t="shared" ref="L165" si="928">L164+K165</f>
        <v>516.64834455070047</v>
      </c>
      <c r="M165" s="78">
        <f t="shared" ref="M165" si="929">M164+L165</f>
        <v>996.60575641985633</v>
      </c>
      <c r="N165" s="78">
        <f t="shared" ref="N165" si="930">N164+M165</f>
        <v>-1172.4961030329132</v>
      </c>
      <c r="O165" s="78">
        <f t="shared" ref="O165" si="931">O164+N165</f>
        <v>-760.92195861738082</v>
      </c>
      <c r="P165" s="78">
        <f t="shared" ref="P165" si="932">P164+O165</f>
        <v>-379.79402987608142</v>
      </c>
      <c r="Q165" s="78">
        <f t="shared" ref="Q165" si="933">Q164+P165</f>
        <v>-26.860056647730119</v>
      </c>
      <c r="R165" s="78">
        <f t="shared" ref="R165" si="934">R164+Q165</f>
        <v>299.96561018315839</v>
      </c>
      <c r="S165" s="78">
        <f t="shared" ref="S165" si="935">S164+R165</f>
        <v>598.66748600677852</v>
      </c>
      <c r="T165" s="78">
        <f t="shared" ref="T165" si="936">T164+S165</f>
        <v>772.14679723663812</v>
      </c>
      <c r="U165" s="78">
        <f t="shared" ref="U165" si="937">U164+T165</f>
        <v>1031.674801968667</v>
      </c>
      <c r="V165" s="78">
        <f t="shared" ref="V165" si="938">V164+U165</f>
        <v>1272.004210985225</v>
      </c>
      <c r="W165" s="78">
        <f t="shared" ref="W165" si="939">W164+V165</f>
        <v>1494.5552412599163</v>
      </c>
      <c r="X165" s="78">
        <f t="shared" ref="X165" si="940">X164+W165</f>
        <v>488.76630737933237</v>
      </c>
      <c r="Y165" s="78">
        <f t="shared" ref="Y165" si="941">Y164+X165</f>
        <v>679.60876049905198</v>
      </c>
      <c r="Z165" s="78">
        <f t="shared" ref="Z165" si="942">Z164+Y165</f>
        <v>856.33363464467459</v>
      </c>
      <c r="AA165" s="78">
        <f t="shared" ref="AA165" si="943">AA164+Z165</f>
        <v>1019.9852783499348</v>
      </c>
      <c r="AB165" s="78">
        <f t="shared" ref="AB165" si="944">AB164+AA165</f>
        <v>1171.5307844192444</v>
      </c>
      <c r="AC165" s="78">
        <f t="shared" ref="AC165" si="945">AC164+AB165</f>
        <v>841.13696686334879</v>
      </c>
      <c r="AD165" s="78">
        <f t="shared" ref="AD165" si="946">AD164+AC165</f>
        <v>971.09060536971401</v>
      </c>
      <c r="AE165" s="78">
        <f t="shared" ref="AE165" si="947">AE164+AD165</f>
        <v>1091.4309176764107</v>
      </c>
      <c r="AF165" s="78">
        <f t="shared" ref="AF165" si="948">AF164+AE165</f>
        <v>1202.8690500174603</v>
      </c>
      <c r="AG165" s="78">
        <f t="shared" ref="AG165" si="949">AG164+AF165</f>
        <v>1306.0635415525321</v>
      </c>
      <c r="AH165" s="78">
        <f t="shared" ref="AH165" si="950">AH164+AG165</f>
        <v>974.28068033791487</v>
      </c>
      <c r="AI165" s="78">
        <f t="shared" ref="AI165" si="951">AI164+AH165</f>
        <v>1062.7722496139024</v>
      </c>
      <c r="AJ165" s="78">
        <f t="shared" ref="AJ165" si="952">AJ164+AI165</f>
        <v>1113.4959278998606</v>
      </c>
      <c r="AK165" s="78">
        <f t="shared" ref="AK165" si="953">AK164+AJ165</f>
        <v>1189.3794146678101</v>
      </c>
      <c r="AL165" s="78">
        <f t="shared" ref="AL165" si="954">AL164+AK165</f>
        <v>1259.6494171204836</v>
      </c>
      <c r="AM165" s="78">
        <f t="shared" ref="AM165" si="955">AM164+AL165</f>
        <v>1323.8725907478008</v>
      </c>
      <c r="AN165" s="78">
        <f t="shared" ref="AN165" si="956">AN164+AM165</f>
        <v>1384.1306791163181</v>
      </c>
      <c r="AO165" s="78">
        <f t="shared" ref="AO165" si="957">AO164+AN165</f>
        <v>1439.9311727124762</v>
      </c>
      <c r="AP165" s="78">
        <f t="shared" ref="AP165" si="958">AP164+AO165</f>
        <v>1491.6038223082055</v>
      </c>
      <c r="AQ165" s="78">
        <f t="shared" ref="AQ165" si="959">AQ164+AP165</f>
        <v>1539.453985347388</v>
      </c>
      <c r="AR165" s="78">
        <f t="shared" ref="AR165" si="960">AR164+AQ165</f>
        <v>1126.7315795101074</v>
      </c>
      <c r="AS165" s="78">
        <f t="shared" ref="AS165" si="961">AS164+AR165</f>
        <v>1167.7641574555109</v>
      </c>
      <c r="AT165" s="78">
        <f t="shared" ref="AT165" si="962">AT164+AS165</f>
        <v>1205.761348618857</v>
      </c>
      <c r="AU165" s="78">
        <f t="shared" ref="AU165" si="963">AU164+AT165</f>
        <v>1240.947695872615</v>
      </c>
      <c r="AV165" s="78">
        <f t="shared" ref="AV165" si="964">AV164+AU165</f>
        <v>1273.5311315202571</v>
      </c>
      <c r="AW165" s="78">
        <f t="shared" ref="AW165" si="965">AW164+AV165</f>
        <v>1303.310718426952</v>
      </c>
      <c r="AX165" s="78">
        <f t="shared" ref="AX165" si="966">AX164+AW165</f>
        <v>1331.2517384365624</v>
      </c>
      <c r="AY165" s="78">
        <f t="shared" ref="AY165" si="967">AY164+AX165</f>
        <v>1357.1258202458184</v>
      </c>
      <c r="AZ165" s="78">
        <f t="shared" ref="AZ165" si="968">AZ164+AY165</f>
        <v>1381.0858657002007</v>
      </c>
      <c r="BA165" s="78">
        <f t="shared" ref="BA165" si="969">BA164+AZ165</f>
        <v>1403.2734657243568</v>
      </c>
      <c r="BB165" s="78">
        <f t="shared" ref="BB165" si="970">BB164+BA165</f>
        <v>1423.5517927343005</v>
      </c>
    </row>
    <row r="166" spans="1:54" s="76" customFormat="1" x14ac:dyDescent="0.25">
      <c r="B166" s="80" t="s">
        <v>361</v>
      </c>
      <c r="C166" s="81" t="s">
        <v>362</v>
      </c>
      <c r="D166" s="92">
        <f>SUM(D164:BB164)</f>
        <v>1423.5517927343005</v>
      </c>
    </row>
    <row r="167" spans="1:54" s="76" customFormat="1" x14ac:dyDescent="0.25">
      <c r="B167"/>
      <c r="C167" s="70"/>
      <c r="D167"/>
      <c r="E167" s="71"/>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row>
    <row r="168" spans="1:54" s="76" customFormat="1" x14ac:dyDescent="0.25">
      <c r="B168" s="76" t="s">
        <v>646</v>
      </c>
      <c r="C168" s="134" t="s">
        <v>362</v>
      </c>
      <c r="D168" s="76">
        <f>D165*'General variables'!$B$11</f>
        <v>-39883.912800000006</v>
      </c>
      <c r="E168" s="76">
        <f>E165*'General variables'!$B$11</f>
        <v>-32783.049293697732</v>
      </c>
      <c r="F168" s="76">
        <f>F165*'General variables'!$B$11</f>
        <v>-26207.472481711935</v>
      </c>
      <c r="G168" s="76">
        <f>G165*'General variables'!$B$11</f>
        <v>-20118.324257422057</v>
      </c>
      <c r="H168" s="76">
        <f>H165*'General variables'!$B$11</f>
        <v>-14479.621044376439</v>
      </c>
      <c r="I168" s="76">
        <f>I165*'General variables'!$B$11</f>
        <v>-9326.1358751075495</v>
      </c>
      <c r="J168" s="76">
        <f>J165*'General variables'!$B$11</f>
        <v>-4490.8225886965565</v>
      </c>
      <c r="K168" s="76">
        <f>K165*'General variables'!$B$11</f>
        <v>-13.201818125236059</v>
      </c>
      <c r="L168" s="76">
        <f>L165*'General variables'!$B$11</f>
        <v>4133.1867564056038</v>
      </c>
      <c r="M168" s="76">
        <f>M165*'General variables'!$B$11</f>
        <v>7972.8460513588507</v>
      </c>
      <c r="N168" s="76">
        <f>N165*'General variables'!$B$11</f>
        <v>-9379.9688242633056</v>
      </c>
      <c r="O168" s="76">
        <f>O165*'General variables'!$B$11</f>
        <v>-6087.3756689390466</v>
      </c>
      <c r="P168" s="76">
        <f>P165*'General variables'!$B$11</f>
        <v>-3038.3522390086514</v>
      </c>
      <c r="Q168" s="76">
        <f>Q165*'General variables'!$B$11</f>
        <v>-214.88045318184095</v>
      </c>
      <c r="R168" s="76">
        <f>R165*'General variables'!$B$11</f>
        <v>2399.7248814652671</v>
      </c>
      <c r="S168" s="76">
        <f>S165*'General variables'!$B$11</f>
        <v>4789.3398880542281</v>
      </c>
      <c r="T168" s="76">
        <f>T165*'General variables'!$B$11</f>
        <v>6177.174377893105</v>
      </c>
      <c r="U168" s="76">
        <f>U165*'General variables'!$B$11</f>
        <v>8253.398415749336</v>
      </c>
      <c r="V168" s="76">
        <f>V165*'General variables'!$B$11</f>
        <v>10176.0336878818</v>
      </c>
      <c r="W168" s="76">
        <f>W165*'General variables'!$B$11</f>
        <v>11956.441930079331</v>
      </c>
      <c r="X168" s="76">
        <f>X165*'General variables'!$B$11</f>
        <v>3910.130459034659</v>
      </c>
      <c r="Y168" s="76">
        <f>Y165*'General variables'!$B$11</f>
        <v>5436.8700839924159</v>
      </c>
      <c r="Z168" s="76">
        <f>Z165*'General variables'!$B$11</f>
        <v>6850.6690771573967</v>
      </c>
      <c r="AA168" s="76">
        <f>AA165*'General variables'!$B$11</f>
        <v>8159.8822267994783</v>
      </c>
      <c r="AB168" s="76">
        <f>AB165*'General variables'!$B$11</f>
        <v>9372.2462753539548</v>
      </c>
      <c r="AC168" s="76">
        <f>AC165*'General variables'!$B$11</f>
        <v>6729.0957349067903</v>
      </c>
      <c r="AD168" s="76">
        <f>AD165*'General variables'!$B$11</f>
        <v>7768.7248429577121</v>
      </c>
      <c r="AE168" s="76">
        <f>AE165*'General variables'!$B$11</f>
        <v>8731.4473414112854</v>
      </c>
      <c r="AF168" s="76">
        <f>AF165*'General variables'!$B$11</f>
        <v>9622.9524001396821</v>
      </c>
      <c r="AG168" s="76">
        <f>AG165*'General variables'!$B$11</f>
        <v>10448.508332420257</v>
      </c>
      <c r="AH168" s="76">
        <f>AH165*'General variables'!$B$11</f>
        <v>7794.245442703319</v>
      </c>
      <c r="AI168" s="76">
        <f>AI165*'General variables'!$B$11</f>
        <v>8502.1779969112195</v>
      </c>
      <c r="AJ168" s="76">
        <f>AJ165*'General variables'!$B$11</f>
        <v>8907.9674231988847</v>
      </c>
      <c r="AK168" s="76">
        <f>AK165*'General variables'!$B$11</f>
        <v>9515.035317342481</v>
      </c>
      <c r="AL168" s="76">
        <f>AL165*'General variables'!$B$11</f>
        <v>10077.195336963869</v>
      </c>
      <c r="AM168" s="76">
        <f>AM165*'General variables'!$B$11</f>
        <v>10590.980725982407</v>
      </c>
      <c r="AN168" s="76">
        <f>AN165*'General variables'!$B$11</f>
        <v>11073.045432930545</v>
      </c>
      <c r="AO168" s="76">
        <f>AO165*'General variables'!$B$11</f>
        <v>11519.449381699809</v>
      </c>
      <c r="AP168" s="76">
        <f>AP165*'General variables'!$B$11</f>
        <v>11932.830578465644</v>
      </c>
      <c r="AQ168" s="76">
        <f>AQ165*'General variables'!$B$11</f>
        <v>12315.631882779104</v>
      </c>
      <c r="AR168" s="76">
        <f>AR165*'General variables'!$B$11</f>
        <v>9013.8526360808592</v>
      </c>
      <c r="AS168" s="76">
        <f>AS165*'General variables'!$B$11</f>
        <v>9342.1132596440875</v>
      </c>
      <c r="AT168" s="76">
        <f>AT165*'General variables'!$B$11</f>
        <v>9646.0907889508562</v>
      </c>
      <c r="AU168" s="76">
        <f>AU165*'General variables'!$B$11</f>
        <v>9927.5815669809199</v>
      </c>
      <c r="AV168" s="76">
        <f>AV165*'General variables'!$B$11</f>
        <v>10188.249052162057</v>
      </c>
      <c r="AW168" s="76">
        <f>AW165*'General variables'!$B$11</f>
        <v>10426.485747415616</v>
      </c>
      <c r="AX168" s="76">
        <f>AX165*'General variables'!$B$11</f>
        <v>10650.013907492499</v>
      </c>
      <c r="AY168" s="76">
        <f>AY165*'General variables'!$B$11</f>
        <v>10857.006561966547</v>
      </c>
      <c r="AZ168" s="76">
        <f>AZ165*'General variables'!$B$11</f>
        <v>11048.686925601605</v>
      </c>
      <c r="BA168" s="76">
        <f>BA165*'General variables'!$B$11</f>
        <v>11226.187725794854</v>
      </c>
      <c r="BB168" s="76">
        <f>BB165*'General variables'!$B$11</f>
        <v>11388.414341874404</v>
      </c>
    </row>
    <row r="169" spans="1:54" s="83" customFormat="1" x14ac:dyDescent="0.25">
      <c r="C169" s="132"/>
      <c r="E169" s="133"/>
    </row>
    <row r="170" spans="1:54" s="83" customFormat="1" x14ac:dyDescent="0.25">
      <c r="A170" s="180" t="s">
        <v>816</v>
      </c>
      <c r="B170" s="76" t="s">
        <v>363</v>
      </c>
      <c r="C170" s="77" t="s">
        <v>362</v>
      </c>
      <c r="D170" s="78">
        <f>D7+D15+D23+D31+D39+D47+D79+D111+D119+D127</f>
        <v>-11399.832850000001</v>
      </c>
      <c r="E170" s="78">
        <f t="shared" ref="E170:BB170" si="971">E38+E46+E54+E70+E78+E86+E118+E142+E154+E162</f>
        <v>1984.1236730043765</v>
      </c>
      <c r="F170" s="78">
        <f t="shared" si="971"/>
        <v>1949.859442916302</v>
      </c>
      <c r="G170" s="78">
        <f t="shared" si="971"/>
        <v>1922.5178556505373</v>
      </c>
      <c r="H170" s="78">
        <f t="shared" si="971"/>
        <v>1901.7579382459157</v>
      </c>
      <c r="I170" s="78">
        <f t="shared" si="971"/>
        <v>1863.6235894134879</v>
      </c>
      <c r="J170" s="78">
        <f t="shared" si="971"/>
        <v>1878.77660961171</v>
      </c>
      <c r="K170" s="78">
        <f t="shared" si="971"/>
        <v>1876.0245083422133</v>
      </c>
      <c r="L170" s="78">
        <f t="shared" si="971"/>
        <v>1878.7889826906585</v>
      </c>
      <c r="M170" s="78">
        <f t="shared" si="971"/>
        <v>1886.8691502932234</v>
      </c>
      <c r="N170" s="78">
        <f t="shared" si="971"/>
        <v>-10066.405372270427</v>
      </c>
      <c r="O170" s="78">
        <f t="shared" si="971"/>
        <v>1918.2863605690513</v>
      </c>
      <c r="P170" s="78">
        <f t="shared" si="971"/>
        <v>1941.3309320216651</v>
      </c>
      <c r="Q170" s="78">
        <f t="shared" si="971"/>
        <v>1969.1038260021039</v>
      </c>
      <c r="R170" s="78">
        <f t="shared" si="971"/>
        <v>2001.5061534240513</v>
      </c>
      <c r="S170" s="78">
        <f t="shared" si="971"/>
        <v>2012.3199966350542</v>
      </c>
      <c r="T170" s="78">
        <f t="shared" si="971"/>
        <v>1299.5421819211065</v>
      </c>
      <c r="U170" s="78">
        <f t="shared" si="971"/>
        <v>2125.7521252896204</v>
      </c>
      <c r="V170" s="78">
        <f t="shared" si="971"/>
        <v>2176.0125208242612</v>
      </c>
      <c r="W170" s="78">
        <f t="shared" si="971"/>
        <v>2230.6479085050628</v>
      </c>
      <c r="X170" s="78">
        <f t="shared" si="971"/>
        <v>-11542.203194454045</v>
      </c>
      <c r="Y170" s="78">
        <f t="shared" si="971"/>
        <v>2353.0245106869202</v>
      </c>
      <c r="Z170" s="78">
        <f t="shared" si="971"/>
        <v>2420.7879315628434</v>
      </c>
      <c r="AA170" s="78">
        <f t="shared" si="971"/>
        <v>2492.9698624022972</v>
      </c>
      <c r="AB170" s="78">
        <f t="shared" si="971"/>
        <v>2569.6112649034853</v>
      </c>
      <c r="AC170" s="78">
        <f t="shared" si="971"/>
        <v>-6304.2008407384983</v>
      </c>
      <c r="AD170" s="78">
        <f t="shared" si="971"/>
        <v>2736.4926285318106</v>
      </c>
      <c r="AE170" s="78">
        <f t="shared" si="971"/>
        <v>2826.8700195660504</v>
      </c>
      <c r="AF170" s="78">
        <f t="shared" si="971"/>
        <v>2921.9813117229201</v>
      </c>
      <c r="AG170" s="78">
        <f t="shared" si="971"/>
        <v>3021.9216777893416</v>
      </c>
      <c r="AH170" s="78">
        <f t="shared" si="971"/>
        <v>-11041.923147508789</v>
      </c>
      <c r="AI170" s="78">
        <f t="shared" si="971"/>
        <v>3236.7218799199941</v>
      </c>
      <c r="AJ170" s="78">
        <f t="shared" si="971"/>
        <v>2078.2965037220051</v>
      </c>
      <c r="AK170" s="78">
        <f t="shared" si="971"/>
        <v>3472.237251733191</v>
      </c>
      <c r="AL170" s="78">
        <f t="shared" si="971"/>
        <v>3598.1097319524069</v>
      </c>
      <c r="AM170" s="78">
        <f t="shared" si="971"/>
        <v>3681.0557625614165</v>
      </c>
      <c r="AN170" s="78">
        <f t="shared" si="971"/>
        <v>3866.8667545500025</v>
      </c>
      <c r="AO170" s="78">
        <f t="shared" si="971"/>
        <v>4010.0951783892519</v>
      </c>
      <c r="AP170" s="78">
        <f t="shared" si="971"/>
        <v>4159.4701957010311</v>
      </c>
      <c r="AQ170" s="78">
        <f t="shared" si="971"/>
        <v>4315.1900469371394</v>
      </c>
      <c r="AR170" s="78">
        <f t="shared" si="971"/>
        <v>-41761.416573582974</v>
      </c>
      <c r="AS170" s="78">
        <f t="shared" si="971"/>
        <v>4646.5114052908257</v>
      </c>
      <c r="AT170" s="78">
        <f t="shared" si="971"/>
        <v>4822.5641926135659</v>
      </c>
      <c r="AU170" s="78">
        <f t="shared" si="971"/>
        <v>5005.8648354967418</v>
      </c>
      <c r="AV170" s="78">
        <f t="shared" si="971"/>
        <v>5196.667756867857</v>
      </c>
      <c r="AW170" s="78">
        <f t="shared" si="971"/>
        <v>5324.9245782493781</v>
      </c>
      <c r="AX170" s="78">
        <f t="shared" si="971"/>
        <v>5601.8584997067874</v>
      </c>
      <c r="AY170" s="78">
        <f t="shared" si="971"/>
        <v>5816.8165053387811</v>
      </c>
      <c r="AZ170" s="78">
        <f t="shared" si="971"/>
        <v>6040.4178566985265</v>
      </c>
      <c r="BA170" s="78">
        <f t="shared" si="971"/>
        <v>6272.9804119778119</v>
      </c>
      <c r="BB170" s="78">
        <f t="shared" si="971"/>
        <v>6429.9061250793347</v>
      </c>
    </row>
    <row r="171" spans="1:54" s="83" customFormat="1" x14ac:dyDescent="0.25">
      <c r="A171" s="180"/>
      <c r="B171" s="76" t="s">
        <v>356</v>
      </c>
      <c r="C171" s="77" t="s">
        <v>362</v>
      </c>
      <c r="D171" s="76">
        <v>0</v>
      </c>
      <c r="E171" s="78">
        <f>ABS('Annual Calculations'!$Q$22)*(1+$C$3)^E$194</f>
        <v>504.69412765358777</v>
      </c>
      <c r="F171" s="78">
        <f>ABS('Annual Calculations'!$Q$22)*(1+$C$3)^F$194</f>
        <v>524.37719863207758</v>
      </c>
      <c r="G171" s="78">
        <f>ABS('Annual Calculations'!$Q$22)*(1+$C$3)^G$194</f>
        <v>544.82790937872858</v>
      </c>
      <c r="H171" s="78">
        <f>ABS('Annual Calculations'!$Q$22)*(1+$C$3)^H$194</f>
        <v>566.07619784449889</v>
      </c>
      <c r="I171" s="78">
        <f>ABS('Annual Calculations'!$Q$22)*(1+$C$3)^I$194</f>
        <v>588.15316956043432</v>
      </c>
      <c r="J171" s="78">
        <f>ABS('Annual Calculations'!$Q$22)*(1+$C$3)^J$194</f>
        <v>611.09114317329113</v>
      </c>
      <c r="K171" s="78">
        <f>ABS('Annual Calculations'!$Q$22)*(1+$C$3)^K$194</f>
        <v>634.92369775704947</v>
      </c>
      <c r="L171" s="78">
        <f>ABS('Annual Calculations'!$Q$22)*(1+$C$3)^L$194</f>
        <v>659.68572196957427</v>
      </c>
      <c r="M171" s="78">
        <f>ABS('Annual Calculations'!$Q$22)*(1+$C$3)^M$194</f>
        <v>685.41346512638756</v>
      </c>
      <c r="N171" s="78">
        <f>ABS('Annual Calculations'!$Q$22)*(1+$C$3)^N$194</f>
        <v>712.14459026631653</v>
      </c>
      <c r="O171" s="78">
        <f>ABS('Annual Calculations'!$Q$22)*(1+$C$3)^O$194</f>
        <v>739.91822928670285</v>
      </c>
      <c r="P171" s="78">
        <f>ABS('Annual Calculations'!$Q$22)*(1+$C$3)^P$194</f>
        <v>768.775040228884</v>
      </c>
      <c r="Q171" s="78">
        <f>ABS('Annual Calculations'!$Q$22)*(1+$C$3)^Q$194</f>
        <v>798.75726679781053</v>
      </c>
      <c r="R171" s="78">
        <f>ABS('Annual Calculations'!$Q$22)*(1+$C$3)^R$194</f>
        <v>829.90880020292491</v>
      </c>
      <c r="S171" s="78">
        <f>ABS('Annual Calculations'!$Q$22)*(1+$C$3)^S$194</f>
        <v>862.27524341083893</v>
      </c>
      <c r="T171" s="78">
        <f>ABS('Annual Calculations'!$Q$22)*(1+$C$3)^T$194</f>
        <v>895.90397790386157</v>
      </c>
      <c r="U171" s="78">
        <f>ABS('Annual Calculations'!$Q$22)*(1+$C$3)^U$194</f>
        <v>930.84423304211214</v>
      </c>
      <c r="V171" s="78">
        <f>ABS('Annual Calculations'!$Q$22)*(1+$C$3)^V$194</f>
        <v>967.14715813075429</v>
      </c>
      <c r="W171" s="78">
        <f>ABS('Annual Calculations'!$Q$22)*(1+$C$3)^W$194</f>
        <v>1004.8658972978535</v>
      </c>
      <c r="X171" s="78">
        <f>ABS('Annual Calculations'!$Q$22)*(1+$C$3)^X$194</f>
        <v>1044.0556672924697</v>
      </c>
      <c r="Y171" s="78">
        <f>ABS('Annual Calculations'!$Q$22)*(1+$C$3)^Y$194</f>
        <v>1084.773838316876</v>
      </c>
      <c r="Z171" s="78">
        <f>ABS('Annual Calculations'!$Q$22)*(1+$C$3)^Z$194</f>
        <v>1127.0800180112337</v>
      </c>
      <c r="AA171" s="78">
        <f>ABS('Annual Calculations'!$Q$22)*(1+$C$3)^AA$194</f>
        <v>1171.036138713672</v>
      </c>
      <c r="AB171" s="78">
        <f>ABS('Annual Calculations'!$Q$22)*(1+$C$3)^AB$194</f>
        <v>1216.7065481235049</v>
      </c>
      <c r="AC171" s="78">
        <f>ABS('Annual Calculations'!$Q$22)*(1+$C$3)^AC$194</f>
        <v>1264.1581035003217</v>
      </c>
      <c r="AD171" s="78">
        <f>ABS('Annual Calculations'!$Q$22)*(1+$C$3)^AD$194</f>
        <v>1313.4602695368337</v>
      </c>
      <c r="AE171" s="78">
        <f>ABS('Annual Calculations'!$Q$22)*(1+$C$3)^AE$194</f>
        <v>1364.6852200487701</v>
      </c>
      <c r="AF171" s="78">
        <f>ABS('Annual Calculations'!$Q$22)*(1+$C$3)^AF$194</f>
        <v>1417.9079436306718</v>
      </c>
      <c r="AG171" s="78">
        <f>ABS('Annual Calculations'!$Q$22)*(1+$C$3)^AG$194</f>
        <v>1473.2063534322681</v>
      </c>
      <c r="AH171" s="78">
        <f>ABS('Annual Calculations'!$Q$22)*(1+$C$3)^AH$194</f>
        <v>1530.661401216126</v>
      </c>
      <c r="AI171" s="78">
        <f>ABS('Annual Calculations'!$Q$22)*(1+$C$3)^AI$194</f>
        <v>1590.3571958635548</v>
      </c>
      <c r="AJ171" s="78">
        <f>ABS('Annual Calculations'!$Q$22)*(1+$C$3)^AJ$194</f>
        <v>1652.3811265022334</v>
      </c>
      <c r="AK171" s="78">
        <f>ABS('Annual Calculations'!$Q$22)*(1+$C$3)^AK$194</f>
        <v>1716.8239904358202</v>
      </c>
      <c r="AL171" s="78">
        <f>ABS('Annual Calculations'!$Q$22)*(1+$C$3)^AL$194</f>
        <v>1783.7801260628169</v>
      </c>
      <c r="AM171" s="78">
        <f>ABS('Annual Calculations'!$Q$22)*(1+$C$3)^AM$194</f>
        <v>1853.3475509792668</v>
      </c>
      <c r="AN171" s="78">
        <f>ABS('Annual Calculations'!$Q$22)*(1+$C$3)^AN$194</f>
        <v>1925.6281054674575</v>
      </c>
      <c r="AO171" s="78">
        <f>ABS('Annual Calculations'!$Q$22)*(1+$C$3)^AO$194</f>
        <v>2000.7276015806883</v>
      </c>
      <c r="AP171" s="78">
        <f>ABS('Annual Calculations'!$Q$22)*(1+$C$3)^AP$194</f>
        <v>2078.7559780423344</v>
      </c>
      <c r="AQ171" s="78">
        <f>ABS('Annual Calculations'!$Q$22)*(1+$C$3)^AQ$194</f>
        <v>2159.8274611859856</v>
      </c>
      <c r="AR171" s="78">
        <f>ABS('Annual Calculations'!$Q$22)*(1+$C$3)^AR$194</f>
        <v>2244.0607321722387</v>
      </c>
      <c r="AS171" s="78">
        <f>ABS('Annual Calculations'!$Q$22)*(1+$C$3)^AS$194</f>
        <v>2331.5791007269559</v>
      </c>
      <c r="AT171" s="78">
        <f>ABS('Annual Calculations'!$Q$22)*(1+$C$3)^AT$194</f>
        <v>2422.5106856553066</v>
      </c>
      <c r="AU171" s="78">
        <f>ABS('Annual Calculations'!$Q$22)*(1+$C$3)^AU$194</f>
        <v>2516.9886023958634</v>
      </c>
      <c r="AV171" s="78">
        <f>ABS('Annual Calculations'!$Q$22)*(1+$C$3)^AV$194</f>
        <v>2615.1511578893014</v>
      </c>
      <c r="AW171" s="78">
        <f>ABS('Annual Calculations'!$Q$22)*(1+$C$3)^AW$194</f>
        <v>2717.1420530469841</v>
      </c>
      <c r="AX171" s="78">
        <f>ABS('Annual Calculations'!$Q$22)*(1+$C$3)^AX$194</f>
        <v>2823.1105931158154</v>
      </c>
      <c r="AY171" s="78">
        <f>ABS('Annual Calculations'!$Q$22)*(1+$C$3)^AY$194</f>
        <v>2933.2119062473325</v>
      </c>
      <c r="AZ171" s="78">
        <f>ABS('Annual Calculations'!$Q$22)*(1+$C$3)^AZ$194</f>
        <v>3047.6071705909781</v>
      </c>
      <c r="BA171" s="78">
        <f>ABS('Annual Calculations'!$Q$22)*(1+$C$3)^BA$194</f>
        <v>3166.4638502440257</v>
      </c>
      <c r="BB171" s="78">
        <f>ABS('Annual Calculations'!$Q$22)*(1+$C$3)^BB$194</f>
        <v>3289.9559404035426</v>
      </c>
    </row>
    <row r="172" spans="1:54" s="83" customFormat="1" x14ac:dyDescent="0.25">
      <c r="A172" s="180"/>
      <c r="B172" s="76" t="s">
        <v>357</v>
      </c>
      <c r="C172" s="77" t="s">
        <v>362</v>
      </c>
      <c r="D172" s="76">
        <v>0</v>
      </c>
      <c r="E172" s="78">
        <f>-'Annual Calculations'!$L$33*(1+$C$3)^E$194</f>
        <v>601.81448638888901</v>
      </c>
      <c r="F172" s="78">
        <f>-'Annual Calculations'!$L$33*(1+$C$3)^F$194</f>
        <v>625.28525135805558</v>
      </c>
      <c r="G172" s="78">
        <f>-'Annual Calculations'!$L$33*(1+$C$3)^G$194</f>
        <v>649.67137616101968</v>
      </c>
      <c r="H172" s="78">
        <f>-'Annual Calculations'!$L$33*(1+$C$3)^H$194</f>
        <v>675.00855983129929</v>
      </c>
      <c r="I172" s="78">
        <f>-'Annual Calculations'!$L$33*(1+$C$3)^I$194</f>
        <v>701.33389366471988</v>
      </c>
      <c r="J172" s="78">
        <f>-'Annual Calculations'!$L$33*(1+$C$3)^J$194</f>
        <v>728.68591551764382</v>
      </c>
      <c r="K172" s="78">
        <f>-'Annual Calculations'!$L$33*(1+$C$3)^K$194</f>
        <v>757.10466622283184</v>
      </c>
      <c r="L172" s="78">
        <f>-'Annual Calculations'!$L$33*(1+$C$3)^L$194</f>
        <v>786.63174820552217</v>
      </c>
      <c r="M172" s="78">
        <f>-'Annual Calculations'!$L$33*(1+$C$3)^M$194</f>
        <v>817.31038638553753</v>
      </c>
      <c r="N172" s="78">
        <f>-'Annual Calculations'!$L$33*(1+$C$3)^N$194</f>
        <v>849.18549145457325</v>
      </c>
      <c r="O172" s="78">
        <f>-'Annual Calculations'!$L$33*(1+$C$3)^O$194</f>
        <v>882.30372562130151</v>
      </c>
      <c r="P172" s="78">
        <f>-'Annual Calculations'!$L$33*(1+$C$3)^P$194</f>
        <v>916.71357092053199</v>
      </c>
      <c r="Q172" s="78">
        <f>-'Annual Calculations'!$L$33*(1+$C$3)^Q$194</f>
        <v>952.46540018643282</v>
      </c>
      <c r="R172" s="78">
        <f>-'Annual Calculations'!$L$33*(1+$C$3)^R$194</f>
        <v>989.61155079370337</v>
      </c>
      <c r="S172" s="78">
        <f>-'Annual Calculations'!$L$33*(1+$C$3)^S$194</f>
        <v>1028.2064012746578</v>
      </c>
      <c r="T172" s="78">
        <f>-'Annual Calculations'!$L$33*(1+$C$3)^T$194</f>
        <v>1068.3064509243693</v>
      </c>
      <c r="U172" s="78">
        <f>-'Annual Calculations'!$L$33*(1+$C$3)^U$194</f>
        <v>1109.9704025104197</v>
      </c>
      <c r="V172" s="78">
        <f>-'Annual Calculations'!$L$33*(1+$C$3)^V$194</f>
        <v>1153.2592482083257</v>
      </c>
      <c r="W172" s="78">
        <f>-'Annual Calculations'!$L$33*(1+$C$3)^W$194</f>
        <v>1198.2363588884502</v>
      </c>
      <c r="X172" s="78">
        <f>-'Annual Calculations'!$L$33*(1+$C$3)^X$194</f>
        <v>1244.9675768850998</v>
      </c>
      <c r="Y172" s="78">
        <f>-'Annual Calculations'!$L$33*(1+$C$3)^Y$194</f>
        <v>1293.5213123836186</v>
      </c>
      <c r="Z172" s="78">
        <f>-'Annual Calculations'!$L$33*(1+$C$3)^Z$194</f>
        <v>1343.9686435665792</v>
      </c>
      <c r="AA172" s="78">
        <f>-'Annual Calculations'!$L$33*(1+$C$3)^AA$194</f>
        <v>1396.3834206656759</v>
      </c>
      <c r="AB172" s="78">
        <f>-'Annual Calculations'!$L$33*(1+$C$3)^AB$194</f>
        <v>1450.8423740716369</v>
      </c>
      <c r="AC172" s="78">
        <f>-'Annual Calculations'!$L$33*(1+$C$3)^AC$194</f>
        <v>1507.4252266604308</v>
      </c>
      <c r="AD172" s="78">
        <f>-'Annual Calculations'!$L$33*(1+$C$3)^AD$194</f>
        <v>1566.2148105001872</v>
      </c>
      <c r="AE172" s="78">
        <f>-'Annual Calculations'!$L$33*(1+$C$3)^AE$194</f>
        <v>1627.2971881096942</v>
      </c>
      <c r="AF172" s="78">
        <f>-'Annual Calculations'!$L$33*(1+$C$3)^AF$194</f>
        <v>1690.7617784459719</v>
      </c>
      <c r="AG172" s="78">
        <f>-'Annual Calculations'!$L$33*(1+$C$3)^AG$194</f>
        <v>1756.7014878053651</v>
      </c>
      <c r="AH172" s="78">
        <f>-'Annual Calculations'!$L$33*(1+$C$3)^AH$194</f>
        <v>1825.2128458297734</v>
      </c>
      <c r="AI172" s="78">
        <f>-'Annual Calculations'!$L$33*(1+$C$3)^AI$194</f>
        <v>1896.3961468171346</v>
      </c>
      <c r="AJ172" s="78">
        <f>-'Annual Calculations'!$L$33*(1+$C$3)^AJ$194</f>
        <v>1970.3555965430028</v>
      </c>
      <c r="AK172" s="78">
        <f>-'Annual Calculations'!$L$33*(1+$C$3)^AK$194</f>
        <v>2047.1994648081795</v>
      </c>
      <c r="AL172" s="78">
        <f>-'Annual Calculations'!$L$33*(1+$C$3)^AL$194</f>
        <v>2127.0402439356981</v>
      </c>
      <c r="AM172" s="78">
        <f>-'Annual Calculations'!$L$33*(1+$C$3)^AM$194</f>
        <v>2209.9948134491906</v>
      </c>
      <c r="AN172" s="78">
        <f>-'Annual Calculations'!$L$33*(1+$C$3)^AN$194</f>
        <v>2296.1846111737082</v>
      </c>
      <c r="AO172" s="78">
        <f>-'Annual Calculations'!$L$33*(1+$C$3)^AO$194</f>
        <v>2385.7358110094824</v>
      </c>
      <c r="AP172" s="78">
        <f>-'Annual Calculations'!$L$33*(1+$C$3)^AP$194</f>
        <v>2478.779507638852</v>
      </c>
      <c r="AQ172" s="78">
        <f>-'Annual Calculations'!$L$33*(1+$C$3)^AQ$194</f>
        <v>2575.4519084367671</v>
      </c>
      <c r="AR172" s="78">
        <f>-'Annual Calculations'!$L$33*(1+$C$3)^AR$194</f>
        <v>2675.8945328658006</v>
      </c>
      <c r="AS172" s="78">
        <f>-'Annual Calculations'!$L$33*(1+$C$3)^AS$194</f>
        <v>2780.2544196475665</v>
      </c>
      <c r="AT172" s="78">
        <f>-'Annual Calculations'!$L$33*(1+$C$3)^AT$194</f>
        <v>2888.6843420138207</v>
      </c>
      <c r="AU172" s="78">
        <f>-'Annual Calculations'!$L$33*(1+$C$3)^AU$194</f>
        <v>3001.34303135236</v>
      </c>
      <c r="AV172" s="78">
        <f>-'Annual Calculations'!$L$33*(1+$C$3)^AV$194</f>
        <v>3118.395409575101</v>
      </c>
      <c r="AW172" s="78">
        <f>-'Annual Calculations'!$L$33*(1+$C$3)^AW$194</f>
        <v>3240.01283054853</v>
      </c>
      <c r="AX172" s="78">
        <f>-'Annual Calculations'!$L$33*(1+$C$3)^AX$194</f>
        <v>3366.3733309399213</v>
      </c>
      <c r="AY172" s="78">
        <f>-'Annual Calculations'!$L$33*(1+$C$3)^AY$194</f>
        <v>3497.6618908465784</v>
      </c>
      <c r="AZ172" s="78">
        <f>-'Annual Calculations'!$L$33*(1+$C$3)^AZ$194</f>
        <v>3634.0707045895947</v>
      </c>
      <c r="BA172" s="78">
        <f>-'Annual Calculations'!$L$33*(1+$C$3)^BA$194</f>
        <v>3775.7994620685886</v>
      </c>
      <c r="BB172" s="78">
        <f>-'Annual Calculations'!$L$33*(1+$C$3)^BB$194</f>
        <v>3923.0556410892632</v>
      </c>
    </row>
    <row r="173" spans="1:54" s="83" customFormat="1" x14ac:dyDescent="0.25">
      <c r="A173" s="180"/>
      <c r="B173" s="76" t="s">
        <v>358</v>
      </c>
      <c r="C173" s="77" t="s">
        <v>362</v>
      </c>
      <c r="D173" s="78">
        <f>SUM(D170:D172)</f>
        <v>-11399.832850000001</v>
      </c>
      <c r="E173" s="78">
        <f>SUM(E170:E172)</f>
        <v>3090.632287046853</v>
      </c>
      <c r="F173" s="78">
        <f t="shared" ref="F173:BB173" si="972">SUM(F170:F172)</f>
        <v>3099.5218929064349</v>
      </c>
      <c r="G173" s="78">
        <f t="shared" si="972"/>
        <v>3117.0171411902857</v>
      </c>
      <c r="H173" s="78">
        <f t="shared" si="972"/>
        <v>3142.842695921714</v>
      </c>
      <c r="I173" s="78">
        <f t="shared" si="972"/>
        <v>3153.110652638642</v>
      </c>
      <c r="J173" s="78">
        <f t="shared" si="972"/>
        <v>3218.5536683026453</v>
      </c>
      <c r="K173" s="78">
        <f t="shared" si="972"/>
        <v>3268.0528723220946</v>
      </c>
      <c r="L173" s="78">
        <f t="shared" si="972"/>
        <v>3325.1064528657553</v>
      </c>
      <c r="M173" s="78">
        <f t="shared" si="972"/>
        <v>3389.5930018051486</v>
      </c>
      <c r="N173" s="78">
        <f t="shared" si="972"/>
        <v>-8505.0752905495374</v>
      </c>
      <c r="O173" s="78">
        <f t="shared" si="972"/>
        <v>3540.5083154770559</v>
      </c>
      <c r="P173" s="78">
        <f t="shared" si="972"/>
        <v>3626.819543171081</v>
      </c>
      <c r="Q173" s="78">
        <f t="shared" si="972"/>
        <v>3720.3264929863471</v>
      </c>
      <c r="R173" s="78">
        <f t="shared" si="972"/>
        <v>3821.0265044206794</v>
      </c>
      <c r="S173" s="78">
        <f t="shared" si="972"/>
        <v>3902.801641320551</v>
      </c>
      <c r="T173" s="78">
        <f t="shared" si="972"/>
        <v>3263.7526107493377</v>
      </c>
      <c r="U173" s="78">
        <f t="shared" si="972"/>
        <v>4166.5667608421518</v>
      </c>
      <c r="V173" s="78">
        <f t="shared" si="972"/>
        <v>4296.4189271633413</v>
      </c>
      <c r="W173" s="78">
        <f t="shared" si="972"/>
        <v>4433.7501646913661</v>
      </c>
      <c r="X173" s="78">
        <f t="shared" si="972"/>
        <v>-9253.1799502764752</v>
      </c>
      <c r="Y173" s="78">
        <f t="shared" si="972"/>
        <v>4731.3196613874143</v>
      </c>
      <c r="Z173" s="78">
        <f t="shared" si="972"/>
        <v>4891.8365931406561</v>
      </c>
      <c r="AA173" s="78">
        <f t="shared" si="972"/>
        <v>5060.3894217816451</v>
      </c>
      <c r="AB173" s="78">
        <f t="shared" si="972"/>
        <v>5237.1601870986269</v>
      </c>
      <c r="AC173" s="78">
        <f t="shared" si="972"/>
        <v>-3532.6175105777456</v>
      </c>
      <c r="AD173" s="78">
        <f t="shared" si="972"/>
        <v>5616.1677085688316</v>
      </c>
      <c r="AE173" s="78">
        <f t="shared" si="972"/>
        <v>5818.8524277245142</v>
      </c>
      <c r="AF173" s="78">
        <f t="shared" si="972"/>
        <v>6030.6510337995633</v>
      </c>
      <c r="AG173" s="78">
        <f t="shared" si="972"/>
        <v>6251.8295190269746</v>
      </c>
      <c r="AH173" s="78">
        <f t="shared" si="972"/>
        <v>-7686.0489004628889</v>
      </c>
      <c r="AI173" s="78">
        <f t="shared" si="972"/>
        <v>6723.475222600684</v>
      </c>
      <c r="AJ173" s="78">
        <f t="shared" si="972"/>
        <v>5701.033226767242</v>
      </c>
      <c r="AK173" s="78">
        <f t="shared" si="972"/>
        <v>7236.2607069771911</v>
      </c>
      <c r="AL173" s="78">
        <f t="shared" si="972"/>
        <v>7508.9301019509221</v>
      </c>
      <c r="AM173" s="78">
        <f t="shared" si="972"/>
        <v>7744.3981269898741</v>
      </c>
      <c r="AN173" s="78">
        <f t="shared" si="972"/>
        <v>8088.679471191168</v>
      </c>
      <c r="AO173" s="78">
        <f t="shared" si="972"/>
        <v>8396.5585909794227</v>
      </c>
      <c r="AP173" s="78">
        <f t="shared" si="972"/>
        <v>8717.0056813822175</v>
      </c>
      <c r="AQ173" s="78">
        <f t="shared" si="972"/>
        <v>9050.4694165598921</v>
      </c>
      <c r="AR173" s="78">
        <f t="shared" si="972"/>
        <v>-36841.461308544931</v>
      </c>
      <c r="AS173" s="78">
        <f t="shared" si="972"/>
        <v>9758.3449256653475</v>
      </c>
      <c r="AT173" s="78">
        <f t="shared" si="972"/>
        <v>10133.759220282693</v>
      </c>
      <c r="AU173" s="78">
        <f t="shared" si="972"/>
        <v>10524.196469244966</v>
      </c>
      <c r="AV173" s="78">
        <f t="shared" si="972"/>
        <v>10930.214324332259</v>
      </c>
      <c r="AW173" s="78">
        <f t="shared" si="972"/>
        <v>11282.079461844893</v>
      </c>
      <c r="AX173" s="78">
        <f t="shared" si="972"/>
        <v>11791.342423762524</v>
      </c>
      <c r="AY173" s="78">
        <f t="shared" si="972"/>
        <v>12247.690302432693</v>
      </c>
      <c r="AZ173" s="78">
        <f t="shared" si="972"/>
        <v>12722.095731879099</v>
      </c>
      <c r="BA173" s="78">
        <f t="shared" si="972"/>
        <v>13215.243724290427</v>
      </c>
      <c r="BB173" s="78">
        <f t="shared" si="972"/>
        <v>13642.917706572141</v>
      </c>
    </row>
    <row r="174" spans="1:54" s="83" customFormat="1" x14ac:dyDescent="0.25">
      <c r="A174" s="180"/>
      <c r="B174" s="76" t="s">
        <v>359</v>
      </c>
      <c r="C174" s="77"/>
      <c r="D174" s="76">
        <f t="shared" ref="D174:AI174" si="973">(1+$C$2)^D$194</f>
        <v>1</v>
      </c>
      <c r="E174" s="79">
        <f t="shared" si="973"/>
        <v>1.1219999999999999</v>
      </c>
      <c r="F174" s="79">
        <f t="shared" si="973"/>
        <v>1.2588839999999997</v>
      </c>
      <c r="G174" s="79">
        <f t="shared" si="973"/>
        <v>1.4124678479999995</v>
      </c>
      <c r="H174" s="79">
        <f t="shared" si="973"/>
        <v>1.5847889254559993</v>
      </c>
      <c r="I174" s="79">
        <f t="shared" si="973"/>
        <v>1.7781331743616309</v>
      </c>
      <c r="J174" s="79">
        <f t="shared" si="973"/>
        <v>1.9950654216337496</v>
      </c>
      <c r="K174" s="79">
        <f t="shared" si="973"/>
        <v>2.2384634030730668</v>
      </c>
      <c r="L174" s="79">
        <f t="shared" si="973"/>
        <v>2.5115559382479806</v>
      </c>
      <c r="M174" s="79">
        <f t="shared" si="973"/>
        <v>2.817965762714234</v>
      </c>
      <c r="N174" s="79">
        <f t="shared" si="973"/>
        <v>3.1617575857653701</v>
      </c>
      <c r="O174" s="79">
        <f t="shared" si="973"/>
        <v>3.5474920112287447</v>
      </c>
      <c r="P174" s="79">
        <f t="shared" si="973"/>
        <v>3.9802860365986512</v>
      </c>
      <c r="Q174" s="79">
        <f t="shared" si="973"/>
        <v>4.4658809330636862</v>
      </c>
      <c r="R174" s="79">
        <f t="shared" si="973"/>
        <v>5.0107184068974551</v>
      </c>
      <c r="S174" s="79">
        <f t="shared" si="973"/>
        <v>5.6220260525389438</v>
      </c>
      <c r="T174" s="79">
        <f t="shared" si="973"/>
        <v>6.307913230948694</v>
      </c>
      <c r="U174" s="79">
        <f t="shared" si="973"/>
        <v>7.077478645124434</v>
      </c>
      <c r="V174" s="79">
        <f t="shared" si="973"/>
        <v>7.9409310398296133</v>
      </c>
      <c r="W174" s="79">
        <f t="shared" si="973"/>
        <v>8.9097246266888259</v>
      </c>
      <c r="X174" s="79">
        <f t="shared" si="973"/>
        <v>9.9967110311448621</v>
      </c>
      <c r="Y174" s="79">
        <f t="shared" si="973"/>
        <v>11.216309776944533</v>
      </c>
      <c r="Z174" s="79">
        <f t="shared" si="973"/>
        <v>12.584699569731765</v>
      </c>
      <c r="AA174" s="79">
        <f t="shared" si="973"/>
        <v>14.120032917239037</v>
      </c>
      <c r="AB174" s="79">
        <f t="shared" si="973"/>
        <v>15.842676933142199</v>
      </c>
      <c r="AC174" s="79">
        <f t="shared" si="973"/>
        <v>17.775483518985546</v>
      </c>
      <c r="AD174" s="79">
        <f t="shared" si="973"/>
        <v>19.944092508301779</v>
      </c>
      <c r="AE174" s="79">
        <f t="shared" si="973"/>
        <v>22.377271794314591</v>
      </c>
      <c r="AF174" s="79">
        <f t="shared" si="973"/>
        <v>25.107298953220969</v>
      </c>
      <c r="AG174" s="79">
        <f t="shared" si="973"/>
        <v>28.170389425513925</v>
      </c>
      <c r="AH174" s="79">
        <f t="shared" si="973"/>
        <v>31.607176935426619</v>
      </c>
      <c r="AI174" s="79">
        <f t="shared" si="973"/>
        <v>35.463252521548661</v>
      </c>
      <c r="AJ174" s="79">
        <f t="shared" ref="AJ174:BB174" si="974">(1+$C$2)^AJ$194</f>
        <v>39.789769329177595</v>
      </c>
      <c r="AK174" s="79">
        <f t="shared" si="974"/>
        <v>44.644121187337255</v>
      </c>
      <c r="AL174" s="79">
        <f t="shared" si="974"/>
        <v>50.090703972192394</v>
      </c>
      <c r="AM174" s="79">
        <f t="shared" si="974"/>
        <v>56.201769856799864</v>
      </c>
      <c r="AN174" s="79">
        <f t="shared" si="974"/>
        <v>63.058385779329434</v>
      </c>
      <c r="AO174" s="79">
        <f t="shared" si="974"/>
        <v>70.751508844407624</v>
      </c>
      <c r="AP174" s="79">
        <f t="shared" si="974"/>
        <v>79.383192923425341</v>
      </c>
      <c r="AQ174" s="79">
        <f t="shared" si="974"/>
        <v>89.067942460083216</v>
      </c>
      <c r="AR174" s="79">
        <f t="shared" si="974"/>
        <v>99.934231440213352</v>
      </c>
      <c r="AS174" s="79">
        <f t="shared" si="974"/>
        <v>112.12620767591937</v>
      </c>
      <c r="AT174" s="79">
        <f t="shared" si="974"/>
        <v>125.80560501238152</v>
      </c>
      <c r="AU174" s="79">
        <f t="shared" si="974"/>
        <v>141.15388882389203</v>
      </c>
      <c r="AV174" s="79">
        <f t="shared" si="974"/>
        <v>158.37466326040686</v>
      </c>
      <c r="AW174" s="79">
        <f t="shared" si="974"/>
        <v>177.69637217817649</v>
      </c>
      <c r="AX174" s="79">
        <f t="shared" si="974"/>
        <v>199.37532958391398</v>
      </c>
      <c r="AY174" s="79">
        <f t="shared" si="974"/>
        <v>223.69911979315145</v>
      </c>
      <c r="AZ174" s="79">
        <f t="shared" si="974"/>
        <v>250.9904124079159</v>
      </c>
      <c r="BA174" s="79">
        <f t="shared" si="974"/>
        <v>281.61124272168161</v>
      </c>
      <c r="BB174" s="79">
        <f t="shared" si="974"/>
        <v>315.96781433372672</v>
      </c>
    </row>
    <row r="175" spans="1:54" s="83" customFormat="1" x14ac:dyDescent="0.25">
      <c r="A175" s="180"/>
      <c r="B175" s="76" t="s">
        <v>360</v>
      </c>
      <c r="C175" s="77" t="s">
        <v>362</v>
      </c>
      <c r="D175" s="76">
        <f>D173/D174</f>
        <v>-11399.832850000001</v>
      </c>
      <c r="E175" s="78">
        <f>E173/E174</f>
        <v>2754.5742308795484</v>
      </c>
      <c r="F175" s="78">
        <f>F173/F174</f>
        <v>2462.1187439878781</v>
      </c>
      <c r="G175" s="78">
        <f t="shared" ref="G175:BB175" si="975">G173/G174</f>
        <v>2206.7880310365031</v>
      </c>
      <c r="H175" s="78">
        <f t="shared" si="975"/>
        <v>1983.1301477686741</v>
      </c>
      <c r="I175" s="78">
        <f t="shared" si="975"/>
        <v>1773.2702466285423</v>
      </c>
      <c r="J175" s="78">
        <f t="shared" si="975"/>
        <v>1613.257206205793</v>
      </c>
      <c r="K175" s="78">
        <f t="shared" si="975"/>
        <v>1459.9536752915233</v>
      </c>
      <c r="L175" s="78">
        <f t="shared" si="975"/>
        <v>1323.9229125771708</v>
      </c>
      <c r="M175" s="78">
        <f t="shared" si="975"/>
        <v>1202.8510234774212</v>
      </c>
      <c r="N175" s="78">
        <f t="shared" si="975"/>
        <v>-2689.9833588888837</v>
      </c>
      <c r="O175" s="78">
        <f t="shared" si="975"/>
        <v>998.03137097149659</v>
      </c>
      <c r="P175" s="78">
        <f t="shared" si="975"/>
        <v>911.19570549014497</v>
      </c>
      <c r="Q175" s="78">
        <f t="shared" si="975"/>
        <v>833.0554595494167</v>
      </c>
      <c r="R175" s="78">
        <f t="shared" si="975"/>
        <v>762.57059250443672</v>
      </c>
      <c r="S175" s="78">
        <f t="shared" si="975"/>
        <v>694.19842683902539</v>
      </c>
      <c r="T175" s="78">
        <f t="shared" si="975"/>
        <v>517.40607254016993</v>
      </c>
      <c r="U175" s="78">
        <f t="shared" si="975"/>
        <v>588.7077827797383</v>
      </c>
      <c r="V175" s="78">
        <f t="shared" si="975"/>
        <v>541.04725322681168</v>
      </c>
      <c r="W175" s="78">
        <f t="shared" si="975"/>
        <v>497.63043757942796</v>
      </c>
      <c r="X175" s="78">
        <f t="shared" si="975"/>
        <v>-925.62242936182633</v>
      </c>
      <c r="Y175" s="78">
        <f t="shared" si="975"/>
        <v>421.8249812529952</v>
      </c>
      <c r="Z175" s="78">
        <f t="shared" si="975"/>
        <v>388.7130213983267</v>
      </c>
      <c r="AA175" s="78">
        <f t="shared" si="975"/>
        <v>358.38368447452098</v>
      </c>
      <c r="AB175" s="78">
        <f t="shared" si="975"/>
        <v>330.57293342532995</v>
      </c>
      <c r="AC175" s="78">
        <f t="shared" si="975"/>
        <v>-198.73538217987971</v>
      </c>
      <c r="AD175" s="78">
        <f t="shared" si="975"/>
        <v>281.59555047345913</v>
      </c>
      <c r="AE175" s="78">
        <f t="shared" si="975"/>
        <v>260.03404173706798</v>
      </c>
      <c r="AF175" s="78">
        <f t="shared" si="975"/>
        <v>240.19513389455628</v>
      </c>
      <c r="AG175" s="78">
        <f t="shared" si="975"/>
        <v>221.92911232404518</v>
      </c>
      <c r="AH175" s="78">
        <f t="shared" si="975"/>
        <v>-243.17416630297186</v>
      </c>
      <c r="AI175" s="78">
        <f t="shared" si="975"/>
        <v>189.58992039760807</v>
      </c>
      <c r="AJ175" s="78">
        <f t="shared" si="975"/>
        <v>143.27887099829726</v>
      </c>
      <c r="AK175" s="78">
        <f t="shared" si="975"/>
        <v>162.08765038989424</v>
      </c>
      <c r="AL175" s="78">
        <f t="shared" si="975"/>
        <v>149.90665944961501</v>
      </c>
      <c r="AM175" s="78">
        <f t="shared" si="975"/>
        <v>137.79633891819293</v>
      </c>
      <c r="AN175" s="78">
        <f t="shared" si="975"/>
        <v>128.2728596874841</v>
      </c>
      <c r="AO175" s="78">
        <f t="shared" si="975"/>
        <v>118.6767424203577</v>
      </c>
      <c r="AP175" s="78">
        <f t="shared" si="975"/>
        <v>109.80920973776931</v>
      </c>
      <c r="AQ175" s="78">
        <f t="shared" si="975"/>
        <v>101.61309632380876</v>
      </c>
      <c r="AR175" s="78">
        <f t="shared" si="975"/>
        <v>-368.65707353326371</v>
      </c>
      <c r="AS175" s="78">
        <f t="shared" si="975"/>
        <v>87.03000955735601</v>
      </c>
      <c r="AT175" s="78">
        <f t="shared" si="975"/>
        <v>80.550935860809616</v>
      </c>
      <c r="AU175" s="78">
        <f t="shared" si="975"/>
        <v>74.558317570515399</v>
      </c>
      <c r="AV175" s="78">
        <f t="shared" si="975"/>
        <v>69.014917533622793</v>
      </c>
      <c r="AW175" s="78">
        <f t="shared" si="975"/>
        <v>63.490769808920639</v>
      </c>
      <c r="AX175" s="78">
        <f t="shared" si="975"/>
        <v>59.14143163234111</v>
      </c>
      <c r="AY175" s="78">
        <f t="shared" si="975"/>
        <v>54.750730864555045</v>
      </c>
      <c r="AZ175" s="78">
        <f t="shared" si="975"/>
        <v>50.687576508710741</v>
      </c>
      <c r="BA175" s="78">
        <f t="shared" si="975"/>
        <v>46.92725899921242</v>
      </c>
      <c r="BB175" s="78">
        <f t="shared" si="975"/>
        <v>43.178188054820126</v>
      </c>
    </row>
    <row r="176" spans="1:54" s="83" customFormat="1" x14ac:dyDescent="0.25">
      <c r="A176" s="180"/>
      <c r="B176" s="76" t="s">
        <v>645</v>
      </c>
      <c r="C176" s="77" t="s">
        <v>362</v>
      </c>
      <c r="D176" s="76">
        <f>D175</f>
        <v>-11399.832850000001</v>
      </c>
      <c r="E176" s="78">
        <f>E175+D176</f>
        <v>-8645.2586191204518</v>
      </c>
      <c r="F176" s="78">
        <f t="shared" ref="F176" si="976">F175+E176</f>
        <v>-6183.1398751325742</v>
      </c>
      <c r="G176" s="78">
        <f t="shared" ref="G176" si="977">G175+F176</f>
        <v>-3976.3518440960711</v>
      </c>
      <c r="H176" s="78">
        <f t="shared" ref="H176" si="978">H175+G176</f>
        <v>-1993.221696327397</v>
      </c>
      <c r="I176" s="78">
        <f t="shared" ref="I176" si="979">I175+H176</f>
        <v>-219.95144969885473</v>
      </c>
      <c r="J176" s="78">
        <f t="shared" ref="J176" si="980">J175+I176</f>
        <v>1393.3057565069382</v>
      </c>
      <c r="K176" s="78">
        <f t="shared" ref="K176" si="981">K175+J176</f>
        <v>2853.2594317984613</v>
      </c>
      <c r="L176" s="78">
        <f t="shared" ref="L176" si="982">L175+K176</f>
        <v>4177.1823443756321</v>
      </c>
      <c r="M176" s="78">
        <f t="shared" ref="M176" si="983">M175+L176</f>
        <v>5380.0333678530533</v>
      </c>
      <c r="N176" s="78">
        <f t="shared" ref="N176" si="984">N175+M176</f>
        <v>2690.0500089641696</v>
      </c>
      <c r="O176" s="78">
        <f t="shared" ref="O176" si="985">O175+N176</f>
        <v>3688.0813799356661</v>
      </c>
      <c r="P176" s="78">
        <f t="shared" ref="P176" si="986">P175+O176</f>
        <v>4599.2770854258106</v>
      </c>
      <c r="Q176" s="78">
        <f t="shared" ref="Q176" si="987">Q175+P176</f>
        <v>5432.3325449752274</v>
      </c>
      <c r="R176" s="78">
        <f t="shared" ref="R176" si="988">R175+Q176</f>
        <v>6194.9031374796641</v>
      </c>
      <c r="S176" s="78">
        <f t="shared" ref="S176" si="989">S175+R176</f>
        <v>6889.1015643186893</v>
      </c>
      <c r="T176" s="78">
        <f t="shared" ref="T176" si="990">T175+S176</f>
        <v>7406.5076368588589</v>
      </c>
      <c r="U176" s="78">
        <f t="shared" ref="U176" si="991">U175+T176</f>
        <v>7995.2154196385973</v>
      </c>
      <c r="V176" s="78">
        <f t="shared" ref="V176" si="992">V175+U176</f>
        <v>8536.2626728654086</v>
      </c>
      <c r="W176" s="78">
        <f t="shared" ref="W176" si="993">W175+V176</f>
        <v>9033.8931104448366</v>
      </c>
      <c r="X176" s="78">
        <f t="shared" ref="X176" si="994">X175+W176</f>
        <v>8108.2706810830105</v>
      </c>
      <c r="Y176" s="78">
        <f t="shared" ref="Y176" si="995">Y175+X176</f>
        <v>8530.0956623360053</v>
      </c>
      <c r="Z176" s="78">
        <f t="shared" ref="Z176" si="996">Z175+Y176</f>
        <v>8918.8086837343326</v>
      </c>
      <c r="AA176" s="78">
        <f t="shared" ref="AA176" si="997">AA175+Z176</f>
        <v>9277.1923682088527</v>
      </c>
      <c r="AB176" s="78">
        <f t="shared" ref="AB176" si="998">AB175+AA176</f>
        <v>9607.7653016341828</v>
      </c>
      <c r="AC176" s="78">
        <f t="shared" ref="AC176" si="999">AC175+AB176</f>
        <v>9409.029919454304</v>
      </c>
      <c r="AD176" s="78">
        <f t="shared" ref="AD176" si="1000">AD175+AC176</f>
        <v>9690.6254699277633</v>
      </c>
      <c r="AE176" s="78">
        <f t="shared" ref="AE176" si="1001">AE175+AD176</f>
        <v>9950.6595116648314</v>
      </c>
      <c r="AF176" s="78">
        <f t="shared" ref="AF176" si="1002">AF175+AE176</f>
        <v>10190.854645559388</v>
      </c>
      <c r="AG176" s="78">
        <f t="shared" ref="AG176" si="1003">AG175+AF176</f>
        <v>10412.783757883433</v>
      </c>
      <c r="AH176" s="78">
        <f t="shared" ref="AH176" si="1004">AH175+AG176</f>
        <v>10169.609591580462</v>
      </c>
      <c r="AI176" s="78">
        <f t="shared" ref="AI176" si="1005">AI175+AH176</f>
        <v>10359.199511978069</v>
      </c>
      <c r="AJ176" s="78">
        <f t="shared" ref="AJ176" si="1006">AJ175+AI176</f>
        <v>10502.478382976367</v>
      </c>
      <c r="AK176" s="78">
        <f t="shared" ref="AK176" si="1007">AK175+AJ176</f>
        <v>10664.566033366262</v>
      </c>
      <c r="AL176" s="78">
        <f t="shared" ref="AL176" si="1008">AL175+AK176</f>
        <v>10814.472692815876</v>
      </c>
      <c r="AM176" s="78">
        <f t="shared" ref="AM176" si="1009">AM175+AL176</f>
        <v>10952.269031734069</v>
      </c>
      <c r="AN176" s="78">
        <f t="shared" ref="AN176" si="1010">AN175+AM176</f>
        <v>11080.541891421553</v>
      </c>
      <c r="AO176" s="78">
        <f t="shared" ref="AO176" si="1011">AO175+AN176</f>
        <v>11199.218633841911</v>
      </c>
      <c r="AP176" s="78">
        <f t="shared" ref="AP176" si="1012">AP175+AO176</f>
        <v>11309.027843579679</v>
      </c>
      <c r="AQ176" s="78">
        <f t="shared" ref="AQ176" si="1013">AQ175+AP176</f>
        <v>11410.640939903487</v>
      </c>
      <c r="AR176" s="78">
        <f t="shared" ref="AR176" si="1014">AR175+AQ176</f>
        <v>11041.983866370223</v>
      </c>
      <c r="AS176" s="78">
        <f t="shared" ref="AS176" si="1015">AS175+AR176</f>
        <v>11129.01387592758</v>
      </c>
      <c r="AT176" s="78">
        <f t="shared" ref="AT176" si="1016">AT175+AS176</f>
        <v>11209.564811788388</v>
      </c>
      <c r="AU176" s="78">
        <f t="shared" ref="AU176" si="1017">AU175+AT176</f>
        <v>11284.123129358904</v>
      </c>
      <c r="AV176" s="78">
        <f t="shared" ref="AV176" si="1018">AV175+AU176</f>
        <v>11353.138046892527</v>
      </c>
      <c r="AW176" s="78">
        <f t="shared" ref="AW176" si="1019">AW175+AV176</f>
        <v>11416.628816701448</v>
      </c>
      <c r="AX176" s="78">
        <f t="shared" ref="AX176" si="1020">AX175+AW176</f>
        <v>11475.770248333789</v>
      </c>
      <c r="AY176" s="78">
        <f t="shared" ref="AY176" si="1021">AY175+AX176</f>
        <v>11530.520979198343</v>
      </c>
      <c r="AZ176" s="78">
        <f t="shared" ref="AZ176" si="1022">AZ175+AY176</f>
        <v>11581.208555707055</v>
      </c>
      <c r="BA176" s="78">
        <f t="shared" ref="BA176" si="1023">BA175+AZ176</f>
        <v>11628.135814706267</v>
      </c>
      <c r="BB176" s="78">
        <f t="shared" ref="BB176" si="1024">BB175+BA176</f>
        <v>11671.314002761088</v>
      </c>
    </row>
    <row r="177" spans="1:54" s="83" customFormat="1" x14ac:dyDescent="0.25">
      <c r="A177" s="76"/>
      <c r="B177" s="80" t="s">
        <v>361</v>
      </c>
      <c r="C177" s="81" t="s">
        <v>362</v>
      </c>
      <c r="D177" s="92">
        <f>SUM(D175:BB175)</f>
        <v>11671.314002761088</v>
      </c>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row>
    <row r="178" spans="1:54" s="83" customFormat="1" x14ac:dyDescent="0.25">
      <c r="A178" s="76"/>
      <c r="B178"/>
      <c r="C178" s="70"/>
      <c r="D178"/>
      <c r="E178" s="71"/>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row>
    <row r="179" spans="1:54" s="83" customFormat="1" x14ac:dyDescent="0.25">
      <c r="A179" s="76"/>
      <c r="B179" s="76" t="s">
        <v>646</v>
      </c>
      <c r="C179" s="134" t="s">
        <v>362</v>
      </c>
      <c r="D179" s="76">
        <f>D176*'General variables'!$B$11</f>
        <v>-91198.662800000006</v>
      </c>
      <c r="E179" s="76">
        <f>E176*'General variables'!$B$11</f>
        <v>-69162.068952963615</v>
      </c>
      <c r="F179" s="76">
        <f>F176*'General variables'!$B$11</f>
        <v>-49465.119001060593</v>
      </c>
      <c r="G179" s="76">
        <f>G176*'General variables'!$B$11</f>
        <v>-31810.814752768569</v>
      </c>
      <c r="H179" s="76">
        <f>H176*'General variables'!$B$11</f>
        <v>-15945.773570619176</v>
      </c>
      <c r="I179" s="76">
        <f>I176*'General variables'!$B$11</f>
        <v>-1759.6115975908378</v>
      </c>
      <c r="J179" s="76">
        <f>J176*'General variables'!$B$11</f>
        <v>11146.446052055506</v>
      </c>
      <c r="K179" s="76">
        <f>K176*'General variables'!$B$11</f>
        <v>22826.07545438769</v>
      </c>
      <c r="L179" s="76">
        <f>L176*'General variables'!$B$11</f>
        <v>33417.458755005056</v>
      </c>
      <c r="M179" s="76">
        <f>M176*'General variables'!$B$11</f>
        <v>43040.266942824426</v>
      </c>
      <c r="N179" s="76">
        <f>N176*'General variables'!$B$11</f>
        <v>21520.400071713357</v>
      </c>
      <c r="O179" s="76">
        <f>O176*'General variables'!$B$11</f>
        <v>29504.651039485329</v>
      </c>
      <c r="P179" s="76">
        <f>P176*'General variables'!$B$11</f>
        <v>36794.216683406485</v>
      </c>
      <c r="Q179" s="76">
        <f>Q176*'General variables'!$B$11</f>
        <v>43458.660359801819</v>
      </c>
      <c r="R179" s="76">
        <f>R176*'General variables'!$B$11</f>
        <v>49559.225099837313</v>
      </c>
      <c r="S179" s="76">
        <f>S176*'General variables'!$B$11</f>
        <v>55112.812514549514</v>
      </c>
      <c r="T179" s="76">
        <f>T176*'General variables'!$B$11</f>
        <v>59252.061094870871</v>
      </c>
      <c r="U179" s="76">
        <f>U176*'General variables'!$B$11</f>
        <v>63961.723357108778</v>
      </c>
      <c r="V179" s="76">
        <f>V176*'General variables'!$B$11</f>
        <v>68290.101382923269</v>
      </c>
      <c r="W179" s="76">
        <f>W176*'General variables'!$B$11</f>
        <v>72271.144883558693</v>
      </c>
      <c r="X179" s="76">
        <f>X176*'General variables'!$B$11</f>
        <v>64866.165448664084</v>
      </c>
      <c r="Y179" s="76">
        <f>Y176*'General variables'!$B$11</f>
        <v>68240.765298688042</v>
      </c>
      <c r="Z179" s="76">
        <f>Z176*'General variables'!$B$11</f>
        <v>71350.469469874661</v>
      </c>
      <c r="AA179" s="76">
        <f>AA176*'General variables'!$B$11</f>
        <v>74217.538945670822</v>
      </c>
      <c r="AB179" s="76">
        <f>AB176*'General variables'!$B$11</f>
        <v>76862.122413073463</v>
      </c>
      <c r="AC179" s="76">
        <f>AC176*'General variables'!$B$11</f>
        <v>75272.239355634432</v>
      </c>
      <c r="AD179" s="76">
        <f>AD176*'General variables'!$B$11</f>
        <v>77525.003759422107</v>
      </c>
      <c r="AE179" s="76">
        <f>AE176*'General variables'!$B$11</f>
        <v>79605.276093318651</v>
      </c>
      <c r="AF179" s="76">
        <f>AF176*'General variables'!$B$11</f>
        <v>81526.837164475102</v>
      </c>
      <c r="AG179" s="76">
        <f>AG176*'General variables'!$B$11</f>
        <v>83302.270063067466</v>
      </c>
      <c r="AH179" s="76">
        <f>AH176*'General variables'!$B$11</f>
        <v>81356.876732643694</v>
      </c>
      <c r="AI179" s="76">
        <f>AI176*'General variables'!$B$11</f>
        <v>82873.596095824556</v>
      </c>
      <c r="AJ179" s="76">
        <f>AJ176*'General variables'!$B$11</f>
        <v>84019.827063810939</v>
      </c>
      <c r="AK179" s="76">
        <f>AK176*'General variables'!$B$11</f>
        <v>85316.528266930094</v>
      </c>
      <c r="AL179" s="76">
        <f>AL176*'General variables'!$B$11</f>
        <v>86515.781542527009</v>
      </c>
      <c r="AM179" s="76">
        <f>AM176*'General variables'!$B$11</f>
        <v>87618.152253872555</v>
      </c>
      <c r="AN179" s="76">
        <f>AN176*'General variables'!$B$11</f>
        <v>88644.335131372427</v>
      </c>
      <c r="AO179" s="76">
        <f>AO176*'General variables'!$B$11</f>
        <v>89593.749070735284</v>
      </c>
      <c r="AP179" s="76">
        <f>AP176*'General variables'!$B$11</f>
        <v>90472.222748637432</v>
      </c>
      <c r="AQ179" s="76">
        <f>AQ176*'General variables'!$B$11</f>
        <v>91285.127519227899</v>
      </c>
      <c r="AR179" s="76">
        <f>AR176*'General variables'!$B$11</f>
        <v>88335.870930961784</v>
      </c>
      <c r="AS179" s="76">
        <f>AS176*'General variables'!$B$11</f>
        <v>89032.111007420637</v>
      </c>
      <c r="AT179" s="76">
        <f>AT176*'General variables'!$B$11</f>
        <v>89676.518494307107</v>
      </c>
      <c r="AU179" s="76">
        <f>AU176*'General variables'!$B$11</f>
        <v>90272.985034871235</v>
      </c>
      <c r="AV179" s="76">
        <f>AV176*'General variables'!$B$11</f>
        <v>90825.104375140218</v>
      </c>
      <c r="AW179" s="76">
        <f>AW176*'General variables'!$B$11</f>
        <v>91333.030533611585</v>
      </c>
      <c r="AX179" s="76">
        <f>AX176*'General variables'!$B$11</f>
        <v>91806.161986670311</v>
      </c>
      <c r="AY179" s="76">
        <f>AY176*'General variables'!$B$11</f>
        <v>92244.167833586747</v>
      </c>
      <c r="AZ179" s="76">
        <f>AZ176*'General variables'!$B$11</f>
        <v>92649.66844565644</v>
      </c>
      <c r="BA179" s="76">
        <f>BA176*'General variables'!$B$11</f>
        <v>93025.086517650139</v>
      </c>
      <c r="BB179" s="76">
        <f>BB176*'General variables'!$B$11</f>
        <v>93370.512022088704</v>
      </c>
    </row>
    <row r="180" spans="1:54" x14ac:dyDescent="0.25">
      <c r="A180" s="181" t="s">
        <v>857</v>
      </c>
      <c r="B180" s="8" t="s">
        <v>363</v>
      </c>
      <c r="C180" s="142" t="s">
        <v>362</v>
      </c>
      <c r="D180" s="143">
        <f>D7+D15+D23+D31+D39+D55+D87+D111+D119+D127</f>
        <v>-3428.2015999999994</v>
      </c>
      <c r="E180" s="143">
        <f t="shared" ref="E180:BB180" si="1025">E7+E15+E23+E31+E39+E55+E87+E111+E119+E127</f>
        <v>0</v>
      </c>
      <c r="F180" s="143">
        <f t="shared" si="1025"/>
        <v>0</v>
      </c>
      <c r="G180" s="143">
        <f t="shared" si="1025"/>
        <v>0</v>
      </c>
      <c r="H180" s="143">
        <f t="shared" si="1025"/>
        <v>0</v>
      </c>
      <c r="I180" s="143">
        <f t="shared" si="1025"/>
        <v>-15.135185592864978</v>
      </c>
      <c r="J180" s="143">
        <f t="shared" si="1025"/>
        <v>0</v>
      </c>
      <c r="K180" s="143">
        <f t="shared" si="1025"/>
        <v>0</v>
      </c>
      <c r="L180" s="143">
        <f t="shared" si="1025"/>
        <v>0</v>
      </c>
      <c r="M180" s="143">
        <f t="shared" si="1025"/>
        <v>0</v>
      </c>
      <c r="N180" s="143">
        <f t="shared" si="1025"/>
        <v>-2868.6603977165323</v>
      </c>
      <c r="O180" s="143">
        <f t="shared" si="1025"/>
        <v>0</v>
      </c>
      <c r="P180" s="143">
        <f t="shared" si="1025"/>
        <v>0</v>
      </c>
      <c r="Q180" s="143">
        <f t="shared" si="1025"/>
        <v>0</v>
      </c>
      <c r="R180" s="143">
        <f t="shared" si="1025"/>
        <v>0</v>
      </c>
      <c r="S180" s="143">
        <f t="shared" si="1025"/>
        <v>-22.189280814229935</v>
      </c>
      <c r="T180" s="143">
        <f t="shared" si="1025"/>
        <v>-673.56502737101482</v>
      </c>
      <c r="U180" s="143">
        <f t="shared" si="1025"/>
        <v>0</v>
      </c>
      <c r="V180" s="143">
        <f t="shared" si="1025"/>
        <v>0</v>
      </c>
      <c r="W180" s="143">
        <f t="shared" si="1025"/>
        <v>0</v>
      </c>
      <c r="X180" s="143">
        <f t="shared" si="1025"/>
        <v>-4205.6643927511659</v>
      </c>
      <c r="Y180" s="143">
        <f t="shared" si="1025"/>
        <v>0</v>
      </c>
      <c r="Z180" s="143">
        <f t="shared" si="1025"/>
        <v>0</v>
      </c>
      <c r="AA180" s="143">
        <f t="shared" si="1025"/>
        <v>0</v>
      </c>
      <c r="AB180" s="143">
        <f t="shared" si="1025"/>
        <v>0</v>
      </c>
      <c r="AC180" s="143">
        <f t="shared" si="1025"/>
        <v>-11481.844765785158</v>
      </c>
      <c r="AD180" s="143">
        <f t="shared" si="1025"/>
        <v>0</v>
      </c>
      <c r="AE180" s="143">
        <f t="shared" si="1025"/>
        <v>0</v>
      </c>
      <c r="AF180" s="143">
        <f t="shared" si="1025"/>
        <v>0</v>
      </c>
      <c r="AG180" s="143">
        <f t="shared" si="1025"/>
        <v>0</v>
      </c>
      <c r="AH180" s="143">
        <f t="shared" si="1025"/>
        <v>-1911.7827673735962</v>
      </c>
      <c r="AI180" s="143">
        <f t="shared" si="1025"/>
        <v>0</v>
      </c>
      <c r="AJ180" s="143">
        <f t="shared" si="1025"/>
        <v>-1242.305164560011</v>
      </c>
      <c r="AK180" s="143">
        <f t="shared" si="1025"/>
        <v>0</v>
      </c>
      <c r="AL180" s="143">
        <f t="shared" si="1025"/>
        <v>0</v>
      </c>
      <c r="AM180" s="143">
        <f t="shared" si="1025"/>
        <v>-47.692949054609656</v>
      </c>
      <c r="AN180" s="143">
        <f t="shared" si="1025"/>
        <v>0</v>
      </c>
      <c r="AO180" s="143">
        <f t="shared" si="1025"/>
        <v>0</v>
      </c>
      <c r="AP180" s="143">
        <f t="shared" si="1025"/>
        <v>0</v>
      </c>
      <c r="AQ180" s="143">
        <f t="shared" si="1025"/>
        <v>0</v>
      </c>
      <c r="AR180" s="143">
        <f t="shared" si="1025"/>
        <v>-28673.616535557845</v>
      </c>
      <c r="AS180" s="143">
        <f t="shared" si="1025"/>
        <v>0</v>
      </c>
      <c r="AT180" s="143">
        <f t="shared" si="1025"/>
        <v>0</v>
      </c>
      <c r="AU180" s="143">
        <f t="shared" si="1025"/>
        <v>0</v>
      </c>
      <c r="AV180" s="143">
        <f t="shared" si="1025"/>
        <v>0</v>
      </c>
      <c r="AW180" s="143">
        <f t="shared" si="1025"/>
        <v>-69.921325572009238</v>
      </c>
      <c r="AX180" s="143">
        <f t="shared" si="1025"/>
        <v>0</v>
      </c>
      <c r="AY180" s="143">
        <f t="shared" si="1025"/>
        <v>0</v>
      </c>
      <c r="AZ180" s="143">
        <f t="shared" si="1025"/>
        <v>0</v>
      </c>
      <c r="BA180" s="143">
        <f t="shared" si="1025"/>
        <v>0</v>
      </c>
      <c r="BB180" s="143">
        <f t="shared" si="1025"/>
        <v>-84.661779154519664</v>
      </c>
    </row>
    <row r="181" spans="1:54" x14ac:dyDescent="0.25">
      <c r="A181" s="181"/>
      <c r="B181" s="8" t="s">
        <v>356</v>
      </c>
      <c r="C181" s="142" t="s">
        <v>362</v>
      </c>
      <c r="D181" s="8">
        <v>0</v>
      </c>
      <c r="E181" s="143">
        <f>ABS('Annual Calculations'!$Q$18)*(1+$C$3)^E$194</f>
        <v>518.39041936331569</v>
      </c>
      <c r="F181" s="143">
        <f>ABS('Annual Calculations'!$Q$18)*(1+$C$3)^F$194</f>
        <v>538.60764571848495</v>
      </c>
      <c r="G181" s="143">
        <f>ABS('Annual Calculations'!$Q$18)*(1+$C$3)^G$194</f>
        <v>559.6133439015058</v>
      </c>
      <c r="H181" s="143">
        <f>ABS('Annual Calculations'!$Q$18)*(1+$C$3)^H$194</f>
        <v>581.43826431366438</v>
      </c>
      <c r="I181" s="143">
        <f>ABS('Annual Calculations'!$Q$18)*(1+$C$3)^I$194</f>
        <v>604.11435662189729</v>
      </c>
      <c r="J181" s="143">
        <f>ABS('Annual Calculations'!$Q$18)*(1+$C$3)^J$194</f>
        <v>627.67481653015113</v>
      </c>
      <c r="K181" s="143">
        <f>ABS('Annual Calculations'!$Q$18)*(1+$C$3)^K$194</f>
        <v>652.15413437482698</v>
      </c>
      <c r="L181" s="143">
        <f>ABS('Annual Calculations'!$Q$18)*(1+$C$3)^L$194</f>
        <v>677.58814561544511</v>
      </c>
      <c r="M181" s="143">
        <f>ABS('Annual Calculations'!$Q$18)*(1+$C$3)^M$194</f>
        <v>704.01408329444746</v>
      </c>
      <c r="N181" s="143">
        <f>ABS('Annual Calculations'!$Q$18)*(1+$C$3)^N$194</f>
        <v>731.47063254293073</v>
      </c>
      <c r="O181" s="143">
        <f>ABS('Annual Calculations'!$Q$18)*(1+$C$3)^O$194</f>
        <v>759.99798721210493</v>
      </c>
      <c r="P181" s="143">
        <f>ABS('Annual Calculations'!$Q$18)*(1+$C$3)^P$194</f>
        <v>789.63790871337676</v>
      </c>
      <c r="Q181" s="143">
        <f>ABS('Annual Calculations'!$Q$18)*(1+$C$3)^Q$194</f>
        <v>820.43378715319852</v>
      </c>
      <c r="R181" s="143">
        <f>ABS('Annual Calculations'!$Q$18)*(1+$C$3)^R$194</f>
        <v>852.43070485217299</v>
      </c>
      <c r="S181" s="143">
        <f>ABS('Annual Calculations'!$Q$18)*(1+$C$3)^S$194</f>
        <v>885.67550234140776</v>
      </c>
      <c r="T181" s="143">
        <f>ABS('Annual Calculations'!$Q$18)*(1+$C$3)^T$194</f>
        <v>920.21684693272255</v>
      </c>
      <c r="U181" s="143">
        <f>ABS('Annual Calculations'!$Q$18)*(1+$C$3)^U$194</f>
        <v>956.10530396309866</v>
      </c>
      <c r="V181" s="143">
        <f>ABS('Annual Calculations'!$Q$18)*(1+$C$3)^V$194</f>
        <v>993.39341081765929</v>
      </c>
      <c r="W181" s="143">
        <f>ABS('Annual Calculations'!$Q$18)*(1+$C$3)^W$194</f>
        <v>1032.1357538395478</v>
      </c>
      <c r="X181" s="143">
        <f>ABS('Annual Calculations'!$Q$18)*(1+$C$3)^X$194</f>
        <v>1072.3890482392901</v>
      </c>
      <c r="Y181" s="143">
        <f>ABS('Annual Calculations'!$Q$18)*(1+$C$3)^Y$194</f>
        <v>1114.2122211206224</v>
      </c>
      <c r="Z181" s="143">
        <f>ABS('Annual Calculations'!$Q$18)*(1+$C$3)^Z$194</f>
        <v>1157.6664977443263</v>
      </c>
      <c r="AA181" s="143">
        <f>ABS('Annual Calculations'!$Q$18)*(1+$C$3)^AA$194</f>
        <v>1202.8154911563549</v>
      </c>
      <c r="AB181" s="143">
        <f>ABS('Annual Calculations'!$Q$18)*(1+$C$3)^AB$194</f>
        <v>1249.7252953114526</v>
      </c>
      <c r="AC181" s="143">
        <f>ABS('Annual Calculations'!$Q$18)*(1+$C$3)^AC$194</f>
        <v>1298.4645818285992</v>
      </c>
      <c r="AD181" s="143">
        <f>ABS('Annual Calculations'!$Q$18)*(1+$C$3)^AD$194</f>
        <v>1349.1047005199143</v>
      </c>
      <c r="AE181" s="143">
        <f>ABS('Annual Calculations'!$Q$18)*(1+$C$3)^AE$194</f>
        <v>1401.7197838401908</v>
      </c>
      <c r="AF181" s="143">
        <f>ABS('Annual Calculations'!$Q$18)*(1+$C$3)^AF$194</f>
        <v>1456.3868554099577</v>
      </c>
      <c r="AG181" s="143">
        <f>ABS('Annual Calculations'!$Q$18)*(1+$C$3)^AG$194</f>
        <v>1513.1859427709464</v>
      </c>
      <c r="AH181" s="143">
        <f>ABS('Annual Calculations'!$Q$18)*(1+$C$3)^AH$194</f>
        <v>1572.2001945390125</v>
      </c>
      <c r="AI181" s="143">
        <f>ABS('Annual Calculations'!$Q$18)*(1+$C$3)^AI$194</f>
        <v>1633.516002126034</v>
      </c>
      <c r="AJ181" s="143">
        <f>ABS('Annual Calculations'!$Q$18)*(1+$C$3)^AJ$194</f>
        <v>1697.2231262089492</v>
      </c>
      <c r="AK181" s="143">
        <f>ABS('Annual Calculations'!$Q$18)*(1+$C$3)^AK$194</f>
        <v>1763.4148281310979</v>
      </c>
      <c r="AL181" s="143">
        <f>ABS('Annual Calculations'!$Q$18)*(1+$C$3)^AL$194</f>
        <v>1832.1880064282104</v>
      </c>
      <c r="AM181" s="143">
        <f>ABS('Annual Calculations'!$Q$18)*(1+$C$3)^AM$194</f>
        <v>1903.6433386789108</v>
      </c>
      <c r="AN181" s="143">
        <f>ABS('Annual Calculations'!$Q$18)*(1+$C$3)^AN$194</f>
        <v>1977.8854288873877</v>
      </c>
      <c r="AO181" s="143">
        <f>ABS('Annual Calculations'!$Q$18)*(1+$C$3)^AO$194</f>
        <v>2055.0229606139956</v>
      </c>
      <c r="AP181" s="143">
        <f>ABS('Annual Calculations'!$Q$18)*(1+$C$3)^AP$194</f>
        <v>2135.1688560779407</v>
      </c>
      <c r="AQ181" s="143">
        <f>ABS('Annual Calculations'!$Q$18)*(1+$C$3)^AQ$194</f>
        <v>2218.4404414649807</v>
      </c>
      <c r="AR181" s="143">
        <f>ABS('Annual Calculations'!$Q$18)*(1+$C$3)^AR$194</f>
        <v>2304.9596186821145</v>
      </c>
      <c r="AS181" s="143">
        <f>ABS('Annual Calculations'!$Q$18)*(1+$C$3)^AS$194</f>
        <v>2394.8530438107168</v>
      </c>
      <c r="AT181" s="143">
        <f>ABS('Annual Calculations'!$Q$18)*(1+$C$3)^AT$194</f>
        <v>2488.2523125193343</v>
      </c>
      <c r="AU181" s="143">
        <f>ABS('Annual Calculations'!$Q$18)*(1+$C$3)^AU$194</f>
        <v>2585.2941527075882</v>
      </c>
      <c r="AV181" s="143">
        <f>ABS('Annual Calculations'!$Q$18)*(1+$C$3)^AV$194</f>
        <v>2686.1206246631832</v>
      </c>
      <c r="AW181" s="143">
        <f>ABS('Annual Calculations'!$Q$18)*(1+$C$3)^AW$194</f>
        <v>2790.8793290250474</v>
      </c>
      <c r="AX181" s="143">
        <f>ABS('Annual Calculations'!$Q$18)*(1+$C$3)^AX$194</f>
        <v>2899.7236228570232</v>
      </c>
      <c r="AY181" s="143">
        <f>ABS('Annual Calculations'!$Q$18)*(1+$C$3)^AY$194</f>
        <v>3012.8128441484473</v>
      </c>
      <c r="AZ181" s="143">
        <f>ABS('Annual Calculations'!$Q$18)*(1+$C$3)^AZ$194</f>
        <v>3130.3125450702364</v>
      </c>
      <c r="BA181" s="143">
        <f>ABS('Annual Calculations'!$Q$18)*(1+$C$3)^BA$194</f>
        <v>3252.3947343279751</v>
      </c>
      <c r="BB181" s="143">
        <f>ABS('Annual Calculations'!$Q$18)*(1+$C$3)^BB$194</f>
        <v>3379.238128966766</v>
      </c>
    </row>
    <row r="182" spans="1:54" x14ac:dyDescent="0.25">
      <c r="A182" s="181"/>
      <c r="B182" s="8" t="s">
        <v>357</v>
      </c>
      <c r="C182" s="142" t="s">
        <v>362</v>
      </c>
      <c r="D182" s="8">
        <v>0</v>
      </c>
      <c r="E182" s="143">
        <f>-'Annual Calculations'!$L$33*(1+$C$3)^E$194</f>
        <v>601.81448638888901</v>
      </c>
      <c r="F182" s="143">
        <f>-'Annual Calculations'!$L$33*(1+$C$3)^F$194</f>
        <v>625.28525135805558</v>
      </c>
      <c r="G182" s="143">
        <f>-'Annual Calculations'!$L$33*(1+$C$3)^G$194</f>
        <v>649.67137616101968</v>
      </c>
      <c r="H182" s="143">
        <f>-'Annual Calculations'!$L$33*(1+$C$3)^H$194</f>
        <v>675.00855983129929</v>
      </c>
      <c r="I182" s="143">
        <f>-'Annual Calculations'!$L$33*(1+$C$3)^I$194</f>
        <v>701.33389366471988</v>
      </c>
      <c r="J182" s="143">
        <f>-'Annual Calculations'!$L$33*(1+$C$3)^J$194</f>
        <v>728.68591551764382</v>
      </c>
      <c r="K182" s="143">
        <f>-'Annual Calculations'!$L$33*(1+$C$3)^K$194</f>
        <v>757.10466622283184</v>
      </c>
      <c r="L182" s="143">
        <f>-'Annual Calculations'!$L$33*(1+$C$3)^L$194</f>
        <v>786.63174820552217</v>
      </c>
      <c r="M182" s="143">
        <f>-'Annual Calculations'!$L$33*(1+$C$3)^M$194</f>
        <v>817.31038638553753</v>
      </c>
      <c r="N182" s="143">
        <f>-'Annual Calculations'!$L$33*(1+$C$3)^N$194</f>
        <v>849.18549145457325</v>
      </c>
      <c r="O182" s="143">
        <f>-'Annual Calculations'!$L$33*(1+$C$3)^O$194</f>
        <v>882.30372562130151</v>
      </c>
      <c r="P182" s="143">
        <f>-'Annual Calculations'!$L$33*(1+$C$3)^P$194</f>
        <v>916.71357092053199</v>
      </c>
      <c r="Q182" s="143">
        <f>-'Annual Calculations'!$L$33*(1+$C$3)^Q$194</f>
        <v>952.46540018643282</v>
      </c>
      <c r="R182" s="143">
        <f>-'Annual Calculations'!$L$33*(1+$C$3)^R$194</f>
        <v>989.61155079370337</v>
      </c>
      <c r="S182" s="143">
        <f>-'Annual Calculations'!$L$33*(1+$C$3)^S$194</f>
        <v>1028.2064012746578</v>
      </c>
      <c r="T182" s="143">
        <f>-'Annual Calculations'!$L$33*(1+$C$3)^T$194</f>
        <v>1068.3064509243693</v>
      </c>
      <c r="U182" s="143">
        <f>-'Annual Calculations'!$L$33*(1+$C$3)^U$194</f>
        <v>1109.9704025104197</v>
      </c>
      <c r="V182" s="143">
        <f>-'Annual Calculations'!$L$33*(1+$C$3)^V$194</f>
        <v>1153.2592482083257</v>
      </c>
      <c r="W182" s="143">
        <f>-'Annual Calculations'!$L$33*(1+$C$3)^W$194</f>
        <v>1198.2363588884502</v>
      </c>
      <c r="X182" s="143">
        <f>-'Annual Calculations'!$L$33*(1+$C$3)^X$194</f>
        <v>1244.9675768850998</v>
      </c>
      <c r="Y182" s="143">
        <f>-'Annual Calculations'!$L$33*(1+$C$3)^Y$194</f>
        <v>1293.5213123836186</v>
      </c>
      <c r="Z182" s="143">
        <f>-'Annual Calculations'!$L$33*(1+$C$3)^Z$194</f>
        <v>1343.9686435665792</v>
      </c>
      <c r="AA182" s="143">
        <f>-'Annual Calculations'!$L$33*(1+$C$3)^AA$194</f>
        <v>1396.3834206656759</v>
      </c>
      <c r="AB182" s="143">
        <f>-'Annual Calculations'!$L$33*(1+$C$3)^AB$194</f>
        <v>1450.8423740716369</v>
      </c>
      <c r="AC182" s="143">
        <f>-'Annual Calculations'!$L$33*(1+$C$3)^AC$194</f>
        <v>1507.4252266604308</v>
      </c>
      <c r="AD182" s="143">
        <f>-'Annual Calculations'!$L$33*(1+$C$3)^AD$194</f>
        <v>1566.2148105001872</v>
      </c>
      <c r="AE182" s="143">
        <f>-'Annual Calculations'!$L$33*(1+$C$3)^AE$194</f>
        <v>1627.2971881096942</v>
      </c>
      <c r="AF182" s="143">
        <f>-'Annual Calculations'!$L$33*(1+$C$3)^AF$194</f>
        <v>1690.7617784459719</v>
      </c>
      <c r="AG182" s="143">
        <f>-'Annual Calculations'!$L$33*(1+$C$3)^AG$194</f>
        <v>1756.7014878053651</v>
      </c>
      <c r="AH182" s="143">
        <f>-'Annual Calculations'!$L$33*(1+$C$3)^AH$194</f>
        <v>1825.2128458297734</v>
      </c>
      <c r="AI182" s="143">
        <f>-'Annual Calculations'!$L$33*(1+$C$3)^AI$194</f>
        <v>1896.3961468171346</v>
      </c>
      <c r="AJ182" s="143">
        <f>-'Annual Calculations'!$L$33*(1+$C$3)^AJ$194</f>
        <v>1970.3555965430028</v>
      </c>
      <c r="AK182" s="143">
        <f>-'Annual Calculations'!$L$33*(1+$C$3)^AK$194</f>
        <v>2047.1994648081795</v>
      </c>
      <c r="AL182" s="143">
        <f>-'Annual Calculations'!$L$33*(1+$C$3)^AL$194</f>
        <v>2127.0402439356981</v>
      </c>
      <c r="AM182" s="143">
        <f>-'Annual Calculations'!$L$33*(1+$C$3)^AM$194</f>
        <v>2209.9948134491906</v>
      </c>
      <c r="AN182" s="143">
        <f>-'Annual Calculations'!$L$33*(1+$C$3)^AN$194</f>
        <v>2296.1846111737082</v>
      </c>
      <c r="AO182" s="143">
        <f>-'Annual Calculations'!$L$33*(1+$C$3)^AO$194</f>
        <v>2385.7358110094824</v>
      </c>
      <c r="AP182" s="143">
        <f>-'Annual Calculations'!$L$33*(1+$C$3)^AP$194</f>
        <v>2478.779507638852</v>
      </c>
      <c r="AQ182" s="143">
        <f>-'Annual Calculations'!$L$33*(1+$C$3)^AQ$194</f>
        <v>2575.4519084367671</v>
      </c>
      <c r="AR182" s="143">
        <f>-'Annual Calculations'!$L$33*(1+$C$3)^AR$194</f>
        <v>2675.8945328658006</v>
      </c>
      <c r="AS182" s="143">
        <f>-'Annual Calculations'!$L$33*(1+$C$3)^AS$194</f>
        <v>2780.2544196475665</v>
      </c>
      <c r="AT182" s="143">
        <f>-'Annual Calculations'!$L$33*(1+$C$3)^AT$194</f>
        <v>2888.6843420138207</v>
      </c>
      <c r="AU182" s="143">
        <f>-'Annual Calculations'!$L$33*(1+$C$3)^AU$194</f>
        <v>3001.34303135236</v>
      </c>
      <c r="AV182" s="143">
        <f>-'Annual Calculations'!$L$33*(1+$C$3)^AV$194</f>
        <v>3118.395409575101</v>
      </c>
      <c r="AW182" s="143">
        <f>-'Annual Calculations'!$L$33*(1+$C$3)^AW$194</f>
        <v>3240.01283054853</v>
      </c>
      <c r="AX182" s="143">
        <f>-'Annual Calculations'!$L$33*(1+$C$3)^AX$194</f>
        <v>3366.3733309399213</v>
      </c>
      <c r="AY182" s="143">
        <f>-'Annual Calculations'!$L$33*(1+$C$3)^AY$194</f>
        <v>3497.6618908465784</v>
      </c>
      <c r="AZ182" s="143">
        <f>-'Annual Calculations'!$L$33*(1+$C$3)^AZ$194</f>
        <v>3634.0707045895947</v>
      </c>
      <c r="BA182" s="143">
        <f>-'Annual Calculations'!$L$33*(1+$C$3)^BA$194</f>
        <v>3775.7994620685886</v>
      </c>
      <c r="BB182" s="143">
        <f>-'Annual Calculations'!$L$33*(1+$C$3)^BB$194</f>
        <v>3923.0556410892632</v>
      </c>
    </row>
    <row r="183" spans="1:54" x14ac:dyDescent="0.25">
      <c r="A183" s="181"/>
      <c r="B183" s="8" t="s">
        <v>358</v>
      </c>
      <c r="C183" s="142" t="s">
        <v>362</v>
      </c>
      <c r="D183" s="143">
        <f>SUM(D180:D182)</f>
        <v>-3428.2015999999994</v>
      </c>
      <c r="E183" s="143">
        <f>SUM(E180:E182)</f>
        <v>1120.2049057522047</v>
      </c>
      <c r="F183" s="143">
        <f t="shared" ref="F183:BB183" si="1026">SUM(F180:F182)</f>
        <v>1163.8928970765405</v>
      </c>
      <c r="G183" s="143">
        <f t="shared" si="1026"/>
        <v>1209.2847200625256</v>
      </c>
      <c r="H183" s="143">
        <f t="shared" si="1026"/>
        <v>1256.4468241449636</v>
      </c>
      <c r="I183" s="143">
        <f t="shared" si="1026"/>
        <v>1290.313064693752</v>
      </c>
      <c r="J183" s="143">
        <f t="shared" si="1026"/>
        <v>1356.360732047795</v>
      </c>
      <c r="K183" s="143">
        <f t="shared" si="1026"/>
        <v>1409.2588005976588</v>
      </c>
      <c r="L183" s="143">
        <f t="shared" si="1026"/>
        <v>1464.2198938209672</v>
      </c>
      <c r="M183" s="143">
        <f t="shared" si="1026"/>
        <v>1521.324469679985</v>
      </c>
      <c r="N183" s="143">
        <f t="shared" si="1026"/>
        <v>-1288.0042737190283</v>
      </c>
      <c r="O183" s="143">
        <f t="shared" si="1026"/>
        <v>1642.3017128334063</v>
      </c>
      <c r="P183" s="143">
        <f t="shared" si="1026"/>
        <v>1706.3514796339086</v>
      </c>
      <c r="Q183" s="143">
        <f t="shared" si="1026"/>
        <v>1772.8991873396312</v>
      </c>
      <c r="R183" s="143">
        <f t="shared" si="1026"/>
        <v>1842.0422556458764</v>
      </c>
      <c r="S183" s="143">
        <f t="shared" si="1026"/>
        <v>1891.6926228018356</v>
      </c>
      <c r="T183" s="143">
        <f t="shared" si="1026"/>
        <v>1314.958270486077</v>
      </c>
      <c r="U183" s="143">
        <f t="shared" si="1026"/>
        <v>2066.0757064735185</v>
      </c>
      <c r="V183" s="143">
        <f t="shared" si="1026"/>
        <v>2146.652659025985</v>
      </c>
      <c r="W183" s="143">
        <f t="shared" si="1026"/>
        <v>2230.3721127279978</v>
      </c>
      <c r="X183" s="143">
        <f t="shared" si="1026"/>
        <v>-1888.3077676267762</v>
      </c>
      <c r="Y183" s="143">
        <f t="shared" si="1026"/>
        <v>2407.7335335042408</v>
      </c>
      <c r="Z183" s="143">
        <f t="shared" si="1026"/>
        <v>2501.6351413109055</v>
      </c>
      <c r="AA183" s="143">
        <f t="shared" si="1026"/>
        <v>2599.1989118220308</v>
      </c>
      <c r="AB183" s="143">
        <f t="shared" si="1026"/>
        <v>2700.5676693830892</v>
      </c>
      <c r="AC183" s="143">
        <f t="shared" si="1026"/>
        <v>-8675.9549572961278</v>
      </c>
      <c r="AD183" s="143">
        <f t="shared" si="1026"/>
        <v>2915.3195110201013</v>
      </c>
      <c r="AE183" s="143">
        <f t="shared" si="1026"/>
        <v>3029.0169719498849</v>
      </c>
      <c r="AF183" s="143">
        <f t="shared" si="1026"/>
        <v>3147.1486338559298</v>
      </c>
      <c r="AG183" s="143">
        <f t="shared" si="1026"/>
        <v>3269.8874305763115</v>
      </c>
      <c r="AH183" s="143">
        <f t="shared" si="1026"/>
        <v>1485.6302729951897</v>
      </c>
      <c r="AI183" s="143">
        <f t="shared" si="1026"/>
        <v>3529.9121489431686</v>
      </c>
      <c r="AJ183" s="143">
        <f t="shared" si="1026"/>
        <v>2425.273558191941</v>
      </c>
      <c r="AK183" s="143">
        <f t="shared" si="1026"/>
        <v>3810.6142929392772</v>
      </c>
      <c r="AL183" s="143">
        <f t="shared" si="1026"/>
        <v>3959.2282503639085</v>
      </c>
      <c r="AM183" s="143">
        <f t="shared" si="1026"/>
        <v>4065.9452030734919</v>
      </c>
      <c r="AN183" s="143">
        <f t="shared" si="1026"/>
        <v>4274.0700400610958</v>
      </c>
      <c r="AO183" s="143">
        <f t="shared" si="1026"/>
        <v>4440.7587716234775</v>
      </c>
      <c r="AP183" s="143">
        <f t="shared" si="1026"/>
        <v>4613.9483637167923</v>
      </c>
      <c r="AQ183" s="143">
        <f t="shared" si="1026"/>
        <v>4793.8923499017474</v>
      </c>
      <c r="AR183" s="143">
        <f t="shared" si="1026"/>
        <v>-23692.76238400993</v>
      </c>
      <c r="AS183" s="143">
        <f t="shared" si="1026"/>
        <v>5175.1074634582837</v>
      </c>
      <c r="AT183" s="143">
        <f t="shared" si="1026"/>
        <v>5376.936654533155</v>
      </c>
      <c r="AU183" s="143">
        <f t="shared" si="1026"/>
        <v>5586.6371840599477</v>
      </c>
      <c r="AV183" s="143">
        <f t="shared" si="1026"/>
        <v>5804.5160342382842</v>
      </c>
      <c r="AW183" s="143">
        <f t="shared" si="1026"/>
        <v>5960.9708340015677</v>
      </c>
      <c r="AX183" s="143">
        <f t="shared" si="1026"/>
        <v>6266.0969537969449</v>
      </c>
      <c r="AY183" s="143">
        <f t="shared" si="1026"/>
        <v>6510.4747349950258</v>
      </c>
      <c r="AZ183" s="143">
        <f t="shared" si="1026"/>
        <v>6764.3832496598316</v>
      </c>
      <c r="BA183" s="143">
        <f t="shared" si="1026"/>
        <v>7028.1941963965637</v>
      </c>
      <c r="BB183" s="143">
        <f t="shared" si="1026"/>
        <v>7217.6319909015092</v>
      </c>
    </row>
    <row r="184" spans="1:54" x14ac:dyDescent="0.25">
      <c r="A184" s="181"/>
      <c r="B184" s="8" t="s">
        <v>359</v>
      </c>
      <c r="C184" s="142"/>
      <c r="D184" s="8">
        <f t="shared" ref="D184:AI184" si="1027">(1+$C$2)^D$194</f>
        <v>1</v>
      </c>
      <c r="E184" s="144">
        <f t="shared" si="1027"/>
        <v>1.1219999999999999</v>
      </c>
      <c r="F184" s="144">
        <f t="shared" si="1027"/>
        <v>1.2588839999999997</v>
      </c>
      <c r="G184" s="144">
        <f t="shared" si="1027"/>
        <v>1.4124678479999995</v>
      </c>
      <c r="H184" s="144">
        <f t="shared" si="1027"/>
        <v>1.5847889254559993</v>
      </c>
      <c r="I184" s="144">
        <f t="shared" si="1027"/>
        <v>1.7781331743616309</v>
      </c>
      <c r="J184" s="144">
        <f t="shared" si="1027"/>
        <v>1.9950654216337496</v>
      </c>
      <c r="K184" s="144">
        <f t="shared" si="1027"/>
        <v>2.2384634030730668</v>
      </c>
      <c r="L184" s="144">
        <f t="shared" si="1027"/>
        <v>2.5115559382479806</v>
      </c>
      <c r="M184" s="144">
        <f t="shared" si="1027"/>
        <v>2.817965762714234</v>
      </c>
      <c r="N184" s="144">
        <f t="shared" si="1027"/>
        <v>3.1617575857653701</v>
      </c>
      <c r="O184" s="144">
        <f t="shared" si="1027"/>
        <v>3.5474920112287447</v>
      </c>
      <c r="P184" s="144">
        <f t="shared" si="1027"/>
        <v>3.9802860365986512</v>
      </c>
      <c r="Q184" s="144">
        <f t="shared" si="1027"/>
        <v>4.4658809330636862</v>
      </c>
      <c r="R184" s="144">
        <f t="shared" si="1027"/>
        <v>5.0107184068974551</v>
      </c>
      <c r="S184" s="144">
        <f t="shared" si="1027"/>
        <v>5.6220260525389438</v>
      </c>
      <c r="T184" s="144">
        <f t="shared" si="1027"/>
        <v>6.307913230948694</v>
      </c>
      <c r="U184" s="144">
        <f t="shared" si="1027"/>
        <v>7.077478645124434</v>
      </c>
      <c r="V184" s="144">
        <f t="shared" si="1027"/>
        <v>7.9409310398296133</v>
      </c>
      <c r="W184" s="144">
        <f t="shared" si="1027"/>
        <v>8.9097246266888259</v>
      </c>
      <c r="X184" s="144">
        <f t="shared" si="1027"/>
        <v>9.9967110311448621</v>
      </c>
      <c r="Y184" s="144">
        <f t="shared" si="1027"/>
        <v>11.216309776944533</v>
      </c>
      <c r="Z184" s="144">
        <f t="shared" si="1027"/>
        <v>12.584699569731765</v>
      </c>
      <c r="AA184" s="144">
        <f t="shared" si="1027"/>
        <v>14.120032917239037</v>
      </c>
      <c r="AB184" s="144">
        <f t="shared" si="1027"/>
        <v>15.842676933142199</v>
      </c>
      <c r="AC184" s="144">
        <f t="shared" si="1027"/>
        <v>17.775483518985546</v>
      </c>
      <c r="AD184" s="144">
        <f t="shared" si="1027"/>
        <v>19.944092508301779</v>
      </c>
      <c r="AE184" s="144">
        <f t="shared" si="1027"/>
        <v>22.377271794314591</v>
      </c>
      <c r="AF184" s="144">
        <f t="shared" si="1027"/>
        <v>25.107298953220969</v>
      </c>
      <c r="AG184" s="144">
        <f t="shared" si="1027"/>
        <v>28.170389425513925</v>
      </c>
      <c r="AH184" s="144">
        <f t="shared" si="1027"/>
        <v>31.607176935426619</v>
      </c>
      <c r="AI184" s="144">
        <f t="shared" si="1027"/>
        <v>35.463252521548661</v>
      </c>
      <c r="AJ184" s="144">
        <f t="shared" ref="AJ184:BB184" si="1028">(1+$C$2)^AJ$194</f>
        <v>39.789769329177595</v>
      </c>
      <c r="AK184" s="144">
        <f t="shared" si="1028"/>
        <v>44.644121187337255</v>
      </c>
      <c r="AL184" s="144">
        <f t="shared" si="1028"/>
        <v>50.090703972192394</v>
      </c>
      <c r="AM184" s="144">
        <f t="shared" si="1028"/>
        <v>56.201769856799864</v>
      </c>
      <c r="AN184" s="144">
        <f t="shared" si="1028"/>
        <v>63.058385779329434</v>
      </c>
      <c r="AO184" s="144">
        <f t="shared" si="1028"/>
        <v>70.751508844407624</v>
      </c>
      <c r="AP184" s="144">
        <f t="shared" si="1028"/>
        <v>79.383192923425341</v>
      </c>
      <c r="AQ184" s="144">
        <f t="shared" si="1028"/>
        <v>89.067942460083216</v>
      </c>
      <c r="AR184" s="144">
        <f t="shared" si="1028"/>
        <v>99.934231440213352</v>
      </c>
      <c r="AS184" s="144">
        <f t="shared" si="1028"/>
        <v>112.12620767591937</v>
      </c>
      <c r="AT184" s="144">
        <f t="shared" si="1028"/>
        <v>125.80560501238152</v>
      </c>
      <c r="AU184" s="144">
        <f t="shared" si="1028"/>
        <v>141.15388882389203</v>
      </c>
      <c r="AV184" s="144">
        <f t="shared" si="1028"/>
        <v>158.37466326040686</v>
      </c>
      <c r="AW184" s="144">
        <f t="shared" si="1028"/>
        <v>177.69637217817649</v>
      </c>
      <c r="AX184" s="144">
        <f t="shared" si="1028"/>
        <v>199.37532958391398</v>
      </c>
      <c r="AY184" s="144">
        <f t="shared" si="1028"/>
        <v>223.69911979315145</v>
      </c>
      <c r="AZ184" s="144">
        <f t="shared" si="1028"/>
        <v>250.9904124079159</v>
      </c>
      <c r="BA184" s="144">
        <f t="shared" si="1028"/>
        <v>281.61124272168161</v>
      </c>
      <c r="BB184" s="144">
        <f t="shared" si="1028"/>
        <v>315.96781433372672</v>
      </c>
    </row>
    <row r="185" spans="1:54" s="76" customFormat="1" x14ac:dyDescent="0.25">
      <c r="A185" s="181"/>
      <c r="B185" s="8" t="s">
        <v>360</v>
      </c>
      <c r="C185" s="142" t="s">
        <v>362</v>
      </c>
      <c r="D185" s="8">
        <f>D183/D184</f>
        <v>-3428.2015999999994</v>
      </c>
      <c r="E185" s="143">
        <f>E183/E184</f>
        <v>998.40009425330197</v>
      </c>
      <c r="F185" s="143">
        <f>F183/F184</f>
        <v>924.54340278893119</v>
      </c>
      <c r="G185" s="143">
        <f t="shared" ref="G185:BB185" si="1029">G183/G184</f>
        <v>856.1502633669337</v>
      </c>
      <c r="H185" s="143">
        <f t="shared" si="1029"/>
        <v>792.8165094815007</v>
      </c>
      <c r="I185" s="143">
        <f t="shared" si="1029"/>
        <v>725.65603257303178</v>
      </c>
      <c r="J185" s="143">
        <f t="shared" si="1029"/>
        <v>679.85777175020041</v>
      </c>
      <c r="K185" s="143">
        <f t="shared" si="1029"/>
        <v>629.5652627882871</v>
      </c>
      <c r="L185" s="143">
        <f t="shared" si="1029"/>
        <v>582.99314441803051</v>
      </c>
      <c r="M185" s="143">
        <f t="shared" si="1029"/>
        <v>539.86620057962011</v>
      </c>
      <c r="N185" s="143">
        <f t="shared" si="1029"/>
        <v>-407.36971092211036</v>
      </c>
      <c r="O185" s="143">
        <f t="shared" si="1029"/>
        <v>462.9472617937094</v>
      </c>
      <c r="P185" s="143">
        <f t="shared" si="1029"/>
        <v>428.70071747207123</v>
      </c>
      <c r="Q185" s="143">
        <f t="shared" si="1029"/>
        <v>396.98756279276483</v>
      </c>
      <c r="R185" s="143">
        <f t="shared" si="1029"/>
        <v>367.62039014410215</v>
      </c>
      <c r="S185" s="143">
        <f t="shared" si="1029"/>
        <v>336.47880766179208</v>
      </c>
      <c r="T185" s="143">
        <f t="shared" si="1029"/>
        <v>208.46169285183885</v>
      </c>
      <c r="U185" s="143">
        <f t="shared" si="1029"/>
        <v>291.92256311459255</v>
      </c>
      <c r="V185" s="143">
        <f t="shared" si="1029"/>
        <v>270.32757849916368</v>
      </c>
      <c r="W185" s="143">
        <f t="shared" si="1029"/>
        <v>250.33008383300441</v>
      </c>
      <c r="X185" s="143">
        <f t="shared" si="1029"/>
        <v>-188.89290305018648</v>
      </c>
      <c r="Y185" s="143">
        <f t="shared" si="1029"/>
        <v>214.66360874352904</v>
      </c>
      <c r="Z185" s="143">
        <f t="shared" si="1029"/>
        <v>198.78385872061199</v>
      </c>
      <c r="AA185" s="143">
        <f t="shared" si="1029"/>
        <v>184.07881391329403</v>
      </c>
      <c r="AB185" s="143">
        <f t="shared" si="1029"/>
        <v>170.46157545090236</v>
      </c>
      <c r="AC185" s="143">
        <f t="shared" si="1029"/>
        <v>-488.08545477986911</v>
      </c>
      <c r="AD185" s="143">
        <f t="shared" si="1029"/>
        <v>146.17458828004294</v>
      </c>
      <c r="AE185" s="143">
        <f t="shared" si="1029"/>
        <v>135.36131659800768</v>
      </c>
      <c r="AF185" s="143">
        <f t="shared" si="1029"/>
        <v>125.34795717052582</v>
      </c>
      <c r="AG185" s="143">
        <f t="shared" si="1029"/>
        <v>116.07533645292011</v>
      </c>
      <c r="AH185" s="143">
        <f t="shared" si="1029"/>
        <v>47.00294101021197</v>
      </c>
      <c r="AI185" s="143">
        <f t="shared" si="1029"/>
        <v>99.537179980834409</v>
      </c>
      <c r="AJ185" s="143">
        <f t="shared" si="1029"/>
        <v>60.952189446685296</v>
      </c>
      <c r="AK185" s="143">
        <f t="shared" si="1029"/>
        <v>85.355343359745873</v>
      </c>
      <c r="AL185" s="143">
        <f t="shared" si="1029"/>
        <v>79.041178030994629</v>
      </c>
      <c r="AM185" s="143">
        <f t="shared" si="1029"/>
        <v>72.345501101359929</v>
      </c>
      <c r="AN185" s="143">
        <f t="shared" si="1029"/>
        <v>67.779566305709935</v>
      </c>
      <c r="AO185" s="143">
        <f t="shared" si="1029"/>
        <v>62.765569867765244</v>
      </c>
      <c r="AP185" s="143">
        <f t="shared" si="1029"/>
        <v>58.122484039757659</v>
      </c>
      <c r="AQ185" s="143">
        <f t="shared" si="1029"/>
        <v>53.822870692788072</v>
      </c>
      <c r="AR185" s="143">
        <f t="shared" si="1029"/>
        <v>-237.08355027660727</v>
      </c>
      <c r="AS185" s="143">
        <f t="shared" si="1029"/>
        <v>46.154307460535904</v>
      </c>
      <c r="AT185" s="143">
        <f t="shared" si="1029"/>
        <v>42.740040509355431</v>
      </c>
      <c r="AU185" s="143">
        <f t="shared" si="1029"/>
        <v>39.578344108039488</v>
      </c>
      <c r="AV185" s="143">
        <f t="shared" si="1029"/>
        <v>36.650534338906432</v>
      </c>
      <c r="AW185" s="143">
        <f t="shared" si="1029"/>
        <v>33.545821791029539</v>
      </c>
      <c r="AX185" s="143">
        <f t="shared" si="1029"/>
        <v>31.428647500540642</v>
      </c>
      <c r="AY185" s="143">
        <f t="shared" si="1029"/>
        <v>29.103711901124537</v>
      </c>
      <c r="AZ185" s="143">
        <f t="shared" si="1029"/>
        <v>26.950763516281995</v>
      </c>
      <c r="BA185" s="143">
        <f t="shared" si="1029"/>
        <v>24.957079584150616</v>
      </c>
      <c r="BB185" s="143">
        <f t="shared" si="1029"/>
        <v>22.842934196070399</v>
      </c>
    </row>
    <row r="186" spans="1:54" s="76" customFormat="1" x14ac:dyDescent="0.25">
      <c r="A186" s="181"/>
      <c r="B186" s="8" t="s">
        <v>645</v>
      </c>
      <c r="C186" s="142" t="s">
        <v>362</v>
      </c>
      <c r="D186" s="8">
        <f>D185</f>
        <v>-3428.2015999999994</v>
      </c>
      <c r="E186" s="143">
        <f>E185+D186</f>
        <v>-2429.8015057466973</v>
      </c>
      <c r="F186" s="143">
        <f t="shared" ref="F186" si="1030">F185+E186</f>
        <v>-1505.2581029577661</v>
      </c>
      <c r="G186" s="143">
        <f t="shared" ref="G186" si="1031">G185+F186</f>
        <v>-649.10783959083244</v>
      </c>
      <c r="H186" s="143">
        <f t="shared" ref="H186" si="1032">H185+G186</f>
        <v>143.70866989066826</v>
      </c>
      <c r="I186" s="143">
        <f t="shared" ref="I186" si="1033">I185+H186</f>
        <v>869.36470246370004</v>
      </c>
      <c r="J186" s="143">
        <f t="shared" ref="J186" si="1034">J185+I186</f>
        <v>1549.2224742139006</v>
      </c>
      <c r="K186" s="143">
        <f t="shared" ref="K186" si="1035">K185+J186</f>
        <v>2178.7877370021879</v>
      </c>
      <c r="L186" s="143">
        <f t="shared" ref="L186" si="1036">L185+K186</f>
        <v>2761.7808814202185</v>
      </c>
      <c r="M186" s="143">
        <f t="shared" ref="M186" si="1037">M185+L186</f>
        <v>3301.6470819998385</v>
      </c>
      <c r="N186" s="143">
        <f t="shared" ref="N186" si="1038">N185+M186</f>
        <v>2894.2773710777283</v>
      </c>
      <c r="O186" s="143">
        <f t="shared" ref="O186" si="1039">O185+N186</f>
        <v>3357.2246328714377</v>
      </c>
      <c r="P186" s="143">
        <f t="shared" ref="P186" si="1040">P185+O186</f>
        <v>3785.9253503435089</v>
      </c>
      <c r="Q186" s="143">
        <f t="shared" ref="Q186" si="1041">Q185+P186</f>
        <v>4182.9129131362733</v>
      </c>
      <c r="R186" s="143">
        <f t="shared" ref="R186" si="1042">R185+Q186</f>
        <v>4550.5333032803755</v>
      </c>
      <c r="S186" s="143">
        <f t="shared" ref="S186" si="1043">S185+R186</f>
        <v>4887.012110942168</v>
      </c>
      <c r="T186" s="143">
        <f t="shared" ref="T186" si="1044">T185+S186</f>
        <v>5095.4738037940069</v>
      </c>
      <c r="U186" s="143">
        <f t="shared" ref="U186" si="1045">U185+T186</f>
        <v>5387.3963669085997</v>
      </c>
      <c r="V186" s="143">
        <f t="shared" ref="V186" si="1046">V185+U186</f>
        <v>5657.7239454077635</v>
      </c>
      <c r="W186" s="143">
        <f t="shared" ref="W186" si="1047">W185+V186</f>
        <v>5908.0540292407677</v>
      </c>
      <c r="X186" s="143">
        <f t="shared" ref="X186" si="1048">X185+W186</f>
        <v>5719.1611261905809</v>
      </c>
      <c r="Y186" s="143">
        <f t="shared" ref="Y186" si="1049">Y185+X186</f>
        <v>5933.82473493411</v>
      </c>
      <c r="Z186" s="143">
        <f t="shared" ref="Z186" si="1050">Z185+Y186</f>
        <v>6132.6085936547224</v>
      </c>
      <c r="AA186" s="143">
        <f t="shared" ref="AA186" si="1051">AA185+Z186</f>
        <v>6316.6874075680162</v>
      </c>
      <c r="AB186" s="143">
        <f t="shared" ref="AB186" si="1052">AB185+AA186</f>
        <v>6487.1489830189184</v>
      </c>
      <c r="AC186" s="143">
        <f t="shared" ref="AC186" si="1053">AC185+AB186</f>
        <v>5999.0635282390494</v>
      </c>
      <c r="AD186" s="143">
        <f t="shared" ref="AD186" si="1054">AD185+AC186</f>
        <v>6145.2381165190927</v>
      </c>
      <c r="AE186" s="143">
        <f t="shared" ref="AE186" si="1055">AE185+AD186</f>
        <v>6280.5994331171005</v>
      </c>
      <c r="AF186" s="143">
        <f t="shared" ref="AF186" si="1056">AF185+AE186</f>
        <v>6405.9473902876261</v>
      </c>
      <c r="AG186" s="143">
        <f t="shared" ref="AG186" si="1057">AG185+AF186</f>
        <v>6522.0227267405462</v>
      </c>
      <c r="AH186" s="143">
        <f t="shared" ref="AH186" si="1058">AH185+AG186</f>
        <v>6569.0256677507577</v>
      </c>
      <c r="AI186" s="143">
        <f t="shared" ref="AI186" si="1059">AI185+AH186</f>
        <v>6668.5628477315922</v>
      </c>
      <c r="AJ186" s="143">
        <f t="shared" ref="AJ186" si="1060">AJ185+AI186</f>
        <v>6729.5150371782775</v>
      </c>
      <c r="AK186" s="143">
        <f t="shared" ref="AK186" si="1061">AK185+AJ186</f>
        <v>6814.8703805380237</v>
      </c>
      <c r="AL186" s="143">
        <f t="shared" ref="AL186" si="1062">AL185+AK186</f>
        <v>6893.9115585690188</v>
      </c>
      <c r="AM186" s="143">
        <f t="shared" ref="AM186" si="1063">AM185+AL186</f>
        <v>6966.257059670379</v>
      </c>
      <c r="AN186" s="143">
        <f t="shared" ref="AN186" si="1064">AN185+AM186</f>
        <v>7034.0366259760885</v>
      </c>
      <c r="AO186" s="143">
        <f t="shared" ref="AO186" si="1065">AO185+AN186</f>
        <v>7096.802195843854</v>
      </c>
      <c r="AP186" s="143">
        <f t="shared" ref="AP186" si="1066">AP185+AO186</f>
        <v>7154.924679883612</v>
      </c>
      <c r="AQ186" s="143">
        <f t="shared" ref="AQ186" si="1067">AQ185+AP186</f>
        <v>7208.7475505764005</v>
      </c>
      <c r="AR186" s="143">
        <f t="shared" ref="AR186" si="1068">AR185+AQ186</f>
        <v>6971.6640002997929</v>
      </c>
      <c r="AS186" s="143">
        <f t="shared" ref="AS186" si="1069">AS185+AR186</f>
        <v>7017.8183077603289</v>
      </c>
      <c r="AT186" s="143">
        <f t="shared" ref="AT186" si="1070">AT185+AS186</f>
        <v>7060.5583482696848</v>
      </c>
      <c r="AU186" s="143">
        <f t="shared" ref="AU186" si="1071">AU185+AT186</f>
        <v>7100.1366923777241</v>
      </c>
      <c r="AV186" s="143">
        <f t="shared" ref="AV186" si="1072">AV185+AU186</f>
        <v>7136.7872267166304</v>
      </c>
      <c r="AW186" s="143">
        <f t="shared" ref="AW186" si="1073">AW185+AV186</f>
        <v>7170.3330485076604</v>
      </c>
      <c r="AX186" s="143">
        <f t="shared" ref="AX186" si="1074">AX185+AW186</f>
        <v>7201.7616960082014</v>
      </c>
      <c r="AY186" s="143">
        <f t="shared" ref="AY186" si="1075">AY185+AX186</f>
        <v>7230.8654079093258</v>
      </c>
      <c r="AZ186" s="143">
        <f t="shared" ref="AZ186" si="1076">AZ185+AY186</f>
        <v>7257.8161714256075</v>
      </c>
      <c r="BA186" s="143">
        <f t="shared" ref="BA186" si="1077">BA185+AZ186</f>
        <v>7282.7732510097585</v>
      </c>
      <c r="BB186" s="143">
        <f t="shared" ref="BB186" si="1078">BB185+BA186</f>
        <v>7305.6161852058285</v>
      </c>
    </row>
    <row r="187" spans="1:54" s="76" customFormat="1" x14ac:dyDescent="0.25">
      <c r="A187" s="8"/>
      <c r="B187" s="9" t="s">
        <v>361</v>
      </c>
      <c r="C187" s="145" t="s">
        <v>362</v>
      </c>
      <c r="D187" s="146">
        <f>SUM(D185:BB185)</f>
        <v>7305.6161852058285</v>
      </c>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row>
    <row r="188" spans="1:54" s="76" customFormat="1" x14ac:dyDescent="0.25">
      <c r="A188" s="8"/>
      <c r="B188" s="8"/>
      <c r="C188" s="142" t="s">
        <v>362</v>
      </c>
      <c r="D188" s="8"/>
      <c r="E188" s="14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row>
    <row r="189" spans="1:54" s="76" customFormat="1" x14ac:dyDescent="0.25">
      <c r="A189" s="8"/>
      <c r="B189" s="8" t="s">
        <v>829</v>
      </c>
      <c r="C189" s="142" t="s">
        <v>362</v>
      </c>
      <c r="D189" s="8">
        <f>D180/D$184*'General variables'!$B$11</f>
        <v>-27425.612799999995</v>
      </c>
      <c r="E189" s="8">
        <f>E180/E$184*'General variables'!$B$11</f>
        <v>0</v>
      </c>
      <c r="F189" s="8">
        <f>F180/F$184*'General variables'!$B$11</f>
        <v>0</v>
      </c>
      <c r="G189" s="8">
        <f>G180/G$184*'General variables'!$B$11</f>
        <v>0</v>
      </c>
      <c r="H189" s="8">
        <f>H180/H$184*'General variables'!$B$11</f>
        <v>0</v>
      </c>
      <c r="I189" s="8">
        <f>I180/I$184*'General variables'!$B$11</f>
        <v>-68.094722312567725</v>
      </c>
      <c r="J189" s="8">
        <f>J180/J$184*'General variables'!$B$11</f>
        <v>0</v>
      </c>
      <c r="K189" s="8">
        <f>K180/K$184*'General variables'!$B$11</f>
        <v>0</v>
      </c>
      <c r="L189" s="8">
        <f>L180/L$184*'General variables'!$B$11</f>
        <v>0</v>
      </c>
      <c r="M189" s="8">
        <f>M180/M$184*'General variables'!$B$11</f>
        <v>0</v>
      </c>
      <c r="N189" s="8">
        <f>N180/N$184*'General variables'!$B$11</f>
        <v>-7258.3942820451557</v>
      </c>
      <c r="O189" s="8">
        <f>O180/O$184*'General variables'!$B$11</f>
        <v>0</v>
      </c>
      <c r="P189" s="8">
        <f>P180/P$184*'General variables'!$B$11</f>
        <v>0</v>
      </c>
      <c r="Q189" s="8">
        <f>Q180/Q$184*'General variables'!$B$11</f>
        <v>0</v>
      </c>
      <c r="R189" s="8">
        <f>R180/R$184*'General variables'!$B$11</f>
        <v>0</v>
      </c>
      <c r="S189" s="8">
        <f>S180/S$184*'General variables'!$B$11</f>
        <v>-31.574781912238361</v>
      </c>
      <c r="T189" s="8">
        <f>T180/T$184*'General variables'!$B$11</f>
        <v>-854.24767616178815</v>
      </c>
      <c r="U189" s="8">
        <f>U180/U$184*'General variables'!$B$11</f>
        <v>0</v>
      </c>
      <c r="V189" s="8">
        <f>V180/V$184*'General variables'!$B$11</f>
        <v>0</v>
      </c>
      <c r="W189" s="8">
        <f>W180/W$184*'General variables'!$B$11</f>
        <v>0</v>
      </c>
      <c r="X189" s="8">
        <f>X180/X$184*'General variables'!$B$11</f>
        <v>-3365.6384622089186</v>
      </c>
      <c r="Y189" s="8">
        <f>Y180/Y$184*'General variables'!$B$11</f>
        <v>0</v>
      </c>
      <c r="Z189" s="8">
        <f>Z180/Z$184*'General variables'!$B$11</f>
        <v>0</v>
      </c>
      <c r="AA189" s="8">
        <f>AA180/AA$184*'General variables'!$B$11</f>
        <v>0</v>
      </c>
      <c r="AB189" s="8">
        <f>AB180/AB$184*'General variables'!$B$11</f>
        <v>0</v>
      </c>
      <c r="AC189" s="8">
        <f>AC180/AC$184*'General variables'!$B$11</f>
        <v>-5167.4970207237129</v>
      </c>
      <c r="AD189" s="8">
        <f>AD180/AD$184*'General variables'!$B$11</f>
        <v>0</v>
      </c>
      <c r="AE189" s="8">
        <f>AE180/AE$184*'General variables'!$B$11</f>
        <v>0</v>
      </c>
      <c r="AF189" s="8">
        <f>AF180/AF$184*'General variables'!$B$11</f>
        <v>0</v>
      </c>
      <c r="AG189" s="8">
        <f>AG180/AG$184*'General variables'!$B$11</f>
        <v>0</v>
      </c>
      <c r="AH189" s="8">
        <f>AH180/AH$184*'General variables'!$B$11</f>
        <v>-483.88573804724501</v>
      </c>
      <c r="AI189" s="8">
        <f>AI180/AI$184*'General variables'!$B$11</f>
        <v>0</v>
      </c>
      <c r="AJ189" s="8">
        <f>AJ180/AJ$184*'General variables'!$B$11</f>
        <v>-249.77378567490939</v>
      </c>
      <c r="AK189" s="8">
        <f>AK180/AK$184*'General variables'!$B$11</f>
        <v>0</v>
      </c>
      <c r="AL189" s="8">
        <f>AL180/AL$184*'General variables'!$B$11</f>
        <v>0</v>
      </c>
      <c r="AM189" s="8">
        <f>AM180/AM$184*'General variables'!$B$11</f>
        <v>-6.7888180996619312</v>
      </c>
      <c r="AN189" s="8">
        <f>AN180/AN$184*'General variables'!$B$11</f>
        <v>0</v>
      </c>
      <c r="AO189" s="8">
        <f>AO180/AO$184*'General variables'!$B$11</f>
        <v>0</v>
      </c>
      <c r="AP189" s="8">
        <f>AP180/AP$184*'General variables'!$B$11</f>
        <v>0</v>
      </c>
      <c r="AQ189" s="8">
        <f>AQ180/AQ$184*'General variables'!$B$11</f>
        <v>0</v>
      </c>
      <c r="AR189" s="8">
        <f>AR180/AR$184*'General variables'!$B$11</f>
        <v>-2295.3989736909816</v>
      </c>
      <c r="AS189" s="8">
        <f>AS180/AS$184*'General variables'!$B$11</f>
        <v>0</v>
      </c>
      <c r="AT189" s="8">
        <f>AT180/AT$184*'General variables'!$B$11</f>
        <v>0</v>
      </c>
      <c r="AU189" s="8">
        <f>AU180/AU$184*'General variables'!$B$11</f>
        <v>0</v>
      </c>
      <c r="AV189" s="8">
        <f>AV180/AV$184*'General variables'!$B$11</f>
        <v>0</v>
      </c>
      <c r="AW189" s="8">
        <f>AW180/AW$184*'General variables'!$B$11</f>
        <v>-3.1479010951061621</v>
      </c>
      <c r="AX189" s="8">
        <f>AX180/AX$184*'General variables'!$B$11</f>
        <v>0</v>
      </c>
      <c r="AY189" s="8">
        <f>AY180/AY$184*'General variables'!$B$11</f>
        <v>0</v>
      </c>
      <c r="AZ189" s="8">
        <f>AZ180/AZ$184*'General variables'!$B$11</f>
        <v>0</v>
      </c>
      <c r="BA189" s="8">
        <f>BA180/BA$184*'General variables'!$B$11</f>
        <v>0</v>
      </c>
      <c r="BB189" s="8">
        <f>BB180/BB$184*'General variables'!$B$11</f>
        <v>-2.1435545093868198</v>
      </c>
    </row>
    <row r="190" spans="1:54" s="76" customFormat="1" x14ac:dyDescent="0.25">
      <c r="A190" s="8"/>
      <c r="B190" s="8" t="s">
        <v>830</v>
      </c>
      <c r="C190" s="142" t="s">
        <v>362</v>
      </c>
      <c r="D190" s="8">
        <f>D181/D$139*'General variables'!$B$11</f>
        <v>0</v>
      </c>
      <c r="E190" s="8">
        <f>E181/E$184*'General variables'!$B$11</f>
        <v>3696.1883733569748</v>
      </c>
      <c r="F190" s="8">
        <f>F181/F$184*'General variables'!$B$11</f>
        <v>3422.762673723616</v>
      </c>
      <c r="G190" s="8">
        <f>G181/G$184*'General variables'!$B$11</f>
        <v>3169.5636524053807</v>
      </c>
      <c r="H190" s="8">
        <f>H181/H$184*'General variables'!$B$11</f>
        <v>2935.0950399725402</v>
      </c>
      <c r="I190" s="8">
        <f>I181/I$184*'General variables'!$B$11</f>
        <v>2717.9712535931103</v>
      </c>
      <c r="J190" s="8">
        <f>J181/J$184*'General variables'!$B$11</f>
        <v>2516.9092089868459</v>
      </c>
      <c r="K190" s="8">
        <f>K181/K$184*'General variables'!$B$11</f>
        <v>2330.7207380903146</v>
      </c>
      <c r="L190" s="8">
        <f>L181/L$184*'General variables'!$B$11</f>
        <v>2158.3055676255231</v>
      </c>
      <c r="M190" s="8">
        <f>M181/M$184*'General variables'!$B$11</f>
        <v>1998.6448170792501</v>
      </c>
      <c r="N190" s="8">
        <f>N181/N$184*'General variables'!$B$11</f>
        <v>1850.7949776696441</v>
      </c>
      <c r="O190" s="8">
        <f>O181/O$184*'General variables'!$B$11</f>
        <v>1713.8823367190375</v>
      </c>
      <c r="P190" s="8">
        <f>P181/P$184*'General variables'!$B$11</f>
        <v>1587.0978144840283</v>
      </c>
      <c r="Q190" s="8">
        <f>Q181/Q$184*'General variables'!$B$11</f>
        <v>1469.6921829312885</v>
      </c>
      <c r="R190" s="8">
        <f>R181/R$184*'General variables'!$B$11</f>
        <v>1360.9716382046422</v>
      </c>
      <c r="S190" s="8">
        <f>S181/S$184*'General variables'!$B$11</f>
        <v>1260.2937006190939</v>
      </c>
      <c r="T190" s="8">
        <f>T181/T$184*'General variables'!$B$11</f>
        <v>1167.0634179529757</v>
      </c>
      <c r="U190" s="8">
        <f>U181/U$184*'General variables'!$B$11</f>
        <v>1080.7298496017306</v>
      </c>
      <c r="V190" s="8">
        <f>V181/V$184*'General variables'!$B$11</f>
        <v>1000.7828108165758</v>
      </c>
      <c r="W190" s="8">
        <f>W181/W$184*'General variables'!$B$11</f>
        <v>926.74985778825487</v>
      </c>
      <c r="X190" s="8">
        <f>X181/X$184*'General variables'!$B$11</f>
        <v>858.19349575935553</v>
      </c>
      <c r="Y190" s="8">
        <f>Y181/Y$184*'General variables'!$B$11</f>
        <v>794.70859366664047</v>
      </c>
      <c r="Z190" s="8">
        <f>Z181/Z$184*'General variables'!$B$11</f>
        <v>735.91999003532908</v>
      </c>
      <c r="AA190" s="8">
        <f>AA181/AA$184*'General variables'!$B$11</f>
        <v>681.48027597745727</v>
      </c>
      <c r="AB190" s="8">
        <f>AB181/AB$184*'General variables'!$B$11</f>
        <v>631.06774219302849</v>
      </c>
      <c r="AC190" s="8">
        <f>AC181/AC$184*'General variables'!$B$11</f>
        <v>584.38447784185087</v>
      </c>
      <c r="AD190" s="8">
        <f>AD181/AD$184*'General variables'!$B$11</f>
        <v>541.15461005141094</v>
      </c>
      <c r="AE190" s="8">
        <f>AE181/AE$184*'General variables'!$B$11</f>
        <v>501.12267365723346</v>
      </c>
      <c r="AF190" s="8">
        <f>AF181/AF$184*'General variables'!$B$11</f>
        <v>464.05210154176956</v>
      </c>
      <c r="AG190" s="8">
        <f>AG181/AG$184*'General variables'!$B$11</f>
        <v>429.72382665053362</v>
      </c>
      <c r="AH190" s="8">
        <f>AH181/AH$184*'General variables'!$B$11</f>
        <v>397.9349874241571</v>
      </c>
      <c r="AI190" s="8">
        <f>AI181/AI$184*'General variables'!$B$11</f>
        <v>368.49772899616693</v>
      </c>
      <c r="AJ190" s="8">
        <f>AJ181/AJ$184*'General variables'!$B$11</f>
        <v>341.23809307220807</v>
      </c>
      <c r="AK190" s="8">
        <f>AK181/AK$184*'General variables'!$B$11</f>
        <v>315.99498993050281</v>
      </c>
      <c r="AL190" s="8">
        <f>AL181/AL$184*'General variables'!$B$11</f>
        <v>292.6192464686207</v>
      </c>
      <c r="AM190" s="8">
        <f>AM181/AM$184*'General variables'!$B$11</f>
        <v>270.97272467103113</v>
      </c>
      <c r="AN190" s="8">
        <f>AN181/AN$184*'General variables'!$B$11</f>
        <v>250.9275052880582</v>
      </c>
      <c r="AO190" s="8">
        <f>AO181/AO$184*'General variables'!$B$11</f>
        <v>232.36513190222144</v>
      </c>
      <c r="AP190" s="8">
        <f>AP181/AP$184*'General variables'!$B$11</f>
        <v>215.17591091480219</v>
      </c>
      <c r="AQ190" s="8">
        <f>AQ181/AQ$184*'General variables'!$B$11</f>
        <v>199.25826331593541</v>
      </c>
      <c r="AR190" s="8">
        <f>AR181/AR$184*'General variables'!$B$11</f>
        <v>184.51812440753733</v>
      </c>
      <c r="AS190" s="8">
        <f>AS181/AS$184*'General variables'!$B$11</f>
        <v>170.86838793175693</v>
      </c>
      <c r="AT190" s="8">
        <f>AT181/AT$184*'General variables'!$B$11</f>
        <v>158.22839132004941</v>
      </c>
      <c r="AU190" s="8">
        <f>AU181/AU$184*'General variables'!$B$11</f>
        <v>146.52343902097272</v>
      </c>
      <c r="AV190" s="8">
        <f>AV181/AV$184*'General variables'!$B$11</f>
        <v>135.68436108983119</v>
      </c>
      <c r="AW190" s="8">
        <f>AW181/AW$184*'General variables'!$B$11</f>
        <v>125.64710443167078</v>
      </c>
      <c r="AX190" s="8">
        <f>AX181/AX$184*'General variables'!$B$11</f>
        <v>116.35235428209083</v>
      </c>
      <c r="AY190" s="8">
        <f>AY181/AY$184*'General variables'!$B$11</f>
        <v>107.74518368903067</v>
      </c>
      <c r="AZ190" s="8">
        <f>AZ181/AZ$184*'General variables'!$B$11</f>
        <v>99.774728924155852</v>
      </c>
      <c r="BA190" s="8">
        <f>BA181/BA$184*'General variables'!$B$11</f>
        <v>92.393888905702255</v>
      </c>
      <c r="BB190" s="8">
        <f>BB181/BB$184*'General variables'!$B$11</f>
        <v>85.559046856528198</v>
      </c>
    </row>
    <row r="191" spans="1:54" s="76" customFormat="1" x14ac:dyDescent="0.25">
      <c r="A191" s="8"/>
      <c r="B191" s="8" t="s">
        <v>831</v>
      </c>
      <c r="C191" s="142" t="s">
        <v>362</v>
      </c>
      <c r="D191" s="8">
        <f>D182/D$139*'General variables'!$B$11</f>
        <v>0</v>
      </c>
      <c r="E191" s="8">
        <f>E182/E$184*'General variables'!$B$11</f>
        <v>4291.012380669441</v>
      </c>
      <c r="F191" s="8">
        <f>F182/F$184*'General variables'!$B$11</f>
        <v>3973.5845485878331</v>
      </c>
      <c r="G191" s="8">
        <f>G182/G$184*'General variables'!$B$11</f>
        <v>3679.638454530088</v>
      </c>
      <c r="H191" s="8">
        <f>H182/H$184*'General variables'!$B$11</f>
        <v>3407.4370358794663</v>
      </c>
      <c r="I191" s="8">
        <f>I182/I$184*'General variables'!$B$11</f>
        <v>3155.3717293037125</v>
      </c>
      <c r="J191" s="8">
        <f>J182/J$184*'General variables'!$B$11</f>
        <v>2921.952965014757</v>
      </c>
      <c r="K191" s="8">
        <f>K182/K$184*'General variables'!$B$11</f>
        <v>2705.8013642159826</v>
      </c>
      <c r="L191" s="8">
        <f>L182/L$184*'General variables'!$B$11</f>
        <v>2505.6395877187215</v>
      </c>
      <c r="M191" s="8">
        <f>M182/M$184*'General variables'!$B$11</f>
        <v>2320.2847875577113</v>
      </c>
      <c r="N191" s="8">
        <f>N182/N$184*'General variables'!$B$11</f>
        <v>2148.6416169986287</v>
      </c>
      <c r="O191" s="8">
        <f>O182/O$184*'General variables'!$B$11</f>
        <v>1989.6957576306377</v>
      </c>
      <c r="P191" s="8">
        <f>P182/P$184*'General variables'!$B$11</f>
        <v>1842.507925292542</v>
      </c>
      <c r="Q191" s="8">
        <f>Q182/Q$184*'General variables'!$B$11</f>
        <v>1706.2083194108302</v>
      </c>
      <c r="R191" s="8">
        <f>R182/R$184*'General variables'!$B$11</f>
        <v>1579.991482948175</v>
      </c>
      <c r="S191" s="8">
        <f>S182/S$184*'General variables'!$B$11</f>
        <v>1463.1115425874814</v>
      </c>
      <c r="T191" s="8">
        <f>T182/T$184*'General variables'!$B$11</f>
        <v>1354.8778010235233</v>
      </c>
      <c r="U191" s="8">
        <f>U182/U$184*'General variables'!$B$11</f>
        <v>1254.6506553150095</v>
      </c>
      <c r="V191" s="8">
        <f>V182/V$184*'General variables'!$B$11</f>
        <v>1161.8378171767333</v>
      </c>
      <c r="W191" s="8">
        <f>W182/W$184*'General variables'!$B$11</f>
        <v>1075.8908128757805</v>
      </c>
      <c r="X191" s="8">
        <f>X182/X$184*'General variables'!$B$11</f>
        <v>996.30174204807145</v>
      </c>
      <c r="Y191" s="8">
        <f>Y182/Y$184*'General variables'!$B$11</f>
        <v>922.60027628159207</v>
      </c>
      <c r="Z191" s="8">
        <f>Z182/Z$184*'General variables'!$B$11</f>
        <v>854.35087972956683</v>
      </c>
      <c r="AA191" s="8">
        <f>AA182/AA$184*'General variables'!$B$11</f>
        <v>791.15023532889495</v>
      </c>
      <c r="AB191" s="8">
        <f>AB182/AB$184*'General variables'!$B$11</f>
        <v>732.62486141419038</v>
      </c>
      <c r="AC191" s="8">
        <f>AC182/AC$184*'General variables'!$B$11</f>
        <v>678.42890464290906</v>
      </c>
      <c r="AD191" s="8">
        <f>AD182/AD$184*'General variables'!$B$11</f>
        <v>628.24209618893269</v>
      </c>
      <c r="AE191" s="8">
        <f>AE182/AE$184*'General variables'!$B$11</f>
        <v>581.76785912682806</v>
      </c>
      <c r="AF191" s="8">
        <f>AF182/AF$184*'General variables'!$B$11</f>
        <v>538.73155582243692</v>
      </c>
      <c r="AG191" s="8">
        <f>AG182/AG$184*'General variables'!$B$11</f>
        <v>498.87886497282722</v>
      </c>
      <c r="AH191" s="8">
        <f>AH182/AH$184*'General variables'!$B$11</f>
        <v>461.97427870478367</v>
      </c>
      <c r="AI191" s="8">
        <f>AI182/AI$184*'General variables'!$B$11</f>
        <v>427.79971085050835</v>
      </c>
      <c r="AJ191" s="8">
        <f>AJ182/AJ$184*'General variables'!$B$11</f>
        <v>396.15320817618374</v>
      </c>
      <c r="AK191" s="8">
        <f>AK182/AK$184*'General variables'!$B$11</f>
        <v>366.84775694746423</v>
      </c>
      <c r="AL191" s="8">
        <f>AL182/AL$184*'General variables'!$B$11</f>
        <v>339.71017777933628</v>
      </c>
      <c r="AM191" s="8">
        <f>AM182/AM$184*'General variables'!$B$11</f>
        <v>314.58010223951021</v>
      </c>
      <c r="AN191" s="8">
        <f>AN182/AN$184*'General variables'!$B$11</f>
        <v>291.30902515762125</v>
      </c>
      <c r="AO191" s="8">
        <f>AO182/AO$184*'General variables'!$B$11</f>
        <v>269.75942703990057</v>
      </c>
      <c r="AP191" s="8">
        <f>AP182/AP$184*'General variables'!$B$11</f>
        <v>249.80396140325911</v>
      </c>
      <c r="AQ191" s="8">
        <f>AQ182/AQ$184*'General variables'!$B$11</f>
        <v>231.3247022263692</v>
      </c>
      <c r="AR191" s="8">
        <f>AR182/AR$184*'General variables'!$B$11</f>
        <v>214.21244707058611</v>
      </c>
      <c r="AS191" s="8">
        <f>AS182/AS$184*'General variables'!$B$11</f>
        <v>198.36607175253025</v>
      </c>
      <c r="AT191" s="8">
        <f>AT182/AT$184*'General variables'!$B$11</f>
        <v>183.69193275479404</v>
      </c>
      <c r="AU191" s="8">
        <f>AU182/AU$184*'General variables'!$B$11</f>
        <v>170.10331384334319</v>
      </c>
      <c r="AV191" s="8">
        <f>AV182/AV$184*'General variables'!$B$11</f>
        <v>157.51991362142024</v>
      </c>
      <c r="AW191" s="8">
        <f>AW182/AW$184*'General variables'!$B$11</f>
        <v>145.86737099167169</v>
      </c>
      <c r="AX191" s="8">
        <f>AX182/AX$184*'General variables'!$B$11</f>
        <v>135.07682572223428</v>
      </c>
      <c r="AY191" s="8">
        <f>AY182/AY$184*'General variables'!$B$11</f>
        <v>125.08451151996564</v>
      </c>
      <c r="AZ191" s="8">
        <f>AZ182/AZ$184*'General variables'!$B$11</f>
        <v>115.8313792061001</v>
      </c>
      <c r="BA191" s="8">
        <f>BA182/BA$184*'General variables'!$B$11</f>
        <v>107.26274776750267</v>
      </c>
      <c r="BB191" s="8">
        <f>BB182/BB$184*'General variables'!$B$11</f>
        <v>99.327981221421823</v>
      </c>
    </row>
    <row r="192" spans="1:54" s="76" customFormat="1" x14ac:dyDescent="0.25">
      <c r="A192" s="8"/>
      <c r="B192" s="8" t="s">
        <v>832</v>
      </c>
      <c r="C192" s="142" t="s">
        <v>362</v>
      </c>
      <c r="D192" s="8">
        <f>SUM(D189:D191)</f>
        <v>-27425.612799999995</v>
      </c>
      <c r="E192" s="8">
        <f t="shared" ref="E192:BB192" si="1079">SUM(E189:E191)</f>
        <v>7987.2007540264158</v>
      </c>
      <c r="F192" s="8">
        <f t="shared" si="1079"/>
        <v>7396.3472223114495</v>
      </c>
      <c r="G192" s="8">
        <f t="shared" si="1079"/>
        <v>6849.2021069354687</v>
      </c>
      <c r="H192" s="8">
        <f t="shared" si="1079"/>
        <v>6342.5320758520065</v>
      </c>
      <c r="I192" s="8">
        <f t="shared" si="1079"/>
        <v>5805.2482605842551</v>
      </c>
      <c r="J192" s="8">
        <f t="shared" si="1079"/>
        <v>5438.8621740016024</v>
      </c>
      <c r="K192" s="8">
        <f t="shared" si="1079"/>
        <v>5036.5221023062968</v>
      </c>
      <c r="L192" s="8">
        <f t="shared" si="1079"/>
        <v>4663.945155344245</v>
      </c>
      <c r="M192" s="8">
        <f t="shared" si="1079"/>
        <v>4318.9296046369618</v>
      </c>
      <c r="N192" s="8">
        <f t="shared" si="1079"/>
        <v>-3258.9576873768829</v>
      </c>
      <c r="O192" s="8">
        <f t="shared" si="1079"/>
        <v>3703.5780943496752</v>
      </c>
      <c r="P192" s="8">
        <f t="shared" si="1079"/>
        <v>3429.6057397765703</v>
      </c>
      <c r="Q192" s="8">
        <f t="shared" si="1079"/>
        <v>3175.9005023421187</v>
      </c>
      <c r="R192" s="8">
        <f t="shared" si="1079"/>
        <v>2940.9631211528172</v>
      </c>
      <c r="S192" s="8">
        <f t="shared" si="1079"/>
        <v>2691.8304612943366</v>
      </c>
      <c r="T192" s="8">
        <f t="shared" si="1079"/>
        <v>1667.6935428147108</v>
      </c>
      <c r="U192" s="8">
        <f t="shared" si="1079"/>
        <v>2335.3805049167404</v>
      </c>
      <c r="V192" s="8">
        <f t="shared" si="1079"/>
        <v>2162.620627993309</v>
      </c>
      <c r="W192" s="8">
        <f t="shared" si="1079"/>
        <v>2002.6406706640355</v>
      </c>
      <c r="X192" s="8">
        <f t="shared" si="1079"/>
        <v>-1511.1432244014918</v>
      </c>
      <c r="Y192" s="8">
        <f t="shared" si="1079"/>
        <v>1717.3088699482325</v>
      </c>
      <c r="Z192" s="8">
        <f t="shared" si="1079"/>
        <v>1590.2708697648959</v>
      </c>
      <c r="AA192" s="8">
        <f t="shared" si="1079"/>
        <v>1472.6305113063522</v>
      </c>
      <c r="AB192" s="8">
        <f t="shared" si="1079"/>
        <v>1363.6926036072189</v>
      </c>
      <c r="AC192" s="8">
        <f t="shared" si="1079"/>
        <v>-3904.6836382389533</v>
      </c>
      <c r="AD192" s="8">
        <f t="shared" si="1079"/>
        <v>1169.3967062403435</v>
      </c>
      <c r="AE192" s="8">
        <f t="shared" si="1079"/>
        <v>1082.8905327840616</v>
      </c>
      <c r="AF192" s="8">
        <f t="shared" si="1079"/>
        <v>1002.7836573642064</v>
      </c>
      <c r="AG192" s="8">
        <f t="shared" si="1079"/>
        <v>928.6026916233609</v>
      </c>
      <c r="AH192" s="8">
        <f t="shared" si="1079"/>
        <v>376.02352808169576</v>
      </c>
      <c r="AI192" s="8">
        <f t="shared" si="1079"/>
        <v>796.29743984667527</v>
      </c>
      <c r="AJ192" s="8">
        <f t="shared" si="1079"/>
        <v>487.61751557348242</v>
      </c>
      <c r="AK192" s="8">
        <f t="shared" si="1079"/>
        <v>682.8427468779671</v>
      </c>
      <c r="AL192" s="8">
        <f t="shared" si="1079"/>
        <v>632.32942424795692</v>
      </c>
      <c r="AM192" s="8">
        <f t="shared" si="1079"/>
        <v>578.76400881087943</v>
      </c>
      <c r="AN192" s="8">
        <f t="shared" si="1079"/>
        <v>542.23653044567948</v>
      </c>
      <c r="AO192" s="8">
        <f t="shared" si="1079"/>
        <v>502.12455894212201</v>
      </c>
      <c r="AP192" s="8">
        <f t="shared" si="1079"/>
        <v>464.97987231806133</v>
      </c>
      <c r="AQ192" s="8">
        <f t="shared" si="1079"/>
        <v>430.58296554230458</v>
      </c>
      <c r="AR192" s="8">
        <f t="shared" si="1079"/>
        <v>-1896.6684022128579</v>
      </c>
      <c r="AS192" s="8">
        <f t="shared" si="1079"/>
        <v>369.23445968428717</v>
      </c>
      <c r="AT192" s="8">
        <f t="shared" si="1079"/>
        <v>341.92032407484345</v>
      </c>
      <c r="AU192" s="8">
        <f t="shared" si="1079"/>
        <v>316.6267528643159</v>
      </c>
      <c r="AV192" s="8">
        <f t="shared" si="1079"/>
        <v>293.2042747112514</v>
      </c>
      <c r="AW192" s="8">
        <f t="shared" si="1079"/>
        <v>268.36657432823631</v>
      </c>
      <c r="AX192" s="8">
        <f t="shared" si="1079"/>
        <v>251.4291800043251</v>
      </c>
      <c r="AY192" s="8">
        <f t="shared" si="1079"/>
        <v>232.82969520899633</v>
      </c>
      <c r="AZ192" s="8">
        <f t="shared" si="1079"/>
        <v>215.60610813025596</v>
      </c>
      <c r="BA192" s="8">
        <f t="shared" si="1079"/>
        <v>199.65663667320493</v>
      </c>
      <c r="BB192" s="8">
        <f t="shared" si="1079"/>
        <v>182.74347356856322</v>
      </c>
    </row>
    <row r="193" spans="1:54" s="76" customFormat="1" x14ac:dyDescent="0.25">
      <c r="A193" s="8"/>
      <c r="B193" s="8" t="s">
        <v>646</v>
      </c>
      <c r="C193" s="147" t="s">
        <v>362</v>
      </c>
      <c r="D193" s="8">
        <f>D186*'General variables'!$B$11</f>
        <v>-27425.612799999995</v>
      </c>
      <c r="E193" s="8">
        <f>E186*'General variables'!$B$11</f>
        <v>-19438.412045973579</v>
      </c>
      <c r="F193" s="8">
        <f>F186*'General variables'!$B$11</f>
        <v>-12042.064823662129</v>
      </c>
      <c r="G193" s="8">
        <f>G186*'General variables'!$B$11</f>
        <v>-5192.8627167266595</v>
      </c>
      <c r="H193" s="8">
        <f>H186*'General variables'!$B$11</f>
        <v>1149.6693591253461</v>
      </c>
      <c r="I193" s="8">
        <f>I186*'General variables'!$B$11</f>
        <v>6954.9176197096003</v>
      </c>
      <c r="J193" s="8">
        <f>J186*'General variables'!$B$11</f>
        <v>12393.779793711205</v>
      </c>
      <c r="K193" s="8">
        <f>K186*'General variables'!$B$11</f>
        <v>17430.301896017503</v>
      </c>
      <c r="L193" s="8">
        <f>L186*'General variables'!$B$11</f>
        <v>22094.247051361748</v>
      </c>
      <c r="M193" s="8">
        <f>M186*'General variables'!$B$11</f>
        <v>26413.176655998708</v>
      </c>
      <c r="N193" s="8">
        <f>N186*'General variables'!$B$11</f>
        <v>23154.218968621826</v>
      </c>
      <c r="O193" s="8">
        <f>O186*'General variables'!$B$11</f>
        <v>26857.797062971502</v>
      </c>
      <c r="P193" s="8">
        <f>P186*'General variables'!$B$11</f>
        <v>30287.402802748071</v>
      </c>
      <c r="Q193" s="8">
        <f>Q186*'General variables'!$B$11</f>
        <v>33463.303305090187</v>
      </c>
      <c r="R193" s="8">
        <f>R186*'General variables'!$B$11</f>
        <v>36404.266426243004</v>
      </c>
      <c r="S193" s="8">
        <f>S186*'General variables'!$B$11</f>
        <v>39096.096887537344</v>
      </c>
      <c r="T193" s="8">
        <f>T186*'General variables'!$B$11</f>
        <v>40763.790430352055</v>
      </c>
      <c r="U193" s="8">
        <f>U186*'General variables'!$B$11</f>
        <v>43099.170935268798</v>
      </c>
      <c r="V193" s="8">
        <f>V186*'General variables'!$B$11</f>
        <v>45261.791563262108</v>
      </c>
      <c r="W193" s="8">
        <f>W186*'General variables'!$B$11</f>
        <v>47264.432233926142</v>
      </c>
      <c r="X193" s="8">
        <f>X186*'General variables'!$B$11</f>
        <v>45753.289009524648</v>
      </c>
      <c r="Y193" s="8">
        <f>Y186*'General variables'!$B$11</f>
        <v>47470.59787947288</v>
      </c>
      <c r="Z193" s="8">
        <f>Z186*'General variables'!$B$11</f>
        <v>49060.868749237779</v>
      </c>
      <c r="AA193" s="8">
        <f>AA186*'General variables'!$B$11</f>
        <v>50533.499260544129</v>
      </c>
      <c r="AB193" s="8">
        <f>AB186*'General variables'!$B$11</f>
        <v>51897.191864151348</v>
      </c>
      <c r="AC193" s="8">
        <f>AC186*'General variables'!$B$11</f>
        <v>47992.508225912396</v>
      </c>
      <c r="AD193" s="8">
        <f>AD186*'General variables'!$B$11</f>
        <v>49161.904932152742</v>
      </c>
      <c r="AE193" s="8">
        <f>AE186*'General variables'!$B$11</f>
        <v>50244.795464936804</v>
      </c>
      <c r="AF193" s="8">
        <f>AF186*'General variables'!$B$11</f>
        <v>51247.579122301009</v>
      </c>
      <c r="AG193" s="8">
        <f>AG186*'General variables'!$B$11</f>
        <v>52176.18181392437</v>
      </c>
      <c r="AH193" s="8">
        <f>AH186*'General variables'!$B$11</f>
        <v>52552.205342006062</v>
      </c>
      <c r="AI193" s="8">
        <f>AI186*'General variables'!$B$11</f>
        <v>53348.502781852738</v>
      </c>
      <c r="AJ193" s="8">
        <f>AJ186*'General variables'!$B$11</f>
        <v>53836.12029742622</v>
      </c>
      <c r="AK193" s="8">
        <f>AK186*'General variables'!$B$11</f>
        <v>54518.96304430419</v>
      </c>
      <c r="AL193" s="8">
        <f>AL186*'General variables'!$B$11</f>
        <v>55151.29246855215</v>
      </c>
      <c r="AM193" s="8">
        <f>AM186*'General variables'!$B$11</f>
        <v>55730.056477363032</v>
      </c>
      <c r="AN193" s="8">
        <f>AN186*'General variables'!$B$11</f>
        <v>56272.293007808708</v>
      </c>
      <c r="AO193" s="8">
        <f>AO186*'General variables'!$B$11</f>
        <v>56774.417566750832</v>
      </c>
      <c r="AP193" s="8">
        <f>AP186*'General variables'!$B$11</f>
        <v>57239.397439068896</v>
      </c>
      <c r="AQ193" s="8">
        <f>AQ186*'General variables'!$B$11</f>
        <v>57669.980404611204</v>
      </c>
      <c r="AR193" s="8">
        <f>AR186*'General variables'!$B$11</f>
        <v>55773.312002398343</v>
      </c>
      <c r="AS193" s="8">
        <f>AS186*'General variables'!$B$11</f>
        <v>56142.546462082631</v>
      </c>
      <c r="AT193" s="8">
        <f>AT186*'General variables'!$B$11</f>
        <v>56484.466786157478</v>
      </c>
      <c r="AU193" s="8">
        <f>AU186*'General variables'!$B$11</f>
        <v>56801.093539021793</v>
      </c>
      <c r="AV193" s="8">
        <f>AV186*'General variables'!$B$11</f>
        <v>57094.297813733043</v>
      </c>
      <c r="AW193" s="8">
        <f>AW186*'General variables'!$B$11</f>
        <v>57362.664388061283</v>
      </c>
      <c r="AX193" s="8">
        <f>AX186*'General variables'!$B$11</f>
        <v>57614.093568065611</v>
      </c>
      <c r="AY193" s="8">
        <f>AY186*'General variables'!$B$11</f>
        <v>57846.923263274606</v>
      </c>
      <c r="AZ193" s="8">
        <f>AZ186*'General variables'!$B$11</f>
        <v>58062.52937140486</v>
      </c>
      <c r="BA193" s="8">
        <f>BA186*'General variables'!$B$11</f>
        <v>58262.186008078068</v>
      </c>
      <c r="BB193" s="8">
        <f>BB186*'General variables'!$B$11</f>
        <v>58444.929481646628</v>
      </c>
    </row>
    <row r="194" spans="1:54" s="167" customFormat="1" x14ac:dyDescent="0.25">
      <c r="A194" s="154" t="s">
        <v>35</v>
      </c>
      <c r="B194" s="167" t="s">
        <v>355</v>
      </c>
      <c r="C194" s="168"/>
      <c r="D194" s="167">
        <v>0</v>
      </c>
      <c r="E194" s="167">
        <v>1</v>
      </c>
      <c r="F194" s="167">
        <v>2</v>
      </c>
      <c r="G194" s="167">
        <v>3</v>
      </c>
      <c r="H194" s="167">
        <v>4</v>
      </c>
      <c r="I194" s="167">
        <v>5</v>
      </c>
      <c r="J194" s="167">
        <v>6</v>
      </c>
      <c r="K194" s="167">
        <v>7</v>
      </c>
      <c r="L194" s="167">
        <v>8</v>
      </c>
      <c r="M194" s="167">
        <v>9</v>
      </c>
      <c r="N194" s="167">
        <v>10</v>
      </c>
      <c r="O194" s="167">
        <v>11</v>
      </c>
      <c r="P194" s="167">
        <v>12</v>
      </c>
      <c r="Q194" s="167">
        <v>13</v>
      </c>
      <c r="R194" s="167">
        <v>14</v>
      </c>
      <c r="S194" s="167">
        <v>15</v>
      </c>
      <c r="T194" s="167">
        <v>16</v>
      </c>
      <c r="U194" s="167">
        <v>17</v>
      </c>
      <c r="V194" s="167">
        <v>18</v>
      </c>
      <c r="W194" s="167">
        <v>19</v>
      </c>
      <c r="X194" s="167">
        <v>20</v>
      </c>
      <c r="Y194" s="167">
        <v>21</v>
      </c>
      <c r="Z194" s="167">
        <v>22</v>
      </c>
      <c r="AA194" s="167">
        <v>23</v>
      </c>
      <c r="AB194" s="167">
        <v>24</v>
      </c>
      <c r="AC194" s="167">
        <v>25</v>
      </c>
      <c r="AD194" s="167">
        <v>26</v>
      </c>
      <c r="AE194" s="167">
        <v>27</v>
      </c>
      <c r="AF194" s="167">
        <v>28</v>
      </c>
      <c r="AG194" s="167">
        <v>29</v>
      </c>
      <c r="AH194" s="167">
        <v>30</v>
      </c>
      <c r="AI194" s="167">
        <v>31</v>
      </c>
      <c r="AJ194" s="167">
        <v>32</v>
      </c>
      <c r="AK194" s="167">
        <v>33</v>
      </c>
      <c r="AL194" s="167">
        <v>34</v>
      </c>
      <c r="AM194" s="167">
        <v>35</v>
      </c>
      <c r="AN194" s="167">
        <v>36</v>
      </c>
      <c r="AO194" s="167">
        <v>37</v>
      </c>
      <c r="AP194" s="167">
        <v>38</v>
      </c>
      <c r="AQ194" s="167">
        <v>39</v>
      </c>
      <c r="AR194" s="167">
        <v>40</v>
      </c>
      <c r="AS194" s="167">
        <v>41</v>
      </c>
      <c r="AT194" s="167">
        <v>42</v>
      </c>
      <c r="AU194" s="167">
        <v>43</v>
      </c>
      <c r="AV194" s="167">
        <v>44</v>
      </c>
      <c r="AW194" s="167">
        <v>45</v>
      </c>
      <c r="AX194" s="167">
        <v>46</v>
      </c>
      <c r="AY194" s="167">
        <v>47</v>
      </c>
      <c r="AZ194" s="167">
        <v>48</v>
      </c>
      <c r="BA194" s="167">
        <v>49</v>
      </c>
      <c r="BB194" s="167">
        <v>50</v>
      </c>
    </row>
  </sheetData>
  <mergeCells count="21">
    <mergeCell ref="A103:A110"/>
    <mergeCell ref="A119:A126"/>
    <mergeCell ref="A111:A118"/>
    <mergeCell ref="A135:A141"/>
    <mergeCell ref="A127:A134"/>
    <mergeCell ref="A149:A155"/>
    <mergeCell ref="A159:A165"/>
    <mergeCell ref="A170:A176"/>
    <mergeCell ref="A180:A186"/>
    <mergeCell ref="A7:A14"/>
    <mergeCell ref="A31:A38"/>
    <mergeCell ref="A23:A30"/>
    <mergeCell ref="A15:A22"/>
    <mergeCell ref="A95:A102"/>
    <mergeCell ref="A63:A70"/>
    <mergeCell ref="A71:A78"/>
    <mergeCell ref="A79:A86"/>
    <mergeCell ref="A47:A54"/>
    <mergeCell ref="A39:A46"/>
    <mergeCell ref="A55:A62"/>
    <mergeCell ref="A87:A9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A1:BB168"/>
  <sheetViews>
    <sheetView zoomScale="89" zoomScaleNormal="89" workbookViewId="0">
      <selection activeCell="B6" sqref="B6"/>
    </sheetView>
  </sheetViews>
  <sheetFormatPr defaultRowHeight="15" x14ac:dyDescent="0.25"/>
  <cols>
    <col min="1" max="1" width="25.42578125" style="61" customWidth="1"/>
    <col min="2" max="2" width="41.42578125" bestFit="1" customWidth="1"/>
    <col min="3" max="3" width="14.28515625" style="127" bestFit="1" customWidth="1"/>
    <col min="4" max="54" width="8.7109375" customWidth="1"/>
  </cols>
  <sheetData>
    <row r="1" spans="1:54" x14ac:dyDescent="0.25">
      <c r="A1" t="s">
        <v>15</v>
      </c>
      <c r="C1" s="70">
        <v>0.02</v>
      </c>
      <c r="D1" s="71"/>
      <c r="E1" s="71"/>
    </row>
    <row r="2" spans="1:54" x14ac:dyDescent="0.25">
      <c r="A2" t="s">
        <v>354</v>
      </c>
      <c r="C2" s="70">
        <v>0.03</v>
      </c>
      <c r="E2" s="71"/>
    </row>
    <row r="3" spans="1:54" x14ac:dyDescent="0.25">
      <c r="A3" t="s">
        <v>376</v>
      </c>
      <c r="C3" s="70">
        <v>0.02</v>
      </c>
      <c r="E3" s="71"/>
    </row>
    <row r="4" spans="1:54" x14ac:dyDescent="0.25">
      <c r="A4"/>
      <c r="C4" s="70"/>
      <c r="E4" s="71"/>
    </row>
    <row r="5" spans="1:54" x14ac:dyDescent="0.25">
      <c r="A5" s="44" t="s">
        <v>555</v>
      </c>
      <c r="C5" s="70"/>
      <c r="E5" s="71"/>
    </row>
    <row r="6" spans="1:54" x14ac:dyDescent="0.25">
      <c r="A6" s="61" t="s">
        <v>248</v>
      </c>
      <c r="B6" t="s">
        <v>355</v>
      </c>
      <c r="D6">
        <v>0</v>
      </c>
      <c r="E6">
        <v>1</v>
      </c>
      <c r="F6">
        <v>2</v>
      </c>
      <c r="G6">
        <v>3</v>
      </c>
      <c r="H6">
        <v>4</v>
      </c>
      <c r="I6">
        <v>5</v>
      </c>
      <c r="J6">
        <v>6</v>
      </c>
      <c r="K6">
        <v>7</v>
      </c>
      <c r="L6">
        <v>8</v>
      </c>
      <c r="M6">
        <v>9</v>
      </c>
      <c r="N6">
        <v>10</v>
      </c>
      <c r="O6">
        <v>11</v>
      </c>
      <c r="P6">
        <v>12</v>
      </c>
      <c r="Q6">
        <v>13</v>
      </c>
      <c r="R6">
        <v>14</v>
      </c>
      <c r="S6">
        <v>15</v>
      </c>
      <c r="T6">
        <v>16</v>
      </c>
      <c r="U6">
        <v>17</v>
      </c>
      <c r="V6">
        <v>18</v>
      </c>
      <c r="W6">
        <v>19</v>
      </c>
      <c r="X6">
        <v>20</v>
      </c>
      <c r="Y6">
        <v>21</v>
      </c>
      <c r="Z6">
        <v>22</v>
      </c>
      <c r="AA6">
        <v>23</v>
      </c>
      <c r="AB6">
        <v>24</v>
      </c>
      <c r="AC6">
        <v>25</v>
      </c>
      <c r="AD6">
        <v>26</v>
      </c>
      <c r="AE6">
        <v>27</v>
      </c>
      <c r="AF6">
        <v>28</v>
      </c>
      <c r="AG6">
        <v>29</v>
      </c>
      <c r="AH6">
        <v>30</v>
      </c>
      <c r="AI6">
        <v>31</v>
      </c>
      <c r="AJ6">
        <v>32</v>
      </c>
      <c r="AK6">
        <v>33</v>
      </c>
      <c r="AL6">
        <v>34</v>
      </c>
      <c r="AM6">
        <v>35</v>
      </c>
      <c r="AN6">
        <v>36</v>
      </c>
      <c r="AO6">
        <v>37</v>
      </c>
      <c r="AP6">
        <v>38</v>
      </c>
      <c r="AQ6">
        <v>39</v>
      </c>
      <c r="AR6">
        <v>40</v>
      </c>
      <c r="AS6">
        <v>41</v>
      </c>
      <c r="AT6">
        <v>42</v>
      </c>
      <c r="AU6">
        <v>43</v>
      </c>
      <c r="AV6">
        <v>44</v>
      </c>
      <c r="AW6">
        <v>45</v>
      </c>
      <c r="AX6">
        <v>46</v>
      </c>
      <c r="AY6">
        <v>47</v>
      </c>
      <c r="AZ6">
        <v>48</v>
      </c>
      <c r="BA6">
        <v>49</v>
      </c>
      <c r="BB6">
        <v>50</v>
      </c>
    </row>
    <row r="7" spans="1:54" s="76" customFormat="1" x14ac:dyDescent="0.25">
      <c r="A7" s="180" t="s">
        <v>35</v>
      </c>
      <c r="B7" s="76" t="s">
        <v>363</v>
      </c>
      <c r="C7" s="77" t="s">
        <v>362</v>
      </c>
      <c r="D7" s="76">
        <f>-SOLAR_COLL!$B$25</f>
        <v>-2050</v>
      </c>
      <c r="E7" s="76">
        <v>0</v>
      </c>
      <c r="F7" s="76">
        <v>0</v>
      </c>
      <c r="G7" s="76">
        <v>0</v>
      </c>
      <c r="H7" s="76">
        <v>0</v>
      </c>
      <c r="I7" s="76">
        <v>0</v>
      </c>
      <c r="J7" s="76">
        <v>0</v>
      </c>
      <c r="K7" s="76">
        <v>0</v>
      </c>
      <c r="L7" s="76">
        <v>0</v>
      </c>
      <c r="M7" s="76">
        <v>0</v>
      </c>
      <c r="N7" s="76">
        <v>0</v>
      </c>
      <c r="O7" s="76">
        <v>0</v>
      </c>
      <c r="P7" s="76">
        <v>0</v>
      </c>
      <c r="Q7" s="76">
        <v>0</v>
      </c>
      <c r="R7" s="76">
        <v>0</v>
      </c>
      <c r="S7" s="76">
        <v>0</v>
      </c>
      <c r="T7" s="76">
        <v>0</v>
      </c>
      <c r="U7" s="76">
        <v>0</v>
      </c>
      <c r="V7" s="76">
        <v>0</v>
      </c>
      <c r="W7" s="76">
        <v>0</v>
      </c>
      <c r="X7" s="76">
        <v>0</v>
      </c>
      <c r="Y7" s="76">
        <v>0</v>
      </c>
      <c r="Z7" s="76">
        <v>0</v>
      </c>
      <c r="AA7" s="76">
        <v>0</v>
      </c>
      <c r="AB7" s="76">
        <v>0</v>
      </c>
      <c r="AC7" s="76">
        <f>-SOLAR_COLL!$B$36*(1+$C$1)^AC6</f>
        <v>-3035.1210897597498</v>
      </c>
      <c r="AD7" s="76">
        <v>0</v>
      </c>
      <c r="AE7" s="76">
        <v>0</v>
      </c>
      <c r="AF7" s="76">
        <v>0</v>
      </c>
      <c r="AG7" s="76">
        <v>0</v>
      </c>
      <c r="AH7" s="76">
        <v>0</v>
      </c>
      <c r="AI7" s="76">
        <v>0</v>
      </c>
      <c r="AJ7" s="76">
        <v>0</v>
      </c>
      <c r="AK7" s="76">
        <v>0</v>
      </c>
      <c r="AL7" s="76">
        <v>0</v>
      </c>
      <c r="AM7" s="76">
        <v>0</v>
      </c>
      <c r="AN7" s="76">
        <v>0</v>
      </c>
      <c r="AO7" s="76">
        <v>0</v>
      </c>
      <c r="AP7" s="76">
        <v>0</v>
      </c>
      <c r="AQ7" s="76">
        <v>0</v>
      </c>
      <c r="AR7" s="76">
        <v>0</v>
      </c>
      <c r="AS7" s="76">
        <v>0</v>
      </c>
      <c r="AT7" s="76">
        <v>0</v>
      </c>
      <c r="AU7" s="76">
        <v>0</v>
      </c>
      <c r="AV7" s="76">
        <v>0</v>
      </c>
      <c r="AW7" s="76">
        <v>0</v>
      </c>
      <c r="AX7" s="76">
        <v>0</v>
      </c>
      <c r="AY7" s="76">
        <v>0</v>
      </c>
      <c r="AZ7" s="76">
        <v>0</v>
      </c>
      <c r="BA7" s="76">
        <v>0</v>
      </c>
      <c r="BB7" s="76">
        <v>0</v>
      </c>
    </row>
    <row r="8" spans="1:54" s="76" customFormat="1" x14ac:dyDescent="0.25">
      <c r="A8" s="180"/>
      <c r="B8" s="76" t="s">
        <v>356</v>
      </c>
      <c r="C8" s="77" t="s">
        <v>362</v>
      </c>
      <c r="D8" s="76">
        <v>0</v>
      </c>
      <c r="E8" s="78">
        <f>ABS('Annual Calculations'!$Q$6)*(1+$C$3)^E$168</f>
        <v>250.39169046507243</v>
      </c>
      <c r="F8" s="78">
        <f>ABS('Annual Calculations'!$Q$6)*(1+$C$3)^F$168</f>
        <v>255.39952427437387</v>
      </c>
      <c r="G8" s="78">
        <f>ABS('Annual Calculations'!$Q$6)*(1+$C$3)^G$168</f>
        <v>260.50751475986135</v>
      </c>
      <c r="H8" s="78">
        <f>ABS('Annual Calculations'!$Q$6)*(1+$C$3)^H$168</f>
        <v>265.7176650550586</v>
      </c>
      <c r="I8" s="78">
        <f>ABS('Annual Calculations'!$Q$6)*(1+$C$3)^I$168</f>
        <v>271.03201835615977</v>
      </c>
      <c r="J8" s="78">
        <f>ABS('Annual Calculations'!$Q$6)*(1+$C$3)^J$168</f>
        <v>276.45265872328298</v>
      </c>
      <c r="K8" s="78">
        <f>ABS('Annual Calculations'!$Q$6)*(1+$C$3)^K$168</f>
        <v>281.9817118977486</v>
      </c>
      <c r="L8" s="78">
        <f>ABS('Annual Calculations'!$Q$6)*(1+$C$3)^L$168</f>
        <v>287.62134613570356</v>
      </c>
      <c r="M8" s="78">
        <f>ABS('Annual Calculations'!$Q$6)*(1+$C$3)^M$168</f>
        <v>293.37377305841767</v>
      </c>
      <c r="N8" s="78">
        <f>ABS('Annual Calculations'!$Q$6)*(1+$C$3)^N$168</f>
        <v>299.24124851958601</v>
      </c>
      <c r="O8" s="78">
        <f>ABS('Annual Calculations'!$Q$6)*(1+$C$3)^O$168</f>
        <v>305.22607348997769</v>
      </c>
      <c r="P8" s="78">
        <f>ABS('Annual Calculations'!$Q$6)*(1+$C$3)^P$168</f>
        <v>311.33059495977727</v>
      </c>
      <c r="Q8" s="78">
        <f>ABS('Annual Calculations'!$Q$6)*(1+$C$3)^Q$168</f>
        <v>317.55720685897279</v>
      </c>
      <c r="R8" s="78">
        <f>ABS('Annual Calculations'!$Q$6)*(1+$C$3)^R$168</f>
        <v>323.90835099615231</v>
      </c>
      <c r="S8" s="78">
        <f>ABS('Annual Calculations'!$Q$6)*(1+$C$3)^S$168</f>
        <v>330.38651801607523</v>
      </c>
      <c r="T8" s="78">
        <f>ABS('Annual Calculations'!$Q$6)*(1+$C$3)^T$168</f>
        <v>336.9942483763968</v>
      </c>
      <c r="U8" s="78">
        <f>ABS('Annual Calculations'!$Q$6)*(1+$C$3)^U$168</f>
        <v>343.73413334392478</v>
      </c>
      <c r="V8" s="78">
        <f>ABS('Annual Calculations'!$Q$6)*(1+$C$3)^V$168</f>
        <v>350.60881601080325</v>
      </c>
      <c r="W8" s="78">
        <f>ABS('Annual Calculations'!$Q$6)*(1+$C$3)^W$168</f>
        <v>357.62099233101929</v>
      </c>
      <c r="X8" s="78">
        <f>ABS('Annual Calculations'!$Q$6)*(1+$C$3)^X$168</f>
        <v>364.77341217763973</v>
      </c>
      <c r="Y8" s="78">
        <f>ABS('Annual Calculations'!$Q$6)*(1+$C$3)^Y$168</f>
        <v>372.06888042119249</v>
      </c>
      <c r="Z8" s="78">
        <f>ABS('Annual Calculations'!$Q$6)*(1+$C$3)^Z$168</f>
        <v>379.51025802961635</v>
      </c>
      <c r="AA8" s="78">
        <f>ABS('Annual Calculations'!$Q$6)*(1+$C$3)^AA$168</f>
        <v>387.10046319020859</v>
      </c>
      <c r="AB8" s="78">
        <f>ABS('Annual Calculations'!$Q$6)*(1+$C$3)^AB$168</f>
        <v>394.84247245401281</v>
      </c>
      <c r="AC8" s="78">
        <f>ABS('Annual Calculations'!$Q$6)*(1+$C$3)^AC$168</f>
        <v>402.73932190309301</v>
      </c>
      <c r="AD8" s="78">
        <f>ABS('Annual Calculations'!$Q$6)*(1+$C$3)^AD$168</f>
        <v>410.79410834115492</v>
      </c>
      <c r="AE8" s="78">
        <f>ABS('Annual Calculations'!$Q$6)*(1+$C$3)^AE$168</f>
        <v>419.00999050797799</v>
      </c>
      <c r="AF8" s="78">
        <f>ABS('Annual Calculations'!$Q$6)*(1+$C$3)^AF$168</f>
        <v>427.39019031813763</v>
      </c>
      <c r="AG8" s="78">
        <f>ABS('Annual Calculations'!$Q$6)*(1+$C$3)^AG$168</f>
        <v>435.93799412450028</v>
      </c>
      <c r="AH8" s="78">
        <f>ABS('Annual Calculations'!$Q$6)*(1+$C$3)^AH$168</f>
        <v>444.65675400699035</v>
      </c>
      <c r="AI8" s="78">
        <f>ABS('Annual Calculations'!$Q$6)*(1+$C$3)^AI$168</f>
        <v>453.54988908713005</v>
      </c>
      <c r="AJ8" s="78">
        <f>ABS('Annual Calculations'!$Q$6)*(1+$C$3)^AJ$168</f>
        <v>462.62088686887273</v>
      </c>
      <c r="AK8" s="78">
        <f>ABS('Annual Calculations'!$Q$6)*(1+$C$3)^AK$168</f>
        <v>471.87330460625026</v>
      </c>
      <c r="AL8" s="78">
        <f>ABS('Annual Calculations'!$Q$6)*(1+$C$3)^AL$168</f>
        <v>481.31077069837517</v>
      </c>
      <c r="AM8" s="78">
        <f>ABS('Annual Calculations'!$Q$6)*(1+$C$3)^AM$168</f>
        <v>490.93698611234271</v>
      </c>
      <c r="AN8" s="78">
        <f>ABS('Annual Calculations'!$Q$6)*(1+$C$3)^AN$168</f>
        <v>500.7557258345895</v>
      </c>
      <c r="AO8" s="78">
        <f>ABS('Annual Calculations'!$Q$6)*(1+$C$3)^AO$168</f>
        <v>510.77084035128138</v>
      </c>
      <c r="AP8" s="78">
        <f>ABS('Annual Calculations'!$Q$6)*(1+$C$3)^AP$168</f>
        <v>520.98625715830701</v>
      </c>
      <c r="AQ8" s="78">
        <f>ABS('Annual Calculations'!$Q$6)*(1+$C$3)^AQ$168</f>
        <v>531.40598230147305</v>
      </c>
      <c r="AR8" s="78">
        <f>ABS('Annual Calculations'!$Q$6)*(1+$C$3)^AR$168</f>
        <v>542.03410194750256</v>
      </c>
      <c r="AS8" s="78">
        <f>ABS('Annual Calculations'!$Q$6)*(1+$C$3)^AS$168</f>
        <v>552.8747839864526</v>
      </c>
      <c r="AT8" s="78">
        <f>ABS('Annual Calculations'!$Q$6)*(1+$C$3)^AT$168</f>
        <v>563.93227966618167</v>
      </c>
      <c r="AU8" s="78">
        <f>ABS('Annual Calculations'!$Q$6)*(1+$C$3)^AU$168</f>
        <v>575.21092525950519</v>
      </c>
      <c r="AV8" s="78">
        <f>ABS('Annual Calculations'!$Q$6)*(1+$C$3)^AV$168</f>
        <v>586.71514376469543</v>
      </c>
      <c r="AW8" s="78">
        <f>ABS('Annual Calculations'!$Q$6)*(1+$C$3)^AW$168</f>
        <v>598.44944663998933</v>
      </c>
      <c r="AX8" s="78">
        <f>ABS('Annual Calculations'!$Q$6)*(1+$C$3)^AX$168</f>
        <v>610.41843557278912</v>
      </c>
      <c r="AY8" s="78">
        <f>ABS('Annual Calculations'!$Q$6)*(1+$C$3)^AY$168</f>
        <v>622.62680428424471</v>
      </c>
      <c r="AZ8" s="78">
        <f>ABS('Annual Calculations'!$Q$6)*(1+$C$3)^AZ$168</f>
        <v>635.0793403699297</v>
      </c>
      <c r="BA8" s="78">
        <f>ABS('Annual Calculations'!$Q$6)*(1+$C$3)^BA$168</f>
        <v>647.78092717732841</v>
      </c>
      <c r="BB8" s="78">
        <f>ABS('Annual Calculations'!$Q$6)*(1+$C$3)^BB$168</f>
        <v>660.73654572087491</v>
      </c>
    </row>
    <row r="9" spans="1:54" s="76" customFormat="1" x14ac:dyDescent="0.25">
      <c r="A9" s="180"/>
      <c r="B9" s="76" t="s">
        <v>357</v>
      </c>
      <c r="C9" s="77" t="s">
        <v>362</v>
      </c>
      <c r="D9" s="76">
        <v>0</v>
      </c>
      <c r="E9" s="78">
        <f>ABS('Annual Calculations'!$L$29)*(1+$C$3)^E$168</f>
        <v>48.922792981481628</v>
      </c>
      <c r="F9" s="78">
        <f>ABS('Annual Calculations'!$L$29)*(1+$C$3)^F$168</f>
        <v>49.901248841111254</v>
      </c>
      <c r="G9" s="78">
        <f>ABS('Annual Calculations'!$L$29)*(1+$C$3)^G$168</f>
        <v>50.899273817933476</v>
      </c>
      <c r="H9" s="78">
        <f>ABS('Annual Calculations'!$L$29)*(1+$C$3)^H$168</f>
        <v>51.917259294292151</v>
      </c>
      <c r="I9" s="78">
        <f>ABS('Annual Calculations'!$L$29)*(1+$C$3)^I$168</f>
        <v>52.955604480177996</v>
      </c>
      <c r="J9" s="78">
        <f>ABS('Annual Calculations'!$L$29)*(1+$C$3)^J$168</f>
        <v>54.014716569781562</v>
      </c>
      <c r="K9" s="78">
        <f>ABS('Annual Calculations'!$L$29)*(1+$C$3)^K$168</f>
        <v>55.095010901177176</v>
      </c>
      <c r="L9" s="78">
        <f>ABS('Annual Calculations'!$L$29)*(1+$C$3)^L$168</f>
        <v>56.196911119200728</v>
      </c>
      <c r="M9" s="78">
        <f>ABS('Annual Calculations'!$L$29)*(1+$C$3)^M$168</f>
        <v>57.32084934158474</v>
      </c>
      <c r="N9" s="78">
        <f>ABS('Annual Calculations'!$L$29)*(1+$C$3)^N$168</f>
        <v>58.467266328416436</v>
      </c>
      <c r="O9" s="78">
        <f>ABS('Annual Calculations'!$L$29)*(1+$C$3)^O$168</f>
        <v>59.636611654984755</v>
      </c>
      <c r="P9" s="78">
        <f>ABS('Annual Calculations'!$L$29)*(1+$C$3)^P$168</f>
        <v>60.829343888084459</v>
      </c>
      <c r="Q9" s="78">
        <f>ABS('Annual Calculations'!$L$29)*(1+$C$3)^Q$168</f>
        <v>62.045930765846144</v>
      </c>
      <c r="R9" s="78">
        <f>ABS('Annual Calculations'!$L$29)*(1+$C$3)^R$168</f>
        <v>63.28684938116308</v>
      </c>
      <c r="S9" s="78">
        <f>ABS('Annual Calculations'!$L$29)*(1+$C$3)^S$168</f>
        <v>64.552586368786322</v>
      </c>
      <c r="T9" s="78">
        <f>ABS('Annual Calculations'!$L$29)*(1+$C$3)^T$168</f>
        <v>65.843638096162053</v>
      </c>
      <c r="U9" s="78">
        <f>ABS('Annual Calculations'!$L$29)*(1+$C$3)^U$168</f>
        <v>67.160510858085303</v>
      </c>
      <c r="V9" s="78">
        <f>ABS('Annual Calculations'!$L$29)*(1+$C$3)^V$168</f>
        <v>68.503721075247</v>
      </c>
      <c r="W9" s="78">
        <f>ABS('Annual Calculations'!$L$29)*(1+$C$3)^W$168</f>
        <v>69.873795496751939</v>
      </c>
      <c r="X9" s="78">
        <f>ABS('Annual Calculations'!$L$29)*(1+$C$3)^X$168</f>
        <v>71.271271406686992</v>
      </c>
      <c r="Y9" s="78">
        <f>ABS('Annual Calculations'!$L$29)*(1+$C$3)^Y$168</f>
        <v>72.696696834820727</v>
      </c>
      <c r="Z9" s="78">
        <f>ABS('Annual Calculations'!$L$29)*(1+$C$3)^Z$168</f>
        <v>74.150630771517143</v>
      </c>
      <c r="AA9" s="78">
        <f>ABS('Annual Calculations'!$L$29)*(1+$C$3)^AA$168</f>
        <v>75.633643386947469</v>
      </c>
      <c r="AB9" s="78">
        <f>ABS('Annual Calculations'!$L$29)*(1+$C$3)^AB$168</f>
        <v>77.146316254686425</v>
      </c>
      <c r="AC9" s="78">
        <f>ABS('Annual Calculations'!$L$29)*(1+$C$3)^AC$168</f>
        <v>78.689242579780156</v>
      </c>
      <c r="AD9" s="78">
        <f>ABS('Annual Calculations'!$L$29)*(1+$C$3)^AD$168</f>
        <v>80.263027431375761</v>
      </c>
      <c r="AE9" s="78">
        <f>ABS('Annual Calculations'!$L$29)*(1+$C$3)^AE$168</f>
        <v>81.868287980003259</v>
      </c>
      <c r="AF9" s="78">
        <f>ABS('Annual Calculations'!$L$29)*(1+$C$3)^AF$168</f>
        <v>83.505653739603346</v>
      </c>
      <c r="AG9" s="78">
        <f>ABS('Annual Calculations'!$L$29)*(1+$C$3)^AG$168</f>
        <v>85.175766814395402</v>
      </c>
      <c r="AH9" s="78">
        <f>ABS('Annual Calculations'!$L$29)*(1+$C$3)^AH$168</f>
        <v>86.879282150683309</v>
      </c>
      <c r="AI9" s="78">
        <f>ABS('Annual Calculations'!$L$29)*(1+$C$3)^AI$168</f>
        <v>88.616867793696954</v>
      </c>
      <c r="AJ9" s="78">
        <f>ABS('Annual Calculations'!$L$29)*(1+$C$3)^AJ$168</f>
        <v>90.389205149570913</v>
      </c>
      <c r="AK9" s="78">
        <f>ABS('Annual Calculations'!$L$29)*(1+$C$3)^AK$168</f>
        <v>92.196989252562346</v>
      </c>
      <c r="AL9" s="78">
        <f>ABS('Annual Calculations'!$L$29)*(1+$C$3)^AL$168</f>
        <v>94.04092903761358</v>
      </c>
      <c r="AM9" s="78">
        <f>ABS('Annual Calculations'!$L$29)*(1+$C$3)^AM$168</f>
        <v>95.921747618365856</v>
      </c>
      <c r="AN9" s="78">
        <f>ABS('Annual Calculations'!$L$29)*(1+$C$3)^AN$168</f>
        <v>97.840182570733162</v>
      </c>
      <c r="AO9" s="78">
        <f>ABS('Annual Calculations'!$L$29)*(1+$C$3)^AO$168</f>
        <v>99.796986222147837</v>
      </c>
      <c r="AP9" s="78">
        <f>ABS('Annual Calculations'!$L$29)*(1+$C$3)^AP$168</f>
        <v>101.7929259465908</v>
      </c>
      <c r="AQ9" s="78">
        <f>ABS('Annual Calculations'!$L$29)*(1+$C$3)^AQ$168</f>
        <v>103.82878446552259</v>
      </c>
      <c r="AR9" s="78">
        <f>ABS('Annual Calculations'!$L$29)*(1+$C$3)^AR$168</f>
        <v>105.90536015483306</v>
      </c>
      <c r="AS9" s="78">
        <f>ABS('Annual Calculations'!$L$29)*(1+$C$3)^AS$168</f>
        <v>108.02346735792972</v>
      </c>
      <c r="AT9" s="78">
        <f>ABS('Annual Calculations'!$L$29)*(1+$C$3)^AT$168</f>
        <v>110.1839367050883</v>
      </c>
      <c r="AU9" s="78">
        <f>ABS('Annual Calculations'!$L$29)*(1+$C$3)^AU$168</f>
        <v>112.38761543919007</v>
      </c>
      <c r="AV9" s="78">
        <f>ABS('Annual Calculations'!$L$29)*(1+$C$3)^AV$168</f>
        <v>114.63536774797389</v>
      </c>
      <c r="AW9" s="78">
        <f>ABS('Annual Calculations'!$L$29)*(1+$C$3)^AW$168</f>
        <v>116.92807510293335</v>
      </c>
      <c r="AX9" s="78">
        <f>ABS('Annual Calculations'!$L$29)*(1+$C$3)^AX$168</f>
        <v>119.26663660499203</v>
      </c>
      <c r="AY9" s="78">
        <f>ABS('Annual Calculations'!$L$29)*(1+$C$3)^AY$168</f>
        <v>121.65196933709183</v>
      </c>
      <c r="AZ9" s="78">
        <f>ABS('Annual Calculations'!$L$29)*(1+$C$3)^AZ$168</f>
        <v>124.0850087238337</v>
      </c>
      <c r="BA9" s="78">
        <f>ABS('Annual Calculations'!$L$29)*(1+$C$3)^BA$168</f>
        <v>126.56670889831037</v>
      </c>
      <c r="BB9" s="78">
        <f>ABS('Annual Calculations'!$L$29)*(1+$C$3)^BB$168</f>
        <v>129.09804307627658</v>
      </c>
    </row>
    <row r="10" spans="1:54" s="76" customFormat="1" x14ac:dyDescent="0.25">
      <c r="A10" s="180"/>
      <c r="B10" s="76" t="s">
        <v>358</v>
      </c>
      <c r="C10" s="77" t="s">
        <v>362</v>
      </c>
      <c r="D10" s="76">
        <f>SUM(D7:D9)</f>
        <v>-2050</v>
      </c>
      <c r="E10" s="78">
        <f t="shared" ref="E10:BB10" si="0">SUM(E7:E9)</f>
        <v>299.31448344655405</v>
      </c>
      <c r="F10" s="78">
        <f t="shared" si="0"/>
        <v>305.30077311548513</v>
      </c>
      <c r="G10" s="78">
        <f t="shared" si="0"/>
        <v>311.40678857779483</v>
      </c>
      <c r="H10" s="78">
        <f t="shared" si="0"/>
        <v>317.63492434935074</v>
      </c>
      <c r="I10" s="78">
        <f t="shared" si="0"/>
        <v>323.98762283633778</v>
      </c>
      <c r="J10" s="78">
        <f t="shared" si="0"/>
        <v>330.46737529306455</v>
      </c>
      <c r="K10" s="78">
        <f t="shared" si="0"/>
        <v>337.07672279892574</v>
      </c>
      <c r="L10" s="78">
        <f t="shared" si="0"/>
        <v>343.81825725490427</v>
      </c>
      <c r="M10" s="78">
        <f t="shared" si="0"/>
        <v>350.6946224000024</v>
      </c>
      <c r="N10" s="78">
        <f t="shared" si="0"/>
        <v>357.70851484800244</v>
      </c>
      <c r="O10" s="78">
        <f t="shared" si="0"/>
        <v>364.86268514496243</v>
      </c>
      <c r="P10" s="78">
        <f t="shared" si="0"/>
        <v>372.15993884786172</v>
      </c>
      <c r="Q10" s="78">
        <f t="shared" si="0"/>
        <v>379.60313762481894</v>
      </c>
      <c r="R10" s="78">
        <f t="shared" si="0"/>
        <v>387.19520037731536</v>
      </c>
      <c r="S10" s="78">
        <f t="shared" si="0"/>
        <v>394.93910438486154</v>
      </c>
      <c r="T10" s="78">
        <f t="shared" si="0"/>
        <v>402.83788647255886</v>
      </c>
      <c r="U10" s="78">
        <f t="shared" si="0"/>
        <v>410.89464420201011</v>
      </c>
      <c r="V10" s="78">
        <f t="shared" si="0"/>
        <v>419.11253708605022</v>
      </c>
      <c r="W10" s="78">
        <f t="shared" si="0"/>
        <v>427.49478782777123</v>
      </c>
      <c r="X10" s="78">
        <f t="shared" si="0"/>
        <v>436.04468358432672</v>
      </c>
      <c r="Y10" s="78">
        <f t="shared" si="0"/>
        <v>444.76557725601322</v>
      </c>
      <c r="Z10" s="78">
        <f t="shared" si="0"/>
        <v>453.66088880113352</v>
      </c>
      <c r="AA10" s="78">
        <f t="shared" si="0"/>
        <v>462.73410657715607</v>
      </c>
      <c r="AB10" s="78">
        <f t="shared" si="0"/>
        <v>471.98878870869925</v>
      </c>
      <c r="AC10" s="78">
        <f t="shared" si="0"/>
        <v>-2553.6925252768765</v>
      </c>
      <c r="AD10" s="78">
        <f t="shared" si="0"/>
        <v>491.05713577253067</v>
      </c>
      <c r="AE10" s="78">
        <f t="shared" si="0"/>
        <v>500.87827848798122</v>
      </c>
      <c r="AF10" s="78">
        <f t="shared" si="0"/>
        <v>510.89584405774099</v>
      </c>
      <c r="AG10" s="78">
        <f t="shared" si="0"/>
        <v>521.11376093889567</v>
      </c>
      <c r="AH10" s="78">
        <f t="shared" si="0"/>
        <v>531.53603615767361</v>
      </c>
      <c r="AI10" s="78">
        <f t="shared" si="0"/>
        <v>542.16675688082705</v>
      </c>
      <c r="AJ10" s="78">
        <f t="shared" si="0"/>
        <v>553.01009201844363</v>
      </c>
      <c r="AK10" s="78">
        <f t="shared" si="0"/>
        <v>564.07029385881265</v>
      </c>
      <c r="AL10" s="78">
        <f t="shared" si="0"/>
        <v>575.35169973598875</v>
      </c>
      <c r="AM10" s="78">
        <f t="shared" si="0"/>
        <v>586.85873373070854</v>
      </c>
      <c r="AN10" s="78">
        <f t="shared" si="0"/>
        <v>598.59590840532269</v>
      </c>
      <c r="AO10" s="78">
        <f t="shared" si="0"/>
        <v>610.56782657342922</v>
      </c>
      <c r="AP10" s="78">
        <f t="shared" si="0"/>
        <v>622.77918310489781</v>
      </c>
      <c r="AQ10" s="78">
        <f t="shared" si="0"/>
        <v>635.23476676699568</v>
      </c>
      <c r="AR10" s="78">
        <f t="shared" si="0"/>
        <v>647.9394621023356</v>
      </c>
      <c r="AS10" s="78">
        <f t="shared" si="0"/>
        <v>660.89825134438229</v>
      </c>
      <c r="AT10" s="78">
        <f t="shared" si="0"/>
        <v>674.11621637126996</v>
      </c>
      <c r="AU10" s="78">
        <f t="shared" si="0"/>
        <v>687.59854069869527</v>
      </c>
      <c r="AV10" s="78">
        <f t="shared" si="0"/>
        <v>701.3505115126693</v>
      </c>
      <c r="AW10" s="78">
        <f t="shared" si="0"/>
        <v>715.37752174292268</v>
      </c>
      <c r="AX10" s="78">
        <f t="shared" si="0"/>
        <v>729.68507217778119</v>
      </c>
      <c r="AY10" s="78">
        <f t="shared" si="0"/>
        <v>744.27877362133654</v>
      </c>
      <c r="AZ10" s="78">
        <f t="shared" si="0"/>
        <v>759.16434909376335</v>
      </c>
      <c r="BA10" s="78">
        <f t="shared" si="0"/>
        <v>774.34763607563877</v>
      </c>
      <c r="BB10" s="78">
        <f t="shared" si="0"/>
        <v>789.83458879715147</v>
      </c>
    </row>
    <row r="11" spans="1:54" s="76" customFormat="1" x14ac:dyDescent="0.25">
      <c r="A11" s="180"/>
      <c r="B11" s="76" t="s">
        <v>359</v>
      </c>
      <c r="C11" s="77"/>
      <c r="D11" s="76">
        <f t="shared" ref="D11:AI11" si="1">(1+$C$2)^D$168</f>
        <v>1</v>
      </c>
      <c r="E11" s="79">
        <f t="shared" si="1"/>
        <v>1.03</v>
      </c>
      <c r="F11" s="79">
        <f t="shared" si="1"/>
        <v>1.0609</v>
      </c>
      <c r="G11" s="79">
        <f t="shared" si="1"/>
        <v>1.092727</v>
      </c>
      <c r="H11" s="79">
        <f t="shared" si="1"/>
        <v>1.1255088099999999</v>
      </c>
      <c r="I11" s="79">
        <f t="shared" si="1"/>
        <v>1.1592740742999998</v>
      </c>
      <c r="J11" s="79">
        <f t="shared" si="1"/>
        <v>1.1940522965289999</v>
      </c>
      <c r="K11" s="79">
        <f t="shared" si="1"/>
        <v>1.22987386542487</v>
      </c>
      <c r="L11" s="79">
        <f t="shared" si="1"/>
        <v>1.2667700813876159</v>
      </c>
      <c r="M11" s="79">
        <f t="shared" si="1"/>
        <v>1.3047731838292445</v>
      </c>
      <c r="N11" s="79">
        <f t="shared" si="1"/>
        <v>1.3439163793441218</v>
      </c>
      <c r="O11" s="79">
        <f t="shared" si="1"/>
        <v>1.3842338707244455</v>
      </c>
      <c r="P11" s="79">
        <f t="shared" si="1"/>
        <v>1.4257608868461786</v>
      </c>
      <c r="Q11" s="79">
        <f t="shared" si="1"/>
        <v>1.4685337134515639</v>
      </c>
      <c r="R11" s="79">
        <f t="shared" si="1"/>
        <v>1.512589724855111</v>
      </c>
      <c r="S11" s="79">
        <f t="shared" si="1"/>
        <v>1.5579674166007644</v>
      </c>
      <c r="T11" s="79">
        <f t="shared" si="1"/>
        <v>1.6047064390987871</v>
      </c>
      <c r="U11" s="79">
        <f t="shared" si="1"/>
        <v>1.6528476322717507</v>
      </c>
      <c r="V11" s="79">
        <f t="shared" si="1"/>
        <v>1.7024330612399032</v>
      </c>
      <c r="W11" s="79">
        <f t="shared" si="1"/>
        <v>1.7535060530771003</v>
      </c>
      <c r="X11" s="79">
        <f t="shared" si="1"/>
        <v>1.8061112346694133</v>
      </c>
      <c r="Y11" s="79">
        <f t="shared" si="1"/>
        <v>1.8602945717094954</v>
      </c>
      <c r="Z11" s="79">
        <f t="shared" si="1"/>
        <v>1.9161034088607805</v>
      </c>
      <c r="AA11" s="79">
        <f t="shared" si="1"/>
        <v>1.973586511126604</v>
      </c>
      <c r="AB11" s="79">
        <f t="shared" si="1"/>
        <v>2.0327941064604018</v>
      </c>
      <c r="AC11" s="79">
        <f t="shared" si="1"/>
        <v>2.0937779296542138</v>
      </c>
      <c r="AD11" s="79">
        <f t="shared" si="1"/>
        <v>2.1565912675438406</v>
      </c>
      <c r="AE11" s="79">
        <f t="shared" si="1"/>
        <v>2.2212890055701555</v>
      </c>
      <c r="AF11" s="79">
        <f t="shared" si="1"/>
        <v>2.2879276757372602</v>
      </c>
      <c r="AG11" s="79">
        <f t="shared" si="1"/>
        <v>2.3565655060093778</v>
      </c>
      <c r="AH11" s="79">
        <f t="shared" si="1"/>
        <v>2.4272624711896591</v>
      </c>
      <c r="AI11" s="79">
        <f t="shared" si="1"/>
        <v>2.5000803453253493</v>
      </c>
      <c r="AJ11" s="79">
        <f t="shared" ref="AJ11:BB11" si="2">(1+$C$2)^AJ$168</f>
        <v>2.5750827556851092</v>
      </c>
      <c r="AK11" s="79">
        <f t="shared" si="2"/>
        <v>2.6523352383556626</v>
      </c>
      <c r="AL11" s="79">
        <f t="shared" si="2"/>
        <v>2.7319052955063321</v>
      </c>
      <c r="AM11" s="79">
        <f t="shared" si="2"/>
        <v>2.8138624543715225</v>
      </c>
      <c r="AN11" s="79">
        <f t="shared" si="2"/>
        <v>2.898278328002668</v>
      </c>
      <c r="AO11" s="79">
        <f t="shared" si="2"/>
        <v>2.9852266778427476</v>
      </c>
      <c r="AP11" s="79">
        <f t="shared" si="2"/>
        <v>3.0747834781780301</v>
      </c>
      <c r="AQ11" s="79">
        <f t="shared" si="2"/>
        <v>3.1670269825233714</v>
      </c>
      <c r="AR11" s="79">
        <f t="shared" si="2"/>
        <v>3.262037791999072</v>
      </c>
      <c r="AS11" s="79">
        <f t="shared" si="2"/>
        <v>3.3598989257590444</v>
      </c>
      <c r="AT11" s="79">
        <f t="shared" si="2"/>
        <v>3.4606958935318159</v>
      </c>
      <c r="AU11" s="79">
        <f t="shared" si="2"/>
        <v>3.5645167703377703</v>
      </c>
      <c r="AV11" s="79">
        <f t="shared" si="2"/>
        <v>3.6714522734479029</v>
      </c>
      <c r="AW11" s="79">
        <f t="shared" si="2"/>
        <v>3.78159584165134</v>
      </c>
      <c r="AX11" s="79">
        <f t="shared" si="2"/>
        <v>3.8950437169008802</v>
      </c>
      <c r="AY11" s="79">
        <f t="shared" si="2"/>
        <v>4.0118950284079071</v>
      </c>
      <c r="AZ11" s="79">
        <f t="shared" si="2"/>
        <v>4.1322518792601439</v>
      </c>
      <c r="BA11" s="79">
        <f t="shared" si="2"/>
        <v>4.2562194356379477</v>
      </c>
      <c r="BB11" s="79">
        <f t="shared" si="2"/>
        <v>4.3839060187070862</v>
      </c>
    </row>
    <row r="12" spans="1:54" s="76" customFormat="1" x14ac:dyDescent="0.25">
      <c r="A12" s="180"/>
      <c r="B12" s="76" t="s">
        <v>360</v>
      </c>
      <c r="C12" s="77" t="s">
        <v>362</v>
      </c>
      <c r="D12" s="76">
        <f>D10/D11</f>
        <v>-2050</v>
      </c>
      <c r="E12" s="78">
        <f>E10/E11</f>
        <v>290.59658587044083</v>
      </c>
      <c r="F12" s="78">
        <f>F10/F11</f>
        <v>287.77525979402878</v>
      </c>
      <c r="G12" s="78">
        <f t="shared" ref="G12:BB12" si="3">G10/G11</f>
        <v>284.98132523292168</v>
      </c>
      <c r="H12" s="78">
        <f t="shared" si="3"/>
        <v>282.21451625007785</v>
      </c>
      <c r="I12" s="78">
        <f t="shared" si="3"/>
        <v>279.47456949036837</v>
      </c>
      <c r="J12" s="78">
        <f t="shared" si="3"/>
        <v>276.76122415551043</v>
      </c>
      <c r="K12" s="78">
        <f t="shared" si="3"/>
        <v>274.07422197924325</v>
      </c>
      <c r="L12" s="78">
        <f t="shared" si="3"/>
        <v>271.41330720274578</v>
      </c>
      <c r="M12" s="78">
        <f t="shared" si="3"/>
        <v>268.77822655029195</v>
      </c>
      <c r="N12" s="78">
        <f t="shared" si="3"/>
        <v>266.16872920514351</v>
      </c>
      <c r="O12" s="78">
        <f t="shared" si="3"/>
        <v>263.58456678567603</v>
      </c>
      <c r="P12" s="78">
        <f t="shared" si="3"/>
        <v>261.02549332173749</v>
      </c>
      <c r="Q12" s="78">
        <f t="shared" si="3"/>
        <v>258.49126523123516</v>
      </c>
      <c r="R12" s="78">
        <f t="shared" si="3"/>
        <v>255.98164129695135</v>
      </c>
      <c r="S12" s="78">
        <f t="shared" si="3"/>
        <v>253.49638264358279</v>
      </c>
      <c r="T12" s="78">
        <f t="shared" si="3"/>
        <v>251.03525271500442</v>
      </c>
      <c r="U12" s="78">
        <f t="shared" si="3"/>
        <v>248.598017251752</v>
      </c>
      <c r="V12" s="78">
        <f t="shared" si="3"/>
        <v>246.18444426872523</v>
      </c>
      <c r="W12" s="78">
        <f t="shared" si="3"/>
        <v>243.79430403310653</v>
      </c>
      <c r="X12" s="78">
        <f t="shared" si="3"/>
        <v>241.42736904249389</v>
      </c>
      <c r="Y12" s="78">
        <f t="shared" si="3"/>
        <v>239.08341400324639</v>
      </c>
      <c r="Z12" s="78">
        <f t="shared" si="3"/>
        <v>236.7622158090401</v>
      </c>
      <c r="AA12" s="78">
        <f t="shared" si="3"/>
        <v>234.46355351963189</v>
      </c>
      <c r="AB12" s="78">
        <f t="shared" si="3"/>
        <v>232.18720833982968</v>
      </c>
      <c r="AC12" s="78">
        <f t="shared" si="3"/>
        <v>-1219.6577722541078</v>
      </c>
      <c r="AD12" s="78">
        <f t="shared" si="3"/>
        <v>227.70060472877628</v>
      </c>
      <c r="AE12" s="78">
        <f t="shared" si="3"/>
        <v>225.48991924597263</v>
      </c>
      <c r="AF12" s="78">
        <f t="shared" si="3"/>
        <v>223.3006967290215</v>
      </c>
      <c r="AG12" s="78">
        <f t="shared" si="3"/>
        <v>221.13272879961349</v>
      </c>
      <c r="AH12" s="78">
        <f t="shared" si="3"/>
        <v>218.98580910252988</v>
      </c>
      <c r="AI12" s="78">
        <f t="shared" si="3"/>
        <v>216.85973328600042</v>
      </c>
      <c r="AJ12" s="78">
        <f t="shared" si="3"/>
        <v>214.75429898225289</v>
      </c>
      <c r="AK12" s="78">
        <f t="shared" si="3"/>
        <v>212.66930578825048</v>
      </c>
      <c r="AL12" s="78">
        <f t="shared" si="3"/>
        <v>210.60455524661697</v>
      </c>
      <c r="AM12" s="78">
        <f t="shared" si="3"/>
        <v>208.55985082674687</v>
      </c>
      <c r="AN12" s="78">
        <f t="shared" si="3"/>
        <v>206.53499790609885</v>
      </c>
      <c r="AO12" s="78">
        <f t="shared" si="3"/>
        <v>204.52980375167076</v>
      </c>
      <c r="AP12" s="78">
        <f t="shared" si="3"/>
        <v>202.54407750165453</v>
      </c>
      <c r="AQ12" s="78">
        <f t="shared" si="3"/>
        <v>200.57763014726947</v>
      </c>
      <c r="AR12" s="78">
        <f t="shared" si="3"/>
        <v>198.63027451477177</v>
      </c>
      <c r="AS12" s="78">
        <f t="shared" si="3"/>
        <v>196.70182524763803</v>
      </c>
      <c r="AT12" s="78">
        <f t="shared" si="3"/>
        <v>194.79209878892308</v>
      </c>
      <c r="AU12" s="78">
        <f t="shared" si="3"/>
        <v>192.90091336378791</v>
      </c>
      <c r="AV12" s="78">
        <f t="shared" si="3"/>
        <v>191.02808896219778</v>
      </c>
      <c r="AW12" s="78">
        <f t="shared" si="3"/>
        <v>189.1734473217881</v>
      </c>
      <c r="AX12" s="78">
        <f t="shared" si="3"/>
        <v>187.33681191089696</v>
      </c>
      <c r="AY12" s="78">
        <f t="shared" si="3"/>
        <v>185.51800791176194</v>
      </c>
      <c r="AZ12" s="78">
        <f t="shared" si="3"/>
        <v>183.71686220388079</v>
      </c>
      <c r="BA12" s="78">
        <f t="shared" si="3"/>
        <v>181.9332033475325</v>
      </c>
      <c r="BB12" s="78">
        <f t="shared" si="3"/>
        <v>180.16686156745936</v>
      </c>
    </row>
    <row r="13" spans="1:54" s="76" customFormat="1" x14ac:dyDescent="0.25">
      <c r="A13" s="180"/>
      <c r="B13" s="76" t="s">
        <v>645</v>
      </c>
      <c r="C13" s="77" t="s">
        <v>362</v>
      </c>
      <c r="D13" s="76">
        <f>D12</f>
        <v>-2050</v>
      </c>
      <c r="E13" s="78">
        <f>E12+D13</f>
        <v>-1759.4034141295592</v>
      </c>
      <c r="F13" s="78">
        <f t="shared" ref="F13:BB13" si="4">F12+E13</f>
        <v>-1471.6281543355303</v>
      </c>
      <c r="G13" s="78">
        <f t="shared" si="4"/>
        <v>-1186.6468291026085</v>
      </c>
      <c r="H13" s="78">
        <f t="shared" si="4"/>
        <v>-904.43231285253069</v>
      </c>
      <c r="I13" s="78">
        <f t="shared" si="4"/>
        <v>-624.95774336216232</v>
      </c>
      <c r="J13" s="78">
        <f t="shared" si="4"/>
        <v>-348.19651920665189</v>
      </c>
      <c r="K13" s="78">
        <f t="shared" si="4"/>
        <v>-74.122297227408637</v>
      </c>
      <c r="L13" s="78">
        <f t="shared" si="4"/>
        <v>197.29100997533715</v>
      </c>
      <c r="M13" s="78">
        <f t="shared" si="4"/>
        <v>466.06923652562909</v>
      </c>
      <c r="N13" s="78">
        <f t="shared" si="4"/>
        <v>732.23796573077266</v>
      </c>
      <c r="O13" s="78">
        <f t="shared" si="4"/>
        <v>995.82253251644875</v>
      </c>
      <c r="P13" s="78">
        <f t="shared" si="4"/>
        <v>1256.8480258381862</v>
      </c>
      <c r="Q13" s="78">
        <f t="shared" si="4"/>
        <v>1515.3392910694215</v>
      </c>
      <c r="R13" s="78">
        <f t="shared" si="4"/>
        <v>1771.3209323663727</v>
      </c>
      <c r="S13" s="78">
        <f t="shared" si="4"/>
        <v>2024.8173150099556</v>
      </c>
      <c r="T13" s="78">
        <f t="shared" si="4"/>
        <v>2275.85256772496</v>
      </c>
      <c r="U13" s="78">
        <f t="shared" si="4"/>
        <v>2524.450584976712</v>
      </c>
      <c r="V13" s="78">
        <f t="shared" si="4"/>
        <v>2770.6350292454372</v>
      </c>
      <c r="W13" s="78">
        <f t="shared" si="4"/>
        <v>3014.4293332785437</v>
      </c>
      <c r="X13" s="78">
        <f t="shared" si="4"/>
        <v>3255.8567023210376</v>
      </c>
      <c r="Y13" s="78">
        <f t="shared" si="4"/>
        <v>3494.9401163242837</v>
      </c>
      <c r="Z13" s="78">
        <f t="shared" si="4"/>
        <v>3731.702332133324</v>
      </c>
      <c r="AA13" s="78">
        <f t="shared" si="4"/>
        <v>3966.1658856529557</v>
      </c>
      <c r="AB13" s="78">
        <f t="shared" si="4"/>
        <v>4198.353093992785</v>
      </c>
      <c r="AC13" s="78">
        <f t="shared" si="4"/>
        <v>2978.6953217386772</v>
      </c>
      <c r="AD13" s="78">
        <f t="shared" si="4"/>
        <v>3206.3959264674536</v>
      </c>
      <c r="AE13" s="78">
        <f t="shared" si="4"/>
        <v>3431.8858457134261</v>
      </c>
      <c r="AF13" s="78">
        <f t="shared" si="4"/>
        <v>3655.1865424424477</v>
      </c>
      <c r="AG13" s="78">
        <f t="shared" si="4"/>
        <v>3876.3192712420614</v>
      </c>
      <c r="AH13" s="78">
        <f t="shared" si="4"/>
        <v>4095.3050803445913</v>
      </c>
      <c r="AI13" s="78">
        <f t="shared" si="4"/>
        <v>4312.1648136305921</v>
      </c>
      <c r="AJ13" s="78">
        <f t="shared" si="4"/>
        <v>4526.9191126128453</v>
      </c>
      <c r="AK13" s="78">
        <f t="shared" si="4"/>
        <v>4739.5884184010956</v>
      </c>
      <c r="AL13" s="78">
        <f t="shared" si="4"/>
        <v>4950.1929736477123</v>
      </c>
      <c r="AM13" s="78">
        <f t="shared" si="4"/>
        <v>5158.752824474459</v>
      </c>
      <c r="AN13" s="78">
        <f t="shared" si="4"/>
        <v>5365.2878223805583</v>
      </c>
      <c r="AO13" s="78">
        <f t="shared" si="4"/>
        <v>5569.8176261322287</v>
      </c>
      <c r="AP13" s="78">
        <f t="shared" si="4"/>
        <v>5772.3617036338828</v>
      </c>
      <c r="AQ13" s="78">
        <f t="shared" si="4"/>
        <v>5972.9393337811525</v>
      </c>
      <c r="AR13" s="78">
        <f t="shared" si="4"/>
        <v>6171.5696082959239</v>
      </c>
      <c r="AS13" s="78">
        <f t="shared" si="4"/>
        <v>6368.2714335435621</v>
      </c>
      <c r="AT13" s="78">
        <f t="shared" si="4"/>
        <v>6563.063532332485</v>
      </c>
      <c r="AU13" s="78">
        <f t="shared" si="4"/>
        <v>6755.9644456962733</v>
      </c>
      <c r="AV13" s="78">
        <f t="shared" si="4"/>
        <v>6946.9925346584714</v>
      </c>
      <c r="AW13" s="78">
        <f t="shared" si="4"/>
        <v>7136.1659819802599</v>
      </c>
      <c r="AX13" s="78">
        <f t="shared" si="4"/>
        <v>7323.5027938911571</v>
      </c>
      <c r="AY13" s="78">
        <f t="shared" si="4"/>
        <v>7509.0208018029189</v>
      </c>
      <c r="AZ13" s="78">
        <f t="shared" si="4"/>
        <v>7692.7376640067996</v>
      </c>
      <c r="BA13" s="78">
        <f t="shared" si="4"/>
        <v>7874.6708673543317</v>
      </c>
      <c r="BB13" s="78">
        <f t="shared" si="4"/>
        <v>8054.8377289217915</v>
      </c>
    </row>
    <row r="14" spans="1:54" s="76" customFormat="1" x14ac:dyDescent="0.25">
      <c r="A14" s="180"/>
      <c r="B14" s="80" t="s">
        <v>361</v>
      </c>
      <c r="C14" s="81" t="s">
        <v>362</v>
      </c>
      <c r="D14" s="92">
        <f>SUM(D12:BB12)</f>
        <v>8054.8377289217915</v>
      </c>
    </row>
    <row r="15" spans="1:54" x14ac:dyDescent="0.25">
      <c r="A15" s="178" t="s">
        <v>2</v>
      </c>
      <c r="B15" t="s">
        <v>363</v>
      </c>
      <c r="C15" s="72" t="s">
        <v>362</v>
      </c>
      <c r="D15">
        <f>-LED!$B$3*(LED!$B$20-LED!$B$18)</f>
        <v>-12.5</v>
      </c>
      <c r="E15">
        <v>0</v>
      </c>
      <c r="F15">
        <v>0</v>
      </c>
      <c r="G15">
        <v>0</v>
      </c>
      <c r="H15">
        <v>0</v>
      </c>
      <c r="I15" s="41">
        <f>-LED!$B$3*(LED!$B$20-LED!$B$18)*(1+$C$1)^I6</f>
        <v>-13.80101004</v>
      </c>
      <c r="J15">
        <v>0</v>
      </c>
      <c r="K15">
        <v>0</v>
      </c>
      <c r="L15">
        <v>0</v>
      </c>
      <c r="M15">
        <v>0</v>
      </c>
      <c r="N15" s="41">
        <f>-LED!$B$3*(LED!$B$20-LED!$B$18)*(1+$C$1)^N6</f>
        <v>-15.237430249934464</v>
      </c>
      <c r="O15">
        <v>0</v>
      </c>
      <c r="P15">
        <v>0</v>
      </c>
      <c r="Q15">
        <v>0</v>
      </c>
      <c r="R15">
        <v>0</v>
      </c>
      <c r="S15" s="41">
        <f>-LED!$B$3*(LED!$B$20-LED!$B$18)*(1+$C$1)^S6</f>
        <v>-16.823354229051617</v>
      </c>
      <c r="T15">
        <v>0</v>
      </c>
      <c r="U15">
        <v>0</v>
      </c>
      <c r="V15">
        <v>0</v>
      </c>
      <c r="W15">
        <v>0</v>
      </c>
      <c r="X15" s="41">
        <f>-LED!$B$3*(LED!$B$20-LED!$B$18)*(1+$C$1)^X6</f>
        <v>-18.574342449729428</v>
      </c>
      <c r="Y15">
        <v>0</v>
      </c>
      <c r="Z15">
        <v>0</v>
      </c>
      <c r="AA15">
        <v>0</v>
      </c>
      <c r="AB15">
        <v>0</v>
      </c>
      <c r="AC15" s="41">
        <f>-LED!$B$3*(LED!$B$20-LED!$B$18)*(1+$C$1)^AC6</f>
        <v>-20.50757493080912</v>
      </c>
      <c r="AD15">
        <v>0</v>
      </c>
      <c r="AE15">
        <v>0</v>
      </c>
      <c r="AF15">
        <v>0</v>
      </c>
      <c r="AG15">
        <v>0</v>
      </c>
      <c r="AH15" s="41">
        <f>-LED!$B$3*(LED!$B$20-LED!$B$18)*(1+$C$1)^AH6</f>
        <v>-22.642019801291919</v>
      </c>
      <c r="AI15">
        <v>0</v>
      </c>
      <c r="AJ15">
        <v>0</v>
      </c>
      <c r="AK15">
        <v>0</v>
      </c>
      <c r="AL15">
        <v>0</v>
      </c>
      <c r="AM15" s="41">
        <f>-LED!$B$3*(LED!$B$20-LED!$B$18)*(1+$C$1)^AM6</f>
        <v>-24.998619408280685</v>
      </c>
      <c r="AN15">
        <v>0</v>
      </c>
      <c r="AO15">
        <v>0</v>
      </c>
      <c r="AP15">
        <v>0</v>
      </c>
      <c r="AQ15">
        <v>0</v>
      </c>
      <c r="AR15" s="41">
        <f>-LED!$B$3*(LED!$B$20-LED!$B$18)*(1+$C$1)^AR6</f>
        <v>-27.600495795185648</v>
      </c>
      <c r="AS15">
        <v>0</v>
      </c>
      <c r="AT15">
        <v>0</v>
      </c>
      <c r="AU15">
        <v>0</v>
      </c>
      <c r="AV15">
        <v>0</v>
      </c>
      <c r="AW15" s="41">
        <f>-LED!$B$3*(LED!$B$20-LED!$B$18)*(1+$C$1)^AW6</f>
        <v>-30.473177566266791</v>
      </c>
      <c r="AX15">
        <v>0</v>
      </c>
      <c r="AY15">
        <v>0</v>
      </c>
      <c r="AZ15">
        <v>0</v>
      </c>
      <c r="BA15">
        <v>0</v>
      </c>
      <c r="BB15" s="41">
        <f>-LED!$B$3*(LED!$B$20-LED!$B$18)*(1+$C$1)^BB6</f>
        <v>-33.644850363420062</v>
      </c>
    </row>
    <row r="16" spans="1:54" x14ac:dyDescent="0.25">
      <c r="A16" s="178"/>
      <c r="B16" t="s">
        <v>356</v>
      </c>
      <c r="C16" s="72" t="s">
        <v>362</v>
      </c>
      <c r="D16">
        <v>0</v>
      </c>
      <c r="E16" s="18">
        <f>ABS('Annual Calculations'!$Q$7)*(1+$C$3)^E$168</f>
        <v>12.28484661855766</v>
      </c>
      <c r="F16" s="18">
        <f>ABS('Annual Calculations'!$Q$7)*(1+$C$3)^F$168</f>
        <v>12.530543550928813</v>
      </c>
      <c r="G16" s="18">
        <f>ABS('Annual Calculations'!$Q$7)*(1+$C$3)^G$168</f>
        <v>12.78115442194739</v>
      </c>
      <c r="H16" s="18">
        <f>ABS('Annual Calculations'!$Q$7)*(1+$C$3)^H$168</f>
        <v>13.036777510386337</v>
      </c>
      <c r="I16" s="18">
        <f>ABS('Annual Calculations'!$Q$7)*(1+$C$3)^I$168</f>
        <v>13.297513060594065</v>
      </c>
      <c r="J16" s="18">
        <f>ABS('Annual Calculations'!$Q$7)*(1+$C$3)^J$168</f>
        <v>13.563463321805946</v>
      </c>
      <c r="K16" s="18">
        <f>ABS('Annual Calculations'!$Q$7)*(1+$C$3)^K$168</f>
        <v>13.834732588242062</v>
      </c>
      <c r="L16" s="18">
        <f>ABS('Annual Calculations'!$Q$7)*(1+$C$3)^L$168</f>
        <v>14.111427240006904</v>
      </c>
      <c r="M16" s="18">
        <f>ABS('Annual Calculations'!$Q$7)*(1+$C$3)^M$168</f>
        <v>14.393655784807043</v>
      </c>
      <c r="N16" s="18">
        <f>ABS('Annual Calculations'!$Q$7)*(1+$C$3)^N$168</f>
        <v>14.681528900503185</v>
      </c>
      <c r="O16" s="18">
        <f>ABS('Annual Calculations'!$Q$7)*(1+$C$3)^O$168</f>
        <v>14.975159478513245</v>
      </c>
      <c r="P16" s="18">
        <f>ABS('Annual Calculations'!$Q$7)*(1+$C$3)^P$168</f>
        <v>15.274662668083513</v>
      </c>
      <c r="Q16" s="18">
        <f>ABS('Annual Calculations'!$Q$7)*(1+$C$3)^Q$168</f>
        <v>15.580155921445183</v>
      </c>
      <c r="R16" s="18">
        <f>ABS('Annual Calculations'!$Q$7)*(1+$C$3)^R$168</f>
        <v>15.891759039874087</v>
      </c>
      <c r="S16" s="18">
        <f>ABS('Annual Calculations'!$Q$7)*(1+$C$3)^S$168</f>
        <v>16.209594220671566</v>
      </c>
      <c r="T16" s="18">
        <f>ABS('Annual Calculations'!$Q$7)*(1+$C$3)^T$168</f>
        <v>16.533786105084999</v>
      </c>
      <c r="U16" s="18">
        <f>ABS('Annual Calculations'!$Q$7)*(1+$C$3)^U$168</f>
        <v>16.864461827186702</v>
      </c>
      <c r="V16" s="18">
        <f>ABS('Annual Calculations'!$Q$7)*(1+$C$3)^V$168</f>
        <v>17.201751063730434</v>
      </c>
      <c r="W16" s="18">
        <f>ABS('Annual Calculations'!$Q$7)*(1+$C$3)^W$168</f>
        <v>17.545786085005041</v>
      </c>
      <c r="X16" s="18">
        <f>ABS('Annual Calculations'!$Q$7)*(1+$C$3)^X$168</f>
        <v>17.896701806705142</v>
      </c>
      <c r="Y16" s="18">
        <f>ABS('Annual Calculations'!$Q$7)*(1+$C$3)^Y$168</f>
        <v>18.254635842839246</v>
      </c>
      <c r="Z16" s="18">
        <f>ABS('Annual Calculations'!$Q$7)*(1+$C$3)^Z$168</f>
        <v>18.619728559696032</v>
      </c>
      <c r="AA16" s="18">
        <f>ABS('Annual Calculations'!$Q$7)*(1+$C$3)^AA$168</f>
        <v>18.992123130889947</v>
      </c>
      <c r="AB16" s="18">
        <f>ABS('Annual Calculations'!$Q$7)*(1+$C$3)^AB$168</f>
        <v>19.371965593507749</v>
      </c>
      <c r="AC16" s="18">
        <f>ABS('Annual Calculations'!$Q$7)*(1+$C$3)^AC$168</f>
        <v>19.759404905377902</v>
      </c>
      <c r="AD16" s="18">
        <f>ABS('Annual Calculations'!$Q$7)*(1+$C$3)^AD$168</f>
        <v>20.154593003485463</v>
      </c>
      <c r="AE16" s="18">
        <f>ABS('Annual Calculations'!$Q$7)*(1+$C$3)^AE$168</f>
        <v>20.557684863555167</v>
      </c>
      <c r="AF16" s="18">
        <f>ABS('Annual Calculations'!$Q$7)*(1+$C$3)^AF$168</f>
        <v>20.968838560826274</v>
      </c>
      <c r="AG16" s="18">
        <f>ABS('Annual Calculations'!$Q$7)*(1+$C$3)^AG$168</f>
        <v>21.388215332042797</v>
      </c>
      <c r="AH16" s="18">
        <f>ABS('Annual Calculations'!$Q$7)*(1+$C$3)^AH$168</f>
        <v>21.815979638683658</v>
      </c>
      <c r="AI16" s="18">
        <f>ABS('Annual Calculations'!$Q$7)*(1+$C$3)^AI$168</f>
        <v>22.252299231457325</v>
      </c>
      <c r="AJ16" s="18">
        <f>ABS('Annual Calculations'!$Q$7)*(1+$C$3)^AJ$168</f>
        <v>22.697345216086475</v>
      </c>
      <c r="AK16" s="18">
        <f>ABS('Annual Calculations'!$Q$7)*(1+$C$3)^AK$168</f>
        <v>23.151292120408208</v>
      </c>
      <c r="AL16" s="18">
        <f>ABS('Annual Calculations'!$Q$7)*(1+$C$3)^AL$168</f>
        <v>23.614317962816369</v>
      </c>
      <c r="AM16" s="18">
        <f>ABS('Annual Calculations'!$Q$7)*(1+$C$3)^AM$168</f>
        <v>24.086604322072695</v>
      </c>
      <c r="AN16" s="18">
        <f>ABS('Annual Calculations'!$Q$7)*(1+$C$3)^AN$168</f>
        <v>24.568336408514146</v>
      </c>
      <c r="AO16" s="18">
        <f>ABS('Annual Calculations'!$Q$7)*(1+$C$3)^AO$168</f>
        <v>25.059703136684433</v>
      </c>
      <c r="AP16" s="18">
        <f>ABS('Annual Calculations'!$Q$7)*(1+$C$3)^AP$168</f>
        <v>25.560897199418125</v>
      </c>
      <c r="AQ16" s="18">
        <f>ABS('Annual Calculations'!$Q$7)*(1+$C$3)^AQ$168</f>
        <v>26.072115143406478</v>
      </c>
      <c r="AR16" s="18">
        <f>ABS('Annual Calculations'!$Q$7)*(1+$C$3)^AR$168</f>
        <v>26.593557446274612</v>
      </c>
      <c r="AS16" s="18">
        <f>ABS('Annual Calculations'!$Q$7)*(1+$C$3)^AS$168</f>
        <v>27.125428595200106</v>
      </c>
      <c r="AT16" s="18">
        <f>ABS('Annual Calculations'!$Q$7)*(1+$C$3)^AT$168</f>
        <v>27.667937167104107</v>
      </c>
      <c r="AU16" s="18">
        <f>ABS('Annual Calculations'!$Q$7)*(1+$C$3)^AU$168</f>
        <v>28.221295910446187</v>
      </c>
      <c r="AV16" s="18">
        <f>ABS('Annual Calculations'!$Q$7)*(1+$C$3)^AV$168</f>
        <v>28.785721828655113</v>
      </c>
      <c r="AW16" s="18">
        <f>ABS('Annual Calculations'!$Q$7)*(1+$C$3)^AW$168</f>
        <v>29.361436265228214</v>
      </c>
      <c r="AX16" s="18">
        <f>ABS('Annual Calculations'!$Q$7)*(1+$C$3)^AX$168</f>
        <v>29.948664990532784</v>
      </c>
      <c r="AY16" s="18">
        <f>ABS('Annual Calculations'!$Q$7)*(1+$C$3)^AY$168</f>
        <v>30.547638290343428</v>
      </c>
      <c r="AZ16" s="18">
        <f>ABS('Annual Calculations'!$Q$7)*(1+$C$3)^AZ$168</f>
        <v>31.1585910561503</v>
      </c>
      <c r="BA16" s="18">
        <f>ABS('Annual Calculations'!$Q$7)*(1+$C$3)^BA$168</f>
        <v>31.781762877273309</v>
      </c>
      <c r="BB16" s="18">
        <f>ABS('Annual Calculations'!$Q$7)*(1+$C$3)^BB$168</f>
        <v>32.417398134818775</v>
      </c>
    </row>
    <row r="17" spans="1:54" x14ac:dyDescent="0.25">
      <c r="A17" s="178"/>
      <c r="B17" t="s">
        <v>357</v>
      </c>
      <c r="C17" s="72" t="s">
        <v>362</v>
      </c>
      <c r="D17">
        <v>0</v>
      </c>
      <c r="E17" s="18">
        <f t="shared" ref="E17:AJ17" si="5">0*(1+$C$3)^E$168</f>
        <v>0</v>
      </c>
      <c r="F17" s="18">
        <f t="shared" si="5"/>
        <v>0</v>
      </c>
      <c r="G17" s="18">
        <f t="shared" si="5"/>
        <v>0</v>
      </c>
      <c r="H17" s="18">
        <f t="shared" si="5"/>
        <v>0</v>
      </c>
      <c r="I17" s="18">
        <f t="shared" si="5"/>
        <v>0</v>
      </c>
      <c r="J17" s="18">
        <f t="shared" si="5"/>
        <v>0</v>
      </c>
      <c r="K17" s="18">
        <f t="shared" si="5"/>
        <v>0</v>
      </c>
      <c r="L17" s="18">
        <f t="shared" si="5"/>
        <v>0</v>
      </c>
      <c r="M17" s="18">
        <f t="shared" si="5"/>
        <v>0</v>
      </c>
      <c r="N17" s="18">
        <f t="shared" si="5"/>
        <v>0</v>
      </c>
      <c r="O17" s="18">
        <f t="shared" si="5"/>
        <v>0</v>
      </c>
      <c r="P17" s="18">
        <f t="shared" si="5"/>
        <v>0</v>
      </c>
      <c r="Q17" s="18">
        <f t="shared" si="5"/>
        <v>0</v>
      </c>
      <c r="R17" s="18">
        <f t="shared" si="5"/>
        <v>0</v>
      </c>
      <c r="S17" s="18">
        <f t="shared" si="5"/>
        <v>0</v>
      </c>
      <c r="T17" s="18">
        <f t="shared" si="5"/>
        <v>0</v>
      </c>
      <c r="U17" s="18">
        <f t="shared" si="5"/>
        <v>0</v>
      </c>
      <c r="V17" s="18">
        <f t="shared" si="5"/>
        <v>0</v>
      </c>
      <c r="W17" s="18">
        <f t="shared" si="5"/>
        <v>0</v>
      </c>
      <c r="X17" s="18">
        <f t="shared" si="5"/>
        <v>0</v>
      </c>
      <c r="Y17" s="18">
        <f t="shared" si="5"/>
        <v>0</v>
      </c>
      <c r="Z17" s="18">
        <f t="shared" si="5"/>
        <v>0</v>
      </c>
      <c r="AA17" s="18">
        <f t="shared" si="5"/>
        <v>0</v>
      </c>
      <c r="AB17" s="18">
        <f t="shared" si="5"/>
        <v>0</v>
      </c>
      <c r="AC17" s="18">
        <f t="shared" si="5"/>
        <v>0</v>
      </c>
      <c r="AD17" s="18">
        <f t="shared" si="5"/>
        <v>0</v>
      </c>
      <c r="AE17" s="18">
        <f t="shared" si="5"/>
        <v>0</v>
      </c>
      <c r="AF17" s="18">
        <f t="shared" si="5"/>
        <v>0</v>
      </c>
      <c r="AG17" s="18">
        <f t="shared" si="5"/>
        <v>0</v>
      </c>
      <c r="AH17" s="18">
        <f t="shared" si="5"/>
        <v>0</v>
      </c>
      <c r="AI17" s="18">
        <f t="shared" si="5"/>
        <v>0</v>
      </c>
      <c r="AJ17" s="18">
        <f t="shared" si="5"/>
        <v>0</v>
      </c>
      <c r="AK17" s="18">
        <f t="shared" ref="AK17:BB17" si="6">0*(1+$C$3)^AK$168</f>
        <v>0</v>
      </c>
      <c r="AL17" s="18">
        <f t="shared" si="6"/>
        <v>0</v>
      </c>
      <c r="AM17" s="18">
        <f t="shared" si="6"/>
        <v>0</v>
      </c>
      <c r="AN17" s="18">
        <f t="shared" si="6"/>
        <v>0</v>
      </c>
      <c r="AO17" s="18">
        <f t="shared" si="6"/>
        <v>0</v>
      </c>
      <c r="AP17" s="18">
        <f t="shared" si="6"/>
        <v>0</v>
      </c>
      <c r="AQ17" s="18">
        <f t="shared" si="6"/>
        <v>0</v>
      </c>
      <c r="AR17" s="18">
        <f t="shared" si="6"/>
        <v>0</v>
      </c>
      <c r="AS17" s="18">
        <f t="shared" si="6"/>
        <v>0</v>
      </c>
      <c r="AT17" s="18">
        <f t="shared" si="6"/>
        <v>0</v>
      </c>
      <c r="AU17" s="18">
        <f t="shared" si="6"/>
        <v>0</v>
      </c>
      <c r="AV17" s="18">
        <f t="shared" si="6"/>
        <v>0</v>
      </c>
      <c r="AW17" s="18">
        <f t="shared" si="6"/>
        <v>0</v>
      </c>
      <c r="AX17" s="18">
        <f t="shared" si="6"/>
        <v>0</v>
      </c>
      <c r="AY17" s="18">
        <f t="shared" si="6"/>
        <v>0</v>
      </c>
      <c r="AZ17" s="18">
        <f t="shared" si="6"/>
        <v>0</v>
      </c>
      <c r="BA17" s="18">
        <f t="shared" si="6"/>
        <v>0</v>
      </c>
      <c r="BB17" s="18">
        <f t="shared" si="6"/>
        <v>0</v>
      </c>
    </row>
    <row r="18" spans="1:54" x14ac:dyDescent="0.25">
      <c r="A18" s="178"/>
      <c r="B18" t="s">
        <v>358</v>
      </c>
      <c r="C18" s="72" t="s">
        <v>362</v>
      </c>
      <c r="D18">
        <f>SUM(D15:D17)</f>
        <v>-12.5</v>
      </c>
      <c r="E18" s="18">
        <f t="shared" ref="E18:BB18" si="7">SUM(E15:E17)</f>
        <v>12.28484661855766</v>
      </c>
      <c r="F18" s="18">
        <f t="shared" si="7"/>
        <v>12.530543550928813</v>
      </c>
      <c r="G18" s="18">
        <f t="shared" si="7"/>
        <v>12.78115442194739</v>
      </c>
      <c r="H18" s="18">
        <f t="shared" si="7"/>
        <v>13.036777510386337</v>
      </c>
      <c r="I18" s="18">
        <f t="shared" si="7"/>
        <v>-0.5034969794059343</v>
      </c>
      <c r="J18" s="18">
        <f t="shared" si="7"/>
        <v>13.563463321805946</v>
      </c>
      <c r="K18" s="18">
        <f t="shared" si="7"/>
        <v>13.834732588242062</v>
      </c>
      <c r="L18" s="18">
        <f t="shared" si="7"/>
        <v>14.111427240006904</v>
      </c>
      <c r="M18" s="18">
        <f t="shared" si="7"/>
        <v>14.393655784807043</v>
      </c>
      <c r="N18" s="18">
        <f t="shared" si="7"/>
        <v>-0.555901349431279</v>
      </c>
      <c r="O18" s="18">
        <f t="shared" si="7"/>
        <v>14.975159478513245</v>
      </c>
      <c r="P18" s="18">
        <f t="shared" si="7"/>
        <v>15.274662668083513</v>
      </c>
      <c r="Q18" s="18">
        <f t="shared" si="7"/>
        <v>15.580155921445183</v>
      </c>
      <c r="R18" s="18">
        <f t="shared" si="7"/>
        <v>15.891759039874087</v>
      </c>
      <c r="S18" s="18">
        <f t="shared" si="7"/>
        <v>-0.6137600083800514</v>
      </c>
      <c r="T18" s="18">
        <f t="shared" si="7"/>
        <v>16.533786105084999</v>
      </c>
      <c r="U18" s="18">
        <f t="shared" si="7"/>
        <v>16.864461827186702</v>
      </c>
      <c r="V18" s="18">
        <f t="shared" si="7"/>
        <v>17.201751063730434</v>
      </c>
      <c r="W18" s="18">
        <f t="shared" si="7"/>
        <v>17.545786085005041</v>
      </c>
      <c r="X18" s="18">
        <f t="shared" si="7"/>
        <v>-0.6776406430242865</v>
      </c>
      <c r="Y18" s="18">
        <f t="shared" si="7"/>
        <v>18.254635842839246</v>
      </c>
      <c r="Z18" s="18">
        <f t="shared" si="7"/>
        <v>18.619728559696032</v>
      </c>
      <c r="AA18" s="18">
        <f t="shared" si="7"/>
        <v>18.992123130889947</v>
      </c>
      <c r="AB18" s="18">
        <f t="shared" si="7"/>
        <v>19.371965593507749</v>
      </c>
      <c r="AC18" s="18">
        <f t="shared" si="7"/>
        <v>-0.74817002543121802</v>
      </c>
      <c r="AD18" s="18">
        <f t="shared" si="7"/>
        <v>20.154593003485463</v>
      </c>
      <c r="AE18" s="18">
        <f t="shared" si="7"/>
        <v>20.557684863555167</v>
      </c>
      <c r="AF18" s="18">
        <f t="shared" si="7"/>
        <v>20.968838560826274</v>
      </c>
      <c r="AG18" s="18">
        <f t="shared" si="7"/>
        <v>21.388215332042797</v>
      </c>
      <c r="AH18" s="18">
        <f t="shared" si="7"/>
        <v>-0.82604016260826185</v>
      </c>
      <c r="AI18" s="18">
        <f t="shared" si="7"/>
        <v>22.252299231457325</v>
      </c>
      <c r="AJ18" s="18">
        <f t="shared" si="7"/>
        <v>22.697345216086475</v>
      </c>
      <c r="AK18" s="18">
        <f t="shared" si="7"/>
        <v>23.151292120408208</v>
      </c>
      <c r="AL18" s="18">
        <f t="shared" si="7"/>
        <v>23.614317962816369</v>
      </c>
      <c r="AM18" s="18">
        <f t="shared" si="7"/>
        <v>-0.91201508620799032</v>
      </c>
      <c r="AN18" s="18">
        <f t="shared" si="7"/>
        <v>24.568336408514146</v>
      </c>
      <c r="AO18" s="18">
        <f t="shared" si="7"/>
        <v>25.059703136684433</v>
      </c>
      <c r="AP18" s="18">
        <f t="shared" si="7"/>
        <v>25.560897199418125</v>
      </c>
      <c r="AQ18" s="18">
        <f t="shared" si="7"/>
        <v>26.072115143406478</v>
      </c>
      <c r="AR18" s="18">
        <f t="shared" si="7"/>
        <v>-1.0069383489110351</v>
      </c>
      <c r="AS18" s="18">
        <f t="shared" si="7"/>
        <v>27.125428595200106</v>
      </c>
      <c r="AT18" s="18">
        <f t="shared" si="7"/>
        <v>27.667937167104107</v>
      </c>
      <c r="AU18" s="18">
        <f t="shared" si="7"/>
        <v>28.221295910446187</v>
      </c>
      <c r="AV18" s="18">
        <f t="shared" si="7"/>
        <v>28.785721828655113</v>
      </c>
      <c r="AW18" s="18">
        <f t="shared" si="7"/>
        <v>-1.1117413010385775</v>
      </c>
      <c r="AX18" s="18">
        <f t="shared" si="7"/>
        <v>29.948664990532784</v>
      </c>
      <c r="AY18" s="18">
        <f t="shared" si="7"/>
        <v>30.547638290343428</v>
      </c>
      <c r="AZ18" s="18">
        <f t="shared" si="7"/>
        <v>31.1585910561503</v>
      </c>
      <c r="BA18" s="18">
        <f t="shared" si="7"/>
        <v>31.781762877273309</v>
      </c>
      <c r="BB18" s="18">
        <f t="shared" si="7"/>
        <v>-1.2274522286012868</v>
      </c>
    </row>
    <row r="19" spans="1:54" x14ac:dyDescent="0.25">
      <c r="A19" s="178"/>
      <c r="B19" t="s">
        <v>359</v>
      </c>
      <c r="C19" s="72"/>
      <c r="D19">
        <f t="shared" ref="D19:AI19" si="8">(1+$C$2)^D$168</f>
        <v>1</v>
      </c>
      <c r="E19" s="40">
        <f t="shared" si="8"/>
        <v>1.03</v>
      </c>
      <c r="F19" s="40">
        <f t="shared" si="8"/>
        <v>1.0609</v>
      </c>
      <c r="G19" s="40">
        <f t="shared" si="8"/>
        <v>1.092727</v>
      </c>
      <c r="H19" s="40">
        <f t="shared" si="8"/>
        <v>1.1255088099999999</v>
      </c>
      <c r="I19" s="40">
        <f t="shared" si="8"/>
        <v>1.1592740742999998</v>
      </c>
      <c r="J19" s="40">
        <f t="shared" si="8"/>
        <v>1.1940522965289999</v>
      </c>
      <c r="K19" s="40">
        <f t="shared" si="8"/>
        <v>1.22987386542487</v>
      </c>
      <c r="L19" s="40">
        <f t="shared" si="8"/>
        <v>1.2667700813876159</v>
      </c>
      <c r="M19" s="40">
        <f t="shared" si="8"/>
        <v>1.3047731838292445</v>
      </c>
      <c r="N19" s="40">
        <f t="shared" si="8"/>
        <v>1.3439163793441218</v>
      </c>
      <c r="O19" s="40">
        <f t="shared" si="8"/>
        <v>1.3842338707244455</v>
      </c>
      <c r="P19" s="40">
        <f t="shared" si="8"/>
        <v>1.4257608868461786</v>
      </c>
      <c r="Q19" s="40">
        <f t="shared" si="8"/>
        <v>1.4685337134515639</v>
      </c>
      <c r="R19" s="40">
        <f t="shared" si="8"/>
        <v>1.512589724855111</v>
      </c>
      <c r="S19" s="40">
        <f t="shared" si="8"/>
        <v>1.5579674166007644</v>
      </c>
      <c r="T19" s="40">
        <f t="shared" si="8"/>
        <v>1.6047064390987871</v>
      </c>
      <c r="U19" s="40">
        <f t="shared" si="8"/>
        <v>1.6528476322717507</v>
      </c>
      <c r="V19" s="40">
        <f t="shared" si="8"/>
        <v>1.7024330612399032</v>
      </c>
      <c r="W19" s="40">
        <f t="shared" si="8"/>
        <v>1.7535060530771003</v>
      </c>
      <c r="X19" s="40">
        <f t="shared" si="8"/>
        <v>1.8061112346694133</v>
      </c>
      <c r="Y19" s="40">
        <f t="shared" si="8"/>
        <v>1.8602945717094954</v>
      </c>
      <c r="Z19" s="40">
        <f t="shared" si="8"/>
        <v>1.9161034088607805</v>
      </c>
      <c r="AA19" s="40">
        <f t="shared" si="8"/>
        <v>1.973586511126604</v>
      </c>
      <c r="AB19" s="40">
        <f t="shared" si="8"/>
        <v>2.0327941064604018</v>
      </c>
      <c r="AC19" s="40">
        <f t="shared" si="8"/>
        <v>2.0937779296542138</v>
      </c>
      <c r="AD19" s="40">
        <f t="shared" si="8"/>
        <v>2.1565912675438406</v>
      </c>
      <c r="AE19" s="40">
        <f t="shared" si="8"/>
        <v>2.2212890055701555</v>
      </c>
      <c r="AF19" s="40">
        <f t="shared" si="8"/>
        <v>2.2879276757372602</v>
      </c>
      <c r="AG19" s="40">
        <f t="shared" si="8"/>
        <v>2.3565655060093778</v>
      </c>
      <c r="AH19" s="40">
        <f t="shared" si="8"/>
        <v>2.4272624711896591</v>
      </c>
      <c r="AI19" s="40">
        <f t="shared" si="8"/>
        <v>2.5000803453253493</v>
      </c>
      <c r="AJ19" s="40">
        <f t="shared" ref="AJ19:BB19" si="9">(1+$C$2)^AJ$168</f>
        <v>2.5750827556851092</v>
      </c>
      <c r="AK19" s="40">
        <f t="shared" si="9"/>
        <v>2.6523352383556626</v>
      </c>
      <c r="AL19" s="40">
        <f t="shared" si="9"/>
        <v>2.7319052955063321</v>
      </c>
      <c r="AM19" s="40">
        <f t="shared" si="9"/>
        <v>2.8138624543715225</v>
      </c>
      <c r="AN19" s="40">
        <f t="shared" si="9"/>
        <v>2.898278328002668</v>
      </c>
      <c r="AO19" s="40">
        <f t="shared" si="9"/>
        <v>2.9852266778427476</v>
      </c>
      <c r="AP19" s="40">
        <f t="shared" si="9"/>
        <v>3.0747834781780301</v>
      </c>
      <c r="AQ19" s="40">
        <f t="shared" si="9"/>
        <v>3.1670269825233714</v>
      </c>
      <c r="AR19" s="40">
        <f t="shared" si="9"/>
        <v>3.262037791999072</v>
      </c>
      <c r="AS19" s="40">
        <f t="shared" si="9"/>
        <v>3.3598989257590444</v>
      </c>
      <c r="AT19" s="40">
        <f t="shared" si="9"/>
        <v>3.4606958935318159</v>
      </c>
      <c r="AU19" s="40">
        <f t="shared" si="9"/>
        <v>3.5645167703377703</v>
      </c>
      <c r="AV19" s="40">
        <f t="shared" si="9"/>
        <v>3.6714522734479029</v>
      </c>
      <c r="AW19" s="40">
        <f t="shared" si="9"/>
        <v>3.78159584165134</v>
      </c>
      <c r="AX19" s="40">
        <f t="shared" si="9"/>
        <v>3.8950437169008802</v>
      </c>
      <c r="AY19" s="40">
        <f t="shared" si="9"/>
        <v>4.0118950284079071</v>
      </c>
      <c r="AZ19" s="40">
        <f t="shared" si="9"/>
        <v>4.1322518792601439</v>
      </c>
      <c r="BA19" s="40">
        <f t="shared" si="9"/>
        <v>4.2562194356379477</v>
      </c>
      <c r="BB19" s="40">
        <f t="shared" si="9"/>
        <v>4.3839060187070862</v>
      </c>
    </row>
    <row r="20" spans="1:54" x14ac:dyDescent="0.25">
      <c r="A20" s="178"/>
      <c r="B20" t="s">
        <v>360</v>
      </c>
      <c r="C20" s="72" t="s">
        <v>362</v>
      </c>
      <c r="D20">
        <f t="shared" ref="D20:BB20" si="10">D18/D19</f>
        <v>-12.5</v>
      </c>
      <c r="E20" s="18">
        <f t="shared" si="10"/>
        <v>11.927035551997728</v>
      </c>
      <c r="F20" s="18">
        <f t="shared" si="10"/>
        <v>11.811239090327849</v>
      </c>
      <c r="G20" s="18">
        <f t="shared" si="10"/>
        <v>11.696566866149908</v>
      </c>
      <c r="H20" s="18">
        <f t="shared" si="10"/>
        <v>11.583007964536801</v>
      </c>
      <c r="I20" s="18">
        <f t="shared" si="10"/>
        <v>-0.43432091734645151</v>
      </c>
      <c r="J20" s="18">
        <f t="shared" si="10"/>
        <v>11.359186998118663</v>
      </c>
      <c r="K20" s="18">
        <f t="shared" si="10"/>
        <v>11.248903629204886</v>
      </c>
      <c r="L20" s="18">
        <f t="shared" si="10"/>
        <v>11.139690972610666</v>
      </c>
      <c r="M20" s="18">
        <f t="shared" si="10"/>
        <v>11.031538633070758</v>
      </c>
      <c r="N20" s="18">
        <f t="shared" si="10"/>
        <v>-0.41364281139469283</v>
      </c>
      <c r="O20" s="18">
        <f t="shared" si="10"/>
        <v>10.818373827737593</v>
      </c>
      <c r="P20" s="18">
        <f t="shared" si="10"/>
        <v>10.713341072128495</v>
      </c>
      <c r="Q20" s="18">
        <f t="shared" si="10"/>
        <v>10.609328052010742</v>
      </c>
      <c r="R20" s="18">
        <f t="shared" si="10"/>
        <v>10.506324867039764</v>
      </c>
      <c r="S20" s="18">
        <f t="shared" si="10"/>
        <v>-0.39394919421304558</v>
      </c>
      <c r="T20" s="18">
        <f t="shared" si="10"/>
        <v>10.303308880825876</v>
      </c>
      <c r="U20" s="18">
        <f t="shared" si="10"/>
        <v>10.203276755769314</v>
      </c>
      <c r="V20" s="18">
        <f t="shared" si="10"/>
        <v>10.104215816392912</v>
      </c>
      <c r="W20" s="18">
        <f t="shared" si="10"/>
        <v>10.006116633709485</v>
      </c>
      <c r="X20" s="18">
        <f t="shared" si="10"/>
        <v>-0.37519319409378482</v>
      </c>
      <c r="Y20" s="18">
        <f t="shared" si="10"/>
        <v>9.8127662793018668</v>
      </c>
      <c r="Z20" s="18">
        <f t="shared" si="10"/>
        <v>9.717496703774664</v>
      </c>
      <c r="AA20" s="18">
        <f t="shared" si="10"/>
        <v>9.6231520755826736</v>
      </c>
      <c r="AB20" s="18">
        <f t="shared" si="10"/>
        <v>9.5297234146546899</v>
      </c>
      <c r="AC20" s="18">
        <f t="shared" si="10"/>
        <v>-0.35733017090058727</v>
      </c>
      <c r="AD20" s="18">
        <f t="shared" si="10"/>
        <v>9.3455785093851809</v>
      </c>
      <c r="AE20" s="18">
        <f t="shared" si="10"/>
        <v>9.2548447374494014</v>
      </c>
      <c r="AF20" s="18">
        <f t="shared" si="10"/>
        <v>9.1649918759207676</v>
      </c>
      <c r="AG20" s="18">
        <f t="shared" si="10"/>
        <v>9.0760113722710507</v>
      </c>
      <c r="AH20" s="18">
        <f t="shared" si="10"/>
        <v>-0.3403176098229706</v>
      </c>
      <c r="AI20" s="18">
        <f t="shared" si="10"/>
        <v>8.9006336428605906</v>
      </c>
      <c r="AJ20" s="18">
        <f t="shared" si="10"/>
        <v>8.8142197239978692</v>
      </c>
      <c r="AK20" s="18">
        <f t="shared" si="10"/>
        <v>8.7286447752211913</v>
      </c>
      <c r="AL20" s="18">
        <f t="shared" si="10"/>
        <v>8.6439006511899183</v>
      </c>
      <c r="AM20" s="18">
        <f t="shared" si="10"/>
        <v>-0.32411502018910493</v>
      </c>
      <c r="AN20" s="18">
        <f t="shared" si="10"/>
        <v>8.4768726906381264</v>
      </c>
      <c r="AO20" s="18">
        <f t="shared" si="10"/>
        <v>8.3945729557775639</v>
      </c>
      <c r="AP20" s="18">
        <f t="shared" si="10"/>
        <v>8.3130722474690462</v>
      </c>
      <c r="AQ20" s="18">
        <f t="shared" si="10"/>
        <v>8.2323628081732245</v>
      </c>
      <c r="AR20" s="18">
        <f t="shared" si="10"/>
        <v>-0.30868383909616015</v>
      </c>
      <c r="AS20" s="18">
        <f t="shared" si="10"/>
        <v>8.0732870823107046</v>
      </c>
      <c r="AT20" s="18">
        <f t="shared" si="10"/>
        <v>7.9949056543271046</v>
      </c>
      <c r="AU20" s="18">
        <f t="shared" si="10"/>
        <v>7.91728521108121</v>
      </c>
      <c r="AV20" s="18">
        <f t="shared" si="10"/>
        <v>7.8404183643716854</v>
      </c>
      <c r="AW20" s="18">
        <f t="shared" si="10"/>
        <v>-0.29398733962884421</v>
      </c>
      <c r="AX20" s="18">
        <f t="shared" si="10"/>
        <v>7.6889162657105317</v>
      </c>
      <c r="AY20" s="18">
        <f t="shared" si="10"/>
        <v>7.6142665932279012</v>
      </c>
      <c r="AZ20" s="18">
        <f t="shared" si="10"/>
        <v>7.5403416748470491</v>
      </c>
      <c r="BA20" s="18">
        <f t="shared" si="10"/>
        <v>7.46713447412038</v>
      </c>
      <c r="BB20" s="18">
        <f t="shared" si="10"/>
        <v>-0.27999054344766505</v>
      </c>
    </row>
    <row r="21" spans="1:54" x14ac:dyDescent="0.25">
      <c r="A21" s="178"/>
      <c r="B21" s="76" t="s">
        <v>645</v>
      </c>
      <c r="C21" s="77" t="s">
        <v>362</v>
      </c>
      <c r="D21" s="76">
        <f>D20</f>
        <v>-12.5</v>
      </c>
      <c r="E21" s="78">
        <f>E20+D21</f>
        <v>-0.57296444800227242</v>
      </c>
      <c r="F21" s="78">
        <f t="shared" ref="F21:BB21" si="11">F20+E21</f>
        <v>11.238274642325576</v>
      </c>
      <c r="G21" s="78">
        <f t="shared" si="11"/>
        <v>22.934841508475486</v>
      </c>
      <c r="H21" s="78">
        <f t="shared" si="11"/>
        <v>34.517849473012291</v>
      </c>
      <c r="I21" s="78">
        <f t="shared" si="11"/>
        <v>34.083528555665836</v>
      </c>
      <c r="J21" s="78">
        <f t="shared" si="11"/>
        <v>45.442715553784495</v>
      </c>
      <c r="K21" s="78">
        <f t="shared" si="11"/>
        <v>56.691619182989385</v>
      </c>
      <c r="L21" s="78">
        <f t="shared" si="11"/>
        <v>67.83131015560005</v>
      </c>
      <c r="M21" s="78">
        <f t="shared" si="11"/>
        <v>78.862848788670803</v>
      </c>
      <c r="N21" s="78">
        <f t="shared" si="11"/>
        <v>78.449205977276108</v>
      </c>
      <c r="O21" s="78">
        <f t="shared" si="11"/>
        <v>89.267579805013696</v>
      </c>
      <c r="P21" s="78">
        <f t="shared" si="11"/>
        <v>99.980920877142196</v>
      </c>
      <c r="Q21" s="78">
        <f t="shared" si="11"/>
        <v>110.59024892915293</v>
      </c>
      <c r="R21" s="78">
        <f t="shared" si="11"/>
        <v>121.0965737961927</v>
      </c>
      <c r="S21" s="78">
        <f t="shared" si="11"/>
        <v>120.70262460197965</v>
      </c>
      <c r="T21" s="78">
        <f t="shared" si="11"/>
        <v>131.00593348280552</v>
      </c>
      <c r="U21" s="78">
        <f t="shared" si="11"/>
        <v>141.20921023857483</v>
      </c>
      <c r="V21" s="78">
        <f t="shared" si="11"/>
        <v>151.31342605496775</v>
      </c>
      <c r="W21" s="78">
        <f t="shared" si="11"/>
        <v>161.31954268867725</v>
      </c>
      <c r="X21" s="78">
        <f t="shared" si="11"/>
        <v>160.94434949458346</v>
      </c>
      <c r="Y21" s="78">
        <f t="shared" si="11"/>
        <v>170.75711577388532</v>
      </c>
      <c r="Z21" s="78">
        <f t="shared" si="11"/>
        <v>180.47461247765997</v>
      </c>
      <c r="AA21" s="78">
        <f t="shared" si="11"/>
        <v>190.09776455324265</v>
      </c>
      <c r="AB21" s="78">
        <f t="shared" si="11"/>
        <v>199.62748796789734</v>
      </c>
      <c r="AC21" s="78">
        <f t="shared" si="11"/>
        <v>199.27015779699676</v>
      </c>
      <c r="AD21" s="78">
        <f t="shared" si="11"/>
        <v>208.61573630638193</v>
      </c>
      <c r="AE21" s="78">
        <f t="shared" si="11"/>
        <v>217.87058104383132</v>
      </c>
      <c r="AF21" s="78">
        <f t="shared" si="11"/>
        <v>227.0355729197521</v>
      </c>
      <c r="AG21" s="78">
        <f t="shared" si="11"/>
        <v>236.11158429202314</v>
      </c>
      <c r="AH21" s="78">
        <f t="shared" si="11"/>
        <v>235.77126668220018</v>
      </c>
      <c r="AI21" s="78">
        <f t="shared" si="11"/>
        <v>244.67190032506076</v>
      </c>
      <c r="AJ21" s="78">
        <f t="shared" si="11"/>
        <v>253.48612004905863</v>
      </c>
      <c r="AK21" s="78">
        <f t="shared" si="11"/>
        <v>262.21476482427983</v>
      </c>
      <c r="AL21" s="78">
        <f t="shared" si="11"/>
        <v>270.85866547546976</v>
      </c>
      <c r="AM21" s="78">
        <f t="shared" si="11"/>
        <v>270.53455045528068</v>
      </c>
      <c r="AN21" s="78">
        <f t="shared" si="11"/>
        <v>279.0114231459188</v>
      </c>
      <c r="AO21" s="78">
        <f t="shared" si="11"/>
        <v>287.40599610169636</v>
      </c>
      <c r="AP21" s="78">
        <f t="shared" si="11"/>
        <v>295.71906834916541</v>
      </c>
      <c r="AQ21" s="78">
        <f t="shared" si="11"/>
        <v>303.95143115733862</v>
      </c>
      <c r="AR21" s="78">
        <f t="shared" si="11"/>
        <v>303.64274731824247</v>
      </c>
      <c r="AS21" s="78">
        <f t="shared" si="11"/>
        <v>311.71603440055316</v>
      </c>
      <c r="AT21" s="78">
        <f t="shared" si="11"/>
        <v>319.71094005488027</v>
      </c>
      <c r="AU21" s="78">
        <f t="shared" si="11"/>
        <v>327.62822526596148</v>
      </c>
      <c r="AV21" s="78">
        <f t="shared" si="11"/>
        <v>335.46864363033313</v>
      </c>
      <c r="AW21" s="78">
        <f t="shared" si="11"/>
        <v>335.17465629070426</v>
      </c>
      <c r="AX21" s="78">
        <f t="shared" si="11"/>
        <v>342.86357255641479</v>
      </c>
      <c r="AY21" s="78">
        <f t="shared" si="11"/>
        <v>350.4778391496427</v>
      </c>
      <c r="AZ21" s="78">
        <f t="shared" si="11"/>
        <v>358.01818082448978</v>
      </c>
      <c r="BA21" s="78">
        <f t="shared" si="11"/>
        <v>365.48531529861015</v>
      </c>
      <c r="BB21" s="78">
        <f t="shared" si="11"/>
        <v>365.20532475516251</v>
      </c>
    </row>
    <row r="22" spans="1:54" s="76" customFormat="1" x14ac:dyDescent="0.25">
      <c r="A22" s="178"/>
      <c r="B22" s="22" t="s">
        <v>361</v>
      </c>
      <c r="C22" s="75" t="s">
        <v>362</v>
      </c>
      <c r="D22" s="93">
        <f>SUM(D20:BB20)</f>
        <v>365.20532475516251</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76" customFormat="1" x14ac:dyDescent="0.25">
      <c r="A23" s="180" t="s">
        <v>3</v>
      </c>
      <c r="B23" s="76" t="s">
        <v>363</v>
      </c>
      <c r="C23" s="77" t="s">
        <v>362</v>
      </c>
      <c r="D23" s="76">
        <f>-0.15*(1239+529+2*350)</f>
        <v>-370.2</v>
      </c>
      <c r="E23" s="76">
        <v>0</v>
      </c>
      <c r="F23" s="76">
        <v>0</v>
      </c>
      <c r="G23" s="76">
        <v>0</v>
      </c>
      <c r="H23" s="76">
        <v>0</v>
      </c>
      <c r="I23" s="76">
        <v>0</v>
      </c>
      <c r="J23" s="76">
        <v>0</v>
      </c>
      <c r="K23" s="76">
        <v>0</v>
      </c>
      <c r="L23" s="76">
        <v>0</v>
      </c>
      <c r="M23" s="76">
        <v>0</v>
      </c>
      <c r="N23" s="76">
        <f>-0.15*700*(1+$C$1)^N6</f>
        <v>-127.9944140994495</v>
      </c>
      <c r="O23" s="76">
        <v>0</v>
      </c>
      <c r="P23" s="76">
        <v>0</v>
      </c>
      <c r="Q23" s="76">
        <v>0</v>
      </c>
      <c r="R23" s="76">
        <v>0</v>
      </c>
      <c r="S23" s="76">
        <v>0</v>
      </c>
      <c r="T23" s="76">
        <f>-(0.15*(1239+529))*(1+$C$1)^T6</f>
        <v>-364.06276899003029</v>
      </c>
      <c r="U23" s="76">
        <v>0</v>
      </c>
      <c r="V23" s="76">
        <v>0</v>
      </c>
      <c r="W23" s="76">
        <v>0</v>
      </c>
      <c r="X23" s="76">
        <f>-0.15*700*(1+$C$1)^X6</f>
        <v>-156.0244765777272</v>
      </c>
      <c r="Y23" s="76">
        <v>0</v>
      </c>
      <c r="Z23" s="76">
        <v>0</v>
      </c>
      <c r="AA23" s="76">
        <v>0</v>
      </c>
      <c r="AB23" s="76">
        <v>0</v>
      </c>
      <c r="AC23" s="76">
        <v>0</v>
      </c>
      <c r="AD23" s="76">
        <v>0</v>
      </c>
      <c r="AE23" s="76">
        <v>0</v>
      </c>
      <c r="AF23" s="76">
        <v>0</v>
      </c>
      <c r="AG23" s="76">
        <v>0</v>
      </c>
      <c r="AH23" s="76">
        <f>-0.15*700*(1+$C$1)^AH6</f>
        <v>-190.1929663308521</v>
      </c>
      <c r="AI23" s="76">
        <v>0</v>
      </c>
      <c r="AJ23" s="76">
        <f>-(0.15*(1239+529))*(1+$C$1)^AJ6</f>
        <v>-499.78016502521939</v>
      </c>
      <c r="AK23" s="76">
        <v>0</v>
      </c>
      <c r="AL23" s="76">
        <v>0</v>
      </c>
      <c r="AM23" s="76">
        <v>0</v>
      </c>
      <c r="AN23" s="76">
        <v>0</v>
      </c>
      <c r="AO23" s="76">
        <v>0</v>
      </c>
      <c r="AP23" s="76">
        <v>0</v>
      </c>
      <c r="AQ23" s="76">
        <v>0</v>
      </c>
      <c r="AR23" s="76">
        <f>-0.15*700*(1+$C$1)^AR6</f>
        <v>-231.84416467955944</v>
      </c>
      <c r="AS23" s="76">
        <v>0</v>
      </c>
      <c r="AT23" s="76">
        <v>0</v>
      </c>
      <c r="AU23" s="76">
        <v>0</v>
      </c>
      <c r="AV23" s="76">
        <v>0</v>
      </c>
      <c r="AW23" s="76">
        <v>0</v>
      </c>
      <c r="AX23" s="76">
        <v>0</v>
      </c>
      <c r="AY23" s="76">
        <v>0</v>
      </c>
      <c r="AZ23" s="76">
        <v>0</v>
      </c>
      <c r="BA23" s="76">
        <v>0</v>
      </c>
      <c r="BB23" s="76">
        <v>0</v>
      </c>
    </row>
    <row r="24" spans="1:54" s="76" customFormat="1" x14ac:dyDescent="0.25">
      <c r="A24" s="180"/>
      <c r="B24" s="76" t="s">
        <v>356</v>
      </c>
      <c r="C24" s="77" t="s">
        <v>362</v>
      </c>
      <c r="D24" s="76">
        <v>0</v>
      </c>
      <c r="E24" s="78">
        <f>ABS('Annual Calculations'!$Q$8)*(1+$C$3)^E$168</f>
        <v>90.925260993962297</v>
      </c>
      <c r="F24" s="78">
        <f>ABS('Annual Calculations'!$Q$8)*(1+$C$3)^F$168</f>
        <v>92.743766213841539</v>
      </c>
      <c r="G24" s="78">
        <f>ABS('Annual Calculations'!$Q$8)*(1+$C$3)^G$168</f>
        <v>94.598641538118372</v>
      </c>
      <c r="H24" s="78">
        <f>ABS('Annual Calculations'!$Q$8)*(1+$C$3)^H$168</f>
        <v>96.490614368880742</v>
      </c>
      <c r="I24" s="78">
        <f>ABS('Annual Calculations'!$Q$8)*(1+$C$3)^I$168</f>
        <v>98.420426656258357</v>
      </c>
      <c r="J24" s="78">
        <f>ABS('Annual Calculations'!$Q$8)*(1+$C$3)^J$168</f>
        <v>100.38883518938353</v>
      </c>
      <c r="K24" s="78">
        <f>ABS('Annual Calculations'!$Q$8)*(1+$C$3)^K$168</f>
        <v>102.39661189317118</v>
      </c>
      <c r="L24" s="78">
        <f>ABS('Annual Calculations'!$Q$8)*(1+$C$3)^L$168</f>
        <v>104.44454413103462</v>
      </c>
      <c r="M24" s="78">
        <f>ABS('Annual Calculations'!$Q$8)*(1+$C$3)^M$168</f>
        <v>106.53343501365531</v>
      </c>
      <c r="N24" s="78">
        <f>ABS('Annual Calculations'!$Q$8)*(1+$C$3)^N$168</f>
        <v>108.66410371392841</v>
      </c>
      <c r="O24" s="78">
        <f>ABS('Annual Calculations'!$Q$8)*(1+$C$3)^O$168</f>
        <v>110.83738578820696</v>
      </c>
      <c r="P24" s="78">
        <f>ABS('Annual Calculations'!$Q$8)*(1+$C$3)^P$168</f>
        <v>113.05413350397112</v>
      </c>
      <c r="Q24" s="78">
        <f>ABS('Annual Calculations'!$Q$8)*(1+$C$3)^Q$168</f>
        <v>115.31521617405053</v>
      </c>
      <c r="R24" s="78">
        <f>ABS('Annual Calculations'!$Q$8)*(1+$C$3)^R$168</f>
        <v>117.62152049753156</v>
      </c>
      <c r="S24" s="78">
        <f>ABS('Annual Calculations'!$Q$8)*(1+$C$3)^S$168</f>
        <v>119.97395090748216</v>
      </c>
      <c r="T24" s="78">
        <f>ABS('Annual Calculations'!$Q$8)*(1+$C$3)^T$168</f>
        <v>122.37342992563183</v>
      </c>
      <c r="U24" s="78">
        <f>ABS('Annual Calculations'!$Q$8)*(1+$C$3)^U$168</f>
        <v>124.82089852414447</v>
      </c>
      <c r="V24" s="78">
        <f>ABS('Annual Calculations'!$Q$8)*(1+$C$3)^V$168</f>
        <v>127.31731649462735</v>
      </c>
      <c r="W24" s="78">
        <f>ABS('Annual Calculations'!$Q$8)*(1+$C$3)^W$168</f>
        <v>129.86366282451988</v>
      </c>
      <c r="X24" s="78">
        <f>ABS('Annual Calculations'!$Q$8)*(1+$C$3)^X$168</f>
        <v>132.46093608101029</v>
      </c>
      <c r="Y24" s="78">
        <f>ABS('Annual Calculations'!$Q$8)*(1+$C$3)^Y$168</f>
        <v>135.11015480263049</v>
      </c>
      <c r="Z24" s="78">
        <f>ABS('Annual Calculations'!$Q$8)*(1+$C$3)^Z$168</f>
        <v>137.8123578986831</v>
      </c>
      <c r="AA24" s="78">
        <f>ABS('Annual Calculations'!$Q$8)*(1+$C$3)^AA$168</f>
        <v>140.56860505665674</v>
      </c>
      <c r="AB24" s="78">
        <f>ABS('Annual Calculations'!$Q$8)*(1+$C$3)^AB$168</f>
        <v>143.37997715778988</v>
      </c>
      <c r="AC24" s="78">
        <f>ABS('Annual Calculations'!$Q$8)*(1+$C$3)^AC$168</f>
        <v>146.24757670094567</v>
      </c>
      <c r="AD24" s="78">
        <f>ABS('Annual Calculations'!$Q$8)*(1+$C$3)^AD$168</f>
        <v>149.1725282349646</v>
      </c>
      <c r="AE24" s="78">
        <f>ABS('Annual Calculations'!$Q$8)*(1+$C$3)^AE$168</f>
        <v>152.15597879966387</v>
      </c>
      <c r="AF24" s="78">
        <f>ABS('Annual Calculations'!$Q$8)*(1+$C$3)^AF$168</f>
        <v>155.1990983756572</v>
      </c>
      <c r="AG24" s="78">
        <f>ABS('Annual Calculations'!$Q$8)*(1+$C$3)^AG$168</f>
        <v>158.30308034317031</v>
      </c>
      <c r="AH24" s="78">
        <f>ABS('Annual Calculations'!$Q$8)*(1+$C$3)^AH$168</f>
        <v>161.46914195003373</v>
      </c>
      <c r="AI24" s="78">
        <f>ABS('Annual Calculations'!$Q$8)*(1+$C$3)^AI$168</f>
        <v>164.69852478903437</v>
      </c>
      <c r="AJ24" s="78">
        <f>ABS('Annual Calculations'!$Q$8)*(1+$C$3)^AJ$168</f>
        <v>167.99249528481508</v>
      </c>
      <c r="AK24" s="78">
        <f>ABS('Annual Calculations'!$Q$8)*(1+$C$3)^AK$168</f>
        <v>171.35234519051141</v>
      </c>
      <c r="AL24" s="78">
        <f>ABS('Annual Calculations'!$Q$8)*(1+$C$3)^AL$168</f>
        <v>174.77939209432162</v>
      </c>
      <c r="AM24" s="78">
        <f>ABS('Annual Calculations'!$Q$8)*(1+$C$3)^AM$168</f>
        <v>178.27497993620804</v>
      </c>
      <c r="AN24" s="78">
        <f>ABS('Annual Calculations'!$Q$8)*(1+$C$3)^AN$168</f>
        <v>181.8404795349322</v>
      </c>
      <c r="AO24" s="78">
        <f>ABS('Annual Calculations'!$Q$8)*(1+$C$3)^AO$168</f>
        <v>185.47728912563088</v>
      </c>
      <c r="AP24" s="78">
        <f>ABS('Annual Calculations'!$Q$8)*(1+$C$3)^AP$168</f>
        <v>189.18683490814351</v>
      </c>
      <c r="AQ24" s="78">
        <f>ABS('Annual Calculations'!$Q$8)*(1+$C$3)^AQ$168</f>
        <v>192.97057160630629</v>
      </c>
      <c r="AR24" s="78">
        <f>ABS('Annual Calculations'!$Q$8)*(1+$C$3)^AR$168</f>
        <v>196.82998303843246</v>
      </c>
      <c r="AS24" s="78">
        <f>ABS('Annual Calculations'!$Q$8)*(1+$C$3)^AS$168</f>
        <v>200.76658269920111</v>
      </c>
      <c r="AT24" s="78">
        <f>ABS('Annual Calculations'!$Q$8)*(1+$C$3)^AT$168</f>
        <v>204.78191435318513</v>
      </c>
      <c r="AU24" s="78">
        <f>ABS('Annual Calculations'!$Q$8)*(1+$C$3)^AU$168</f>
        <v>208.87755264024881</v>
      </c>
      <c r="AV24" s="78">
        <f>ABS('Annual Calculations'!$Q$8)*(1+$C$3)^AV$168</f>
        <v>213.05510369305384</v>
      </c>
      <c r="AW24" s="78">
        <f>ABS('Annual Calculations'!$Q$8)*(1+$C$3)^AW$168</f>
        <v>217.31620576691489</v>
      </c>
      <c r="AX24" s="78">
        <f>ABS('Annual Calculations'!$Q$8)*(1+$C$3)^AX$168</f>
        <v>221.66252988225321</v>
      </c>
      <c r="AY24" s="78">
        <f>ABS('Annual Calculations'!$Q$8)*(1+$C$3)^AY$168</f>
        <v>226.0957804798982</v>
      </c>
      <c r="AZ24" s="78">
        <f>ABS('Annual Calculations'!$Q$8)*(1+$C$3)^AZ$168</f>
        <v>230.61769608949621</v>
      </c>
      <c r="BA24" s="78">
        <f>ABS('Annual Calculations'!$Q$8)*(1+$C$3)^BA$168</f>
        <v>235.23005001128612</v>
      </c>
      <c r="BB24" s="78">
        <f>ABS('Annual Calculations'!$Q$8)*(1+$C$3)^BB$168</f>
        <v>239.93465101151185</v>
      </c>
    </row>
    <row r="25" spans="1:54" s="76" customFormat="1" x14ac:dyDescent="0.25">
      <c r="A25" s="180"/>
      <c r="B25" s="76" t="s">
        <v>357</v>
      </c>
      <c r="C25" s="77" t="s">
        <v>362</v>
      </c>
      <c r="D25" s="76">
        <v>0</v>
      </c>
      <c r="E25" s="78">
        <f t="shared" ref="E25:AJ25" si="12">0*(1+$C$3)^E$168</f>
        <v>0</v>
      </c>
      <c r="F25" s="78">
        <f t="shared" si="12"/>
        <v>0</v>
      </c>
      <c r="G25" s="78">
        <f t="shared" si="12"/>
        <v>0</v>
      </c>
      <c r="H25" s="78">
        <f t="shared" si="12"/>
        <v>0</v>
      </c>
      <c r="I25" s="78">
        <f t="shared" si="12"/>
        <v>0</v>
      </c>
      <c r="J25" s="78">
        <f t="shared" si="12"/>
        <v>0</v>
      </c>
      <c r="K25" s="78">
        <f t="shared" si="12"/>
        <v>0</v>
      </c>
      <c r="L25" s="78">
        <f t="shared" si="12"/>
        <v>0</v>
      </c>
      <c r="M25" s="78">
        <f t="shared" si="12"/>
        <v>0</v>
      </c>
      <c r="N25" s="78">
        <f t="shared" si="12"/>
        <v>0</v>
      </c>
      <c r="O25" s="78">
        <f t="shared" si="12"/>
        <v>0</v>
      </c>
      <c r="P25" s="78">
        <f t="shared" si="12"/>
        <v>0</v>
      </c>
      <c r="Q25" s="78">
        <f t="shared" si="12"/>
        <v>0</v>
      </c>
      <c r="R25" s="78">
        <f t="shared" si="12"/>
        <v>0</v>
      </c>
      <c r="S25" s="78">
        <f t="shared" si="12"/>
        <v>0</v>
      </c>
      <c r="T25" s="78">
        <f t="shared" si="12"/>
        <v>0</v>
      </c>
      <c r="U25" s="78">
        <f t="shared" si="12"/>
        <v>0</v>
      </c>
      <c r="V25" s="78">
        <f t="shared" si="12"/>
        <v>0</v>
      </c>
      <c r="W25" s="78">
        <f t="shared" si="12"/>
        <v>0</v>
      </c>
      <c r="X25" s="78">
        <f t="shared" si="12"/>
        <v>0</v>
      </c>
      <c r="Y25" s="78">
        <f t="shared" si="12"/>
        <v>0</v>
      </c>
      <c r="Z25" s="78">
        <f t="shared" si="12"/>
        <v>0</v>
      </c>
      <c r="AA25" s="78">
        <f t="shared" si="12"/>
        <v>0</v>
      </c>
      <c r="AB25" s="78">
        <f t="shared" si="12"/>
        <v>0</v>
      </c>
      <c r="AC25" s="78">
        <f t="shared" si="12"/>
        <v>0</v>
      </c>
      <c r="AD25" s="78">
        <f t="shared" si="12"/>
        <v>0</v>
      </c>
      <c r="AE25" s="78">
        <f t="shared" si="12"/>
        <v>0</v>
      </c>
      <c r="AF25" s="78">
        <f t="shared" si="12"/>
        <v>0</v>
      </c>
      <c r="AG25" s="78">
        <f t="shared" si="12"/>
        <v>0</v>
      </c>
      <c r="AH25" s="78">
        <f t="shared" si="12"/>
        <v>0</v>
      </c>
      <c r="AI25" s="78">
        <f t="shared" si="12"/>
        <v>0</v>
      </c>
      <c r="AJ25" s="78">
        <f t="shared" si="12"/>
        <v>0</v>
      </c>
      <c r="AK25" s="78">
        <f t="shared" ref="AK25:BB25" si="13">0*(1+$C$3)^AK$168</f>
        <v>0</v>
      </c>
      <c r="AL25" s="78">
        <f t="shared" si="13"/>
        <v>0</v>
      </c>
      <c r="AM25" s="78">
        <f t="shared" si="13"/>
        <v>0</v>
      </c>
      <c r="AN25" s="78">
        <f t="shared" si="13"/>
        <v>0</v>
      </c>
      <c r="AO25" s="78">
        <f t="shared" si="13"/>
        <v>0</v>
      </c>
      <c r="AP25" s="78">
        <f t="shared" si="13"/>
        <v>0</v>
      </c>
      <c r="AQ25" s="78">
        <f t="shared" si="13"/>
        <v>0</v>
      </c>
      <c r="AR25" s="78">
        <f t="shared" si="13"/>
        <v>0</v>
      </c>
      <c r="AS25" s="78">
        <f t="shared" si="13"/>
        <v>0</v>
      </c>
      <c r="AT25" s="78">
        <f t="shared" si="13"/>
        <v>0</v>
      </c>
      <c r="AU25" s="78">
        <f t="shared" si="13"/>
        <v>0</v>
      </c>
      <c r="AV25" s="78">
        <f t="shared" si="13"/>
        <v>0</v>
      </c>
      <c r="AW25" s="78">
        <f t="shared" si="13"/>
        <v>0</v>
      </c>
      <c r="AX25" s="78">
        <f t="shared" si="13"/>
        <v>0</v>
      </c>
      <c r="AY25" s="78">
        <f t="shared" si="13"/>
        <v>0</v>
      </c>
      <c r="AZ25" s="78">
        <f t="shared" si="13"/>
        <v>0</v>
      </c>
      <c r="BA25" s="78">
        <f t="shared" si="13"/>
        <v>0</v>
      </c>
      <c r="BB25" s="78">
        <f t="shared" si="13"/>
        <v>0</v>
      </c>
    </row>
    <row r="26" spans="1:54" s="76" customFormat="1" x14ac:dyDescent="0.25">
      <c r="A26" s="180"/>
      <c r="B26" s="76" t="s">
        <v>358</v>
      </c>
      <c r="C26" s="77" t="s">
        <v>362</v>
      </c>
      <c r="D26" s="76">
        <f>SUM(D23:D25)</f>
        <v>-370.2</v>
      </c>
      <c r="E26" s="78">
        <f t="shared" ref="E26:BB26" si="14">SUM(E23:E25)</f>
        <v>90.925260993962297</v>
      </c>
      <c r="F26" s="78">
        <f t="shared" si="14"/>
        <v>92.743766213841539</v>
      </c>
      <c r="G26" s="78">
        <f t="shared" si="14"/>
        <v>94.598641538118372</v>
      </c>
      <c r="H26" s="78">
        <f t="shared" si="14"/>
        <v>96.490614368880742</v>
      </c>
      <c r="I26" s="78">
        <f t="shared" si="14"/>
        <v>98.420426656258357</v>
      </c>
      <c r="J26" s="78">
        <f t="shared" si="14"/>
        <v>100.38883518938353</v>
      </c>
      <c r="K26" s="78">
        <f t="shared" si="14"/>
        <v>102.39661189317118</v>
      </c>
      <c r="L26" s="78">
        <f t="shared" si="14"/>
        <v>104.44454413103462</v>
      </c>
      <c r="M26" s="78">
        <f t="shared" si="14"/>
        <v>106.53343501365531</v>
      </c>
      <c r="N26" s="78">
        <f t="shared" si="14"/>
        <v>-19.330310385521088</v>
      </c>
      <c r="O26" s="78">
        <f t="shared" si="14"/>
        <v>110.83738578820696</v>
      </c>
      <c r="P26" s="78">
        <f t="shared" si="14"/>
        <v>113.05413350397112</v>
      </c>
      <c r="Q26" s="78">
        <f t="shared" si="14"/>
        <v>115.31521617405053</v>
      </c>
      <c r="R26" s="78">
        <f t="shared" si="14"/>
        <v>117.62152049753156</v>
      </c>
      <c r="S26" s="78">
        <f t="shared" si="14"/>
        <v>119.97395090748216</v>
      </c>
      <c r="T26" s="78">
        <f t="shared" si="14"/>
        <v>-241.68933906439847</v>
      </c>
      <c r="U26" s="78">
        <f t="shared" si="14"/>
        <v>124.82089852414447</v>
      </c>
      <c r="V26" s="78">
        <f t="shared" si="14"/>
        <v>127.31731649462735</v>
      </c>
      <c r="W26" s="78">
        <f t="shared" si="14"/>
        <v>129.86366282451988</v>
      </c>
      <c r="X26" s="78">
        <f t="shared" si="14"/>
        <v>-23.563540496716911</v>
      </c>
      <c r="Y26" s="78">
        <f t="shared" si="14"/>
        <v>135.11015480263049</v>
      </c>
      <c r="Z26" s="78">
        <f t="shared" si="14"/>
        <v>137.8123578986831</v>
      </c>
      <c r="AA26" s="78">
        <f t="shared" si="14"/>
        <v>140.56860505665674</v>
      </c>
      <c r="AB26" s="78">
        <f t="shared" si="14"/>
        <v>143.37997715778988</v>
      </c>
      <c r="AC26" s="78">
        <f t="shared" si="14"/>
        <v>146.24757670094567</v>
      </c>
      <c r="AD26" s="78">
        <f t="shared" si="14"/>
        <v>149.1725282349646</v>
      </c>
      <c r="AE26" s="78">
        <f t="shared" si="14"/>
        <v>152.15597879966387</v>
      </c>
      <c r="AF26" s="78">
        <f t="shared" si="14"/>
        <v>155.1990983756572</v>
      </c>
      <c r="AG26" s="78">
        <f t="shared" si="14"/>
        <v>158.30308034317031</v>
      </c>
      <c r="AH26" s="78">
        <f t="shared" si="14"/>
        <v>-28.723824380818371</v>
      </c>
      <c r="AI26" s="78">
        <f t="shared" si="14"/>
        <v>164.69852478903437</v>
      </c>
      <c r="AJ26" s="78">
        <f t="shared" si="14"/>
        <v>-331.78766974040434</v>
      </c>
      <c r="AK26" s="78">
        <f t="shared" si="14"/>
        <v>171.35234519051141</v>
      </c>
      <c r="AL26" s="78">
        <f t="shared" si="14"/>
        <v>174.77939209432162</v>
      </c>
      <c r="AM26" s="78">
        <f t="shared" si="14"/>
        <v>178.27497993620804</v>
      </c>
      <c r="AN26" s="78">
        <f t="shared" si="14"/>
        <v>181.8404795349322</v>
      </c>
      <c r="AO26" s="78">
        <f t="shared" si="14"/>
        <v>185.47728912563088</v>
      </c>
      <c r="AP26" s="78">
        <f t="shared" si="14"/>
        <v>189.18683490814351</v>
      </c>
      <c r="AQ26" s="78">
        <f t="shared" si="14"/>
        <v>192.97057160630629</v>
      </c>
      <c r="AR26" s="78">
        <f t="shared" si="14"/>
        <v>-35.014181641126982</v>
      </c>
      <c r="AS26" s="78">
        <f t="shared" si="14"/>
        <v>200.76658269920111</v>
      </c>
      <c r="AT26" s="78">
        <f t="shared" si="14"/>
        <v>204.78191435318513</v>
      </c>
      <c r="AU26" s="78">
        <f t="shared" si="14"/>
        <v>208.87755264024881</v>
      </c>
      <c r="AV26" s="78">
        <f t="shared" si="14"/>
        <v>213.05510369305384</v>
      </c>
      <c r="AW26" s="78">
        <f t="shared" si="14"/>
        <v>217.31620576691489</v>
      </c>
      <c r="AX26" s="78">
        <f t="shared" si="14"/>
        <v>221.66252988225321</v>
      </c>
      <c r="AY26" s="78">
        <f t="shared" si="14"/>
        <v>226.0957804798982</v>
      </c>
      <c r="AZ26" s="78">
        <f t="shared" si="14"/>
        <v>230.61769608949621</v>
      </c>
      <c r="BA26" s="78">
        <f t="shared" si="14"/>
        <v>235.23005001128612</v>
      </c>
      <c r="BB26" s="78">
        <f t="shared" si="14"/>
        <v>239.93465101151185</v>
      </c>
    </row>
    <row r="27" spans="1:54" s="76" customFormat="1" x14ac:dyDescent="0.25">
      <c r="A27" s="180"/>
      <c r="B27" s="76" t="s">
        <v>359</v>
      </c>
      <c r="C27" s="77"/>
      <c r="D27" s="76">
        <f t="shared" ref="D27:AI27" si="15">(1+$C$2)^D$168</f>
        <v>1</v>
      </c>
      <c r="E27" s="79">
        <f t="shared" si="15"/>
        <v>1.03</v>
      </c>
      <c r="F27" s="79">
        <f t="shared" si="15"/>
        <v>1.0609</v>
      </c>
      <c r="G27" s="79">
        <f t="shared" si="15"/>
        <v>1.092727</v>
      </c>
      <c r="H27" s="79">
        <f t="shared" si="15"/>
        <v>1.1255088099999999</v>
      </c>
      <c r="I27" s="79">
        <f t="shared" si="15"/>
        <v>1.1592740742999998</v>
      </c>
      <c r="J27" s="79">
        <f t="shared" si="15"/>
        <v>1.1940522965289999</v>
      </c>
      <c r="K27" s="79">
        <f t="shared" si="15"/>
        <v>1.22987386542487</v>
      </c>
      <c r="L27" s="79">
        <f t="shared" si="15"/>
        <v>1.2667700813876159</v>
      </c>
      <c r="M27" s="79">
        <f t="shared" si="15"/>
        <v>1.3047731838292445</v>
      </c>
      <c r="N27" s="79">
        <f t="shared" si="15"/>
        <v>1.3439163793441218</v>
      </c>
      <c r="O27" s="79">
        <f t="shared" si="15"/>
        <v>1.3842338707244455</v>
      </c>
      <c r="P27" s="79">
        <f t="shared" si="15"/>
        <v>1.4257608868461786</v>
      </c>
      <c r="Q27" s="79">
        <f t="shared" si="15"/>
        <v>1.4685337134515639</v>
      </c>
      <c r="R27" s="79">
        <f t="shared" si="15"/>
        <v>1.512589724855111</v>
      </c>
      <c r="S27" s="79">
        <f t="shared" si="15"/>
        <v>1.5579674166007644</v>
      </c>
      <c r="T27" s="79">
        <f t="shared" si="15"/>
        <v>1.6047064390987871</v>
      </c>
      <c r="U27" s="79">
        <f t="shared" si="15"/>
        <v>1.6528476322717507</v>
      </c>
      <c r="V27" s="79">
        <f t="shared" si="15"/>
        <v>1.7024330612399032</v>
      </c>
      <c r="W27" s="79">
        <f t="shared" si="15"/>
        <v>1.7535060530771003</v>
      </c>
      <c r="X27" s="79">
        <f t="shared" si="15"/>
        <v>1.8061112346694133</v>
      </c>
      <c r="Y27" s="79">
        <f t="shared" si="15"/>
        <v>1.8602945717094954</v>
      </c>
      <c r="Z27" s="79">
        <f t="shared" si="15"/>
        <v>1.9161034088607805</v>
      </c>
      <c r="AA27" s="79">
        <f t="shared" si="15"/>
        <v>1.973586511126604</v>
      </c>
      <c r="AB27" s="79">
        <f t="shared" si="15"/>
        <v>2.0327941064604018</v>
      </c>
      <c r="AC27" s="79">
        <f t="shared" si="15"/>
        <v>2.0937779296542138</v>
      </c>
      <c r="AD27" s="79">
        <f t="shared" si="15"/>
        <v>2.1565912675438406</v>
      </c>
      <c r="AE27" s="79">
        <f t="shared" si="15"/>
        <v>2.2212890055701555</v>
      </c>
      <c r="AF27" s="79">
        <f t="shared" si="15"/>
        <v>2.2879276757372602</v>
      </c>
      <c r="AG27" s="79">
        <f t="shared" si="15"/>
        <v>2.3565655060093778</v>
      </c>
      <c r="AH27" s="79">
        <f t="shared" si="15"/>
        <v>2.4272624711896591</v>
      </c>
      <c r="AI27" s="79">
        <f t="shared" si="15"/>
        <v>2.5000803453253493</v>
      </c>
      <c r="AJ27" s="79">
        <f t="shared" ref="AJ27:BB27" si="16">(1+$C$2)^AJ$168</f>
        <v>2.5750827556851092</v>
      </c>
      <c r="AK27" s="79">
        <f t="shared" si="16"/>
        <v>2.6523352383556626</v>
      </c>
      <c r="AL27" s="79">
        <f t="shared" si="16"/>
        <v>2.7319052955063321</v>
      </c>
      <c r="AM27" s="79">
        <f t="shared" si="16"/>
        <v>2.8138624543715225</v>
      </c>
      <c r="AN27" s="79">
        <f t="shared" si="16"/>
        <v>2.898278328002668</v>
      </c>
      <c r="AO27" s="79">
        <f t="shared" si="16"/>
        <v>2.9852266778427476</v>
      </c>
      <c r="AP27" s="79">
        <f t="shared" si="16"/>
        <v>3.0747834781780301</v>
      </c>
      <c r="AQ27" s="79">
        <f t="shared" si="16"/>
        <v>3.1670269825233714</v>
      </c>
      <c r="AR27" s="79">
        <f t="shared" si="16"/>
        <v>3.262037791999072</v>
      </c>
      <c r="AS27" s="79">
        <f t="shared" si="16"/>
        <v>3.3598989257590444</v>
      </c>
      <c r="AT27" s="79">
        <f t="shared" si="16"/>
        <v>3.4606958935318159</v>
      </c>
      <c r="AU27" s="79">
        <f t="shared" si="16"/>
        <v>3.5645167703377703</v>
      </c>
      <c r="AV27" s="79">
        <f t="shared" si="16"/>
        <v>3.6714522734479029</v>
      </c>
      <c r="AW27" s="79">
        <f t="shared" si="16"/>
        <v>3.78159584165134</v>
      </c>
      <c r="AX27" s="79">
        <f t="shared" si="16"/>
        <v>3.8950437169008802</v>
      </c>
      <c r="AY27" s="79">
        <f t="shared" si="16"/>
        <v>4.0118950284079071</v>
      </c>
      <c r="AZ27" s="79">
        <f t="shared" si="16"/>
        <v>4.1322518792601439</v>
      </c>
      <c r="BA27" s="79">
        <f t="shared" si="16"/>
        <v>4.2562194356379477</v>
      </c>
      <c r="BB27" s="79">
        <f t="shared" si="16"/>
        <v>4.3839060187070862</v>
      </c>
    </row>
    <row r="28" spans="1:54" s="76" customFormat="1" x14ac:dyDescent="0.25">
      <c r="A28" s="180"/>
      <c r="B28" s="76" t="s">
        <v>360</v>
      </c>
      <c r="C28" s="77" t="s">
        <v>362</v>
      </c>
      <c r="D28" s="76">
        <f>D26/D27</f>
        <v>-370.2</v>
      </c>
      <c r="E28" s="78">
        <f>E26/E27</f>
        <v>88.276952421322619</v>
      </c>
      <c r="F28" s="78">
        <f>F26/F27</f>
        <v>87.419894630824345</v>
      </c>
      <c r="G28" s="78">
        <f t="shared" ref="G28:BB28" si="17">G26/G27</f>
        <v>86.571157789748369</v>
      </c>
      <c r="H28" s="78">
        <f t="shared" si="17"/>
        <v>85.730661112178012</v>
      </c>
      <c r="I28" s="78">
        <f t="shared" si="17"/>
        <v>84.898324596525796</v>
      </c>
      <c r="J28" s="78">
        <f t="shared" si="17"/>
        <v>84.07406901791876</v>
      </c>
      <c r="K28" s="78">
        <f t="shared" si="17"/>
        <v>83.257815920657393</v>
      </c>
      <c r="L28" s="78">
        <f t="shared" si="17"/>
        <v>82.449487610748108</v>
      </c>
      <c r="M28" s="78">
        <f t="shared" si="17"/>
        <v>81.649007148507835</v>
      </c>
      <c r="N28" s="78">
        <f t="shared" si="17"/>
        <v>-14.383566330931211</v>
      </c>
      <c r="O28" s="78">
        <f t="shared" si="17"/>
        <v>80.071285735985981</v>
      </c>
      <c r="P28" s="78">
        <f t="shared" si="17"/>
        <v>79.293894612335663</v>
      </c>
      <c r="Q28" s="78">
        <f t="shared" si="17"/>
        <v>78.524050975322695</v>
      </c>
      <c r="R28" s="78">
        <f t="shared" si="17"/>
        <v>77.761681548377823</v>
      </c>
      <c r="S28" s="78">
        <f t="shared" si="17"/>
        <v>77.006713766354707</v>
      </c>
      <c r="T28" s="78">
        <f t="shared" si="17"/>
        <v>-150.61280566689362</v>
      </c>
      <c r="U28" s="78">
        <f t="shared" si="17"/>
        <v>75.518696392228733</v>
      </c>
      <c r="V28" s="78">
        <f t="shared" si="17"/>
        <v>74.785505165119716</v>
      </c>
      <c r="W28" s="78">
        <f t="shared" si="17"/>
        <v>74.059432299438924</v>
      </c>
      <c r="X28" s="78">
        <f t="shared" si="17"/>
        <v>-13.046561055819982</v>
      </c>
      <c r="Y28" s="78">
        <f t="shared" si="17"/>
        <v>72.628365882115446</v>
      </c>
      <c r="Z28" s="78">
        <f t="shared" si="17"/>
        <v>71.923236116269663</v>
      </c>
      <c r="AA28" s="78">
        <f t="shared" si="17"/>
        <v>71.224952270480614</v>
      </c>
      <c r="AB28" s="78">
        <f t="shared" si="17"/>
        <v>70.53344787950509</v>
      </c>
      <c r="AC28" s="78">
        <f t="shared" si="17"/>
        <v>69.848657123393394</v>
      </c>
      <c r="AD28" s="78">
        <f t="shared" si="17"/>
        <v>69.170514821224529</v>
      </c>
      <c r="AE28" s="78">
        <f t="shared" si="17"/>
        <v>68.498956424901948</v>
      </c>
      <c r="AF28" s="78">
        <f t="shared" si="17"/>
        <v>67.833918013009722</v>
      </c>
      <c r="AG28" s="78">
        <f t="shared" si="17"/>
        <v>67.175336284728061</v>
      </c>
      <c r="AH28" s="78">
        <f t="shared" si="17"/>
        <v>-11.833835327557361</v>
      </c>
      <c r="AI28" s="78">
        <f t="shared" si="17"/>
        <v>65.877292742606329</v>
      </c>
      <c r="AJ28" s="78">
        <f t="shared" si="17"/>
        <v>-128.84543963020371</v>
      </c>
      <c r="AK28" s="78">
        <f t="shared" si="17"/>
        <v>64.604331576404618</v>
      </c>
      <c r="AL28" s="78">
        <f t="shared" si="17"/>
        <v>63.977105056245357</v>
      </c>
      <c r="AM28" s="78">
        <f t="shared" si="17"/>
        <v>63.355968113951697</v>
      </c>
      <c r="AN28" s="78">
        <f t="shared" si="17"/>
        <v>62.740861627408478</v>
      </c>
      <c r="AO28" s="78">
        <f t="shared" si="17"/>
        <v>62.131727048501617</v>
      </c>
      <c r="AP28" s="78">
        <f t="shared" si="17"/>
        <v>61.5285063975453</v>
      </c>
      <c r="AQ28" s="78">
        <f t="shared" si="17"/>
        <v>60.93114225776327</v>
      </c>
      <c r="AR28" s="78">
        <f t="shared" si="17"/>
        <v>-10.733836906184115</v>
      </c>
      <c r="AS28" s="78">
        <f t="shared" si="17"/>
        <v>59.753756626427489</v>
      </c>
      <c r="AT28" s="78">
        <f t="shared" si="17"/>
        <v>59.173623066947606</v>
      </c>
      <c r="AU28" s="78">
        <f t="shared" si="17"/>
        <v>58.599121872122872</v>
      </c>
      <c r="AV28" s="78">
        <f t="shared" si="17"/>
        <v>58.030198358801307</v>
      </c>
      <c r="AW28" s="78">
        <f t="shared" si="17"/>
        <v>57.466798374735269</v>
      </c>
      <c r="AX28" s="78">
        <f t="shared" si="17"/>
        <v>56.908868293427169</v>
      </c>
      <c r="AY28" s="78">
        <f t="shared" si="17"/>
        <v>56.356355009024938</v>
      </c>
      <c r="AZ28" s="78">
        <f t="shared" si="17"/>
        <v>55.809205931267428</v>
      </c>
      <c r="BA28" s="78">
        <f t="shared" si="17"/>
        <v>55.26736898047843</v>
      </c>
      <c r="BB28" s="78">
        <f t="shared" si="17"/>
        <v>54.730792582609709</v>
      </c>
    </row>
    <row r="29" spans="1:54" x14ac:dyDescent="0.25">
      <c r="A29" s="180"/>
      <c r="B29" s="76" t="s">
        <v>645</v>
      </c>
      <c r="C29" s="77" t="s">
        <v>362</v>
      </c>
      <c r="D29" s="76">
        <f>D28</f>
        <v>-370.2</v>
      </c>
      <c r="E29" s="78">
        <f>E28+D29</f>
        <v>-281.92304757867737</v>
      </c>
      <c r="F29" s="78">
        <f t="shared" ref="F29:BB29" si="18">F28+E29</f>
        <v>-194.50315294785304</v>
      </c>
      <c r="G29" s="78">
        <f t="shared" si="18"/>
        <v>-107.93199515810467</v>
      </c>
      <c r="H29" s="78">
        <f t="shared" si="18"/>
        <v>-22.201334045926657</v>
      </c>
      <c r="I29" s="78">
        <f t="shared" si="18"/>
        <v>62.696990550599139</v>
      </c>
      <c r="J29" s="78">
        <f t="shared" si="18"/>
        <v>146.7710595685179</v>
      </c>
      <c r="K29" s="78">
        <f t="shared" si="18"/>
        <v>230.02887548917528</v>
      </c>
      <c r="L29" s="78">
        <f t="shared" si="18"/>
        <v>312.4783630999234</v>
      </c>
      <c r="M29" s="78">
        <f t="shared" si="18"/>
        <v>394.12737024843125</v>
      </c>
      <c r="N29" s="78">
        <f t="shared" si="18"/>
        <v>379.74380391750003</v>
      </c>
      <c r="O29" s="78">
        <f t="shared" si="18"/>
        <v>459.81508965348598</v>
      </c>
      <c r="P29" s="78">
        <f t="shared" si="18"/>
        <v>539.10898426582162</v>
      </c>
      <c r="Q29" s="78">
        <f t="shared" si="18"/>
        <v>617.63303524114428</v>
      </c>
      <c r="R29" s="78">
        <f t="shared" si="18"/>
        <v>695.39471678952214</v>
      </c>
      <c r="S29" s="78">
        <f t="shared" si="18"/>
        <v>772.4014305558768</v>
      </c>
      <c r="T29" s="78">
        <f t="shared" si="18"/>
        <v>621.78862488898312</v>
      </c>
      <c r="U29" s="78">
        <f t="shared" si="18"/>
        <v>697.3073212812119</v>
      </c>
      <c r="V29" s="78">
        <f t="shared" si="18"/>
        <v>772.09282644633163</v>
      </c>
      <c r="W29" s="78">
        <f t="shared" si="18"/>
        <v>846.1522587457705</v>
      </c>
      <c r="X29" s="78">
        <f t="shared" si="18"/>
        <v>833.10569768995049</v>
      </c>
      <c r="Y29" s="78">
        <f t="shared" si="18"/>
        <v>905.73406357206591</v>
      </c>
      <c r="Z29" s="78">
        <f t="shared" si="18"/>
        <v>977.65729968833557</v>
      </c>
      <c r="AA29" s="78">
        <f t="shared" si="18"/>
        <v>1048.8822519588161</v>
      </c>
      <c r="AB29" s="78">
        <f t="shared" si="18"/>
        <v>1119.4156998383212</v>
      </c>
      <c r="AC29" s="78">
        <f t="shared" si="18"/>
        <v>1189.2643569617146</v>
      </c>
      <c r="AD29" s="78">
        <f t="shared" si="18"/>
        <v>1258.4348717829391</v>
      </c>
      <c r="AE29" s="78">
        <f t="shared" si="18"/>
        <v>1326.9338282078411</v>
      </c>
      <c r="AF29" s="78">
        <f t="shared" si="18"/>
        <v>1394.7677462208508</v>
      </c>
      <c r="AG29" s="78">
        <f t="shared" si="18"/>
        <v>1461.9430825055788</v>
      </c>
      <c r="AH29" s="78">
        <f t="shared" si="18"/>
        <v>1450.1092471780214</v>
      </c>
      <c r="AI29" s="78">
        <f t="shared" si="18"/>
        <v>1515.9865399206278</v>
      </c>
      <c r="AJ29" s="78">
        <f t="shared" si="18"/>
        <v>1387.1411002904242</v>
      </c>
      <c r="AK29" s="78">
        <f t="shared" si="18"/>
        <v>1451.7454318668288</v>
      </c>
      <c r="AL29" s="78">
        <f t="shared" si="18"/>
        <v>1515.7225369230741</v>
      </c>
      <c r="AM29" s="78">
        <f t="shared" si="18"/>
        <v>1579.0785050370259</v>
      </c>
      <c r="AN29" s="78">
        <f t="shared" si="18"/>
        <v>1641.8193666644345</v>
      </c>
      <c r="AO29" s="78">
        <f t="shared" si="18"/>
        <v>1703.9510937129362</v>
      </c>
      <c r="AP29" s="78">
        <f t="shared" si="18"/>
        <v>1765.4796001104814</v>
      </c>
      <c r="AQ29" s="78">
        <f t="shared" si="18"/>
        <v>1826.4107423682447</v>
      </c>
      <c r="AR29" s="78">
        <f t="shared" si="18"/>
        <v>1815.6769054620606</v>
      </c>
      <c r="AS29" s="78">
        <f t="shared" si="18"/>
        <v>1875.4306620884881</v>
      </c>
      <c r="AT29" s="78">
        <f t="shared" si="18"/>
        <v>1934.6042851554357</v>
      </c>
      <c r="AU29" s="78">
        <f t="shared" si="18"/>
        <v>1993.2034070275586</v>
      </c>
      <c r="AV29" s="78">
        <f t="shared" si="18"/>
        <v>2051.2336053863601</v>
      </c>
      <c r="AW29" s="78">
        <f t="shared" si="18"/>
        <v>2108.7004037610955</v>
      </c>
      <c r="AX29" s="78">
        <f t="shared" si="18"/>
        <v>2165.6092720545225</v>
      </c>
      <c r="AY29" s="78">
        <f t="shared" si="18"/>
        <v>2221.9656270635473</v>
      </c>
      <c r="AZ29" s="78">
        <f t="shared" si="18"/>
        <v>2277.7748329948149</v>
      </c>
      <c r="BA29" s="78">
        <f t="shared" si="18"/>
        <v>2333.0422019752932</v>
      </c>
      <c r="BB29" s="78">
        <f t="shared" si="18"/>
        <v>2387.7729945579031</v>
      </c>
    </row>
    <row r="30" spans="1:54" x14ac:dyDescent="0.25">
      <c r="A30" s="180"/>
      <c r="B30" s="80" t="s">
        <v>361</v>
      </c>
      <c r="C30" s="81" t="s">
        <v>362</v>
      </c>
      <c r="D30" s="92">
        <f>SUM(D28:BB28)</f>
        <v>2387.7729945579031</v>
      </c>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row>
    <row r="31" spans="1:54" x14ac:dyDescent="0.25">
      <c r="A31" s="178" t="s">
        <v>4</v>
      </c>
      <c r="B31" t="s">
        <v>363</v>
      </c>
      <c r="C31" s="72" t="s">
        <v>362</v>
      </c>
      <c r="D31">
        <f>-100</f>
        <v>-100</v>
      </c>
      <c r="E31">
        <v>0</v>
      </c>
      <c r="F31">
        <v>0</v>
      </c>
      <c r="G31">
        <v>0</v>
      </c>
      <c r="H31">
        <v>0</v>
      </c>
      <c r="I31">
        <v>0</v>
      </c>
      <c r="J31">
        <v>0</v>
      </c>
      <c r="K31">
        <v>0</v>
      </c>
      <c r="L31">
        <v>0</v>
      </c>
      <c r="M31">
        <v>0</v>
      </c>
      <c r="N31">
        <v>0</v>
      </c>
      <c r="O31">
        <v>0</v>
      </c>
      <c r="P31">
        <v>0</v>
      </c>
      <c r="Q31">
        <v>0</v>
      </c>
      <c r="R31">
        <v>0</v>
      </c>
      <c r="S31">
        <v>0</v>
      </c>
      <c r="T31">
        <f>-100*(1+$C$1)^T6</f>
        <v>-137.27857050906121</v>
      </c>
      <c r="U31">
        <v>0</v>
      </c>
      <c r="V31">
        <v>0</v>
      </c>
      <c r="W31">
        <v>0</v>
      </c>
      <c r="X31">
        <v>0</v>
      </c>
      <c r="Y31">
        <v>0</v>
      </c>
      <c r="Z31">
        <v>0</v>
      </c>
      <c r="AA31">
        <v>0</v>
      </c>
      <c r="AB31">
        <v>0</v>
      </c>
      <c r="AC31">
        <v>0</v>
      </c>
      <c r="AD31">
        <v>0</v>
      </c>
      <c r="AE31">
        <v>0</v>
      </c>
      <c r="AF31">
        <v>0</v>
      </c>
      <c r="AG31">
        <v>0</v>
      </c>
      <c r="AH31">
        <v>0</v>
      </c>
      <c r="AI31">
        <v>0</v>
      </c>
      <c r="AJ31">
        <f>-100*(1+$C$1)^AJ6</f>
        <v>-188.45405921011289</v>
      </c>
      <c r="AK31">
        <v>0</v>
      </c>
      <c r="AL31">
        <v>0</v>
      </c>
      <c r="AM31">
        <v>0</v>
      </c>
      <c r="AN31">
        <v>0</v>
      </c>
      <c r="AO31">
        <v>0</v>
      </c>
      <c r="AP31">
        <v>0</v>
      </c>
      <c r="AQ31">
        <v>0</v>
      </c>
      <c r="AR31">
        <v>0</v>
      </c>
      <c r="AS31">
        <v>0</v>
      </c>
      <c r="AT31">
        <v>0</v>
      </c>
      <c r="AU31">
        <v>0</v>
      </c>
      <c r="AV31">
        <v>0</v>
      </c>
      <c r="AW31">
        <v>0</v>
      </c>
      <c r="AX31">
        <v>0</v>
      </c>
      <c r="AY31">
        <v>0</v>
      </c>
      <c r="AZ31">
        <v>0</v>
      </c>
      <c r="BA31">
        <v>0</v>
      </c>
      <c r="BB31">
        <v>0</v>
      </c>
    </row>
    <row r="32" spans="1:54" x14ac:dyDescent="0.25">
      <c r="A32" s="178"/>
      <c r="B32" t="s">
        <v>356</v>
      </c>
      <c r="C32" s="72" t="s">
        <v>362</v>
      </c>
      <c r="D32">
        <v>0</v>
      </c>
      <c r="E32" s="18">
        <f>ABS('Annual Calculations'!$Q$9)*(1+$C$3)^E$168</f>
        <v>89.747167170488282</v>
      </c>
      <c r="F32" s="18">
        <f>ABS('Annual Calculations'!$Q$9)*(1+$C$3)^F$168</f>
        <v>91.542110513898038</v>
      </c>
      <c r="G32" s="18">
        <f>ABS('Annual Calculations'!$Q$9)*(1+$C$3)^G$168</f>
        <v>93.372952724176002</v>
      </c>
      <c r="H32" s="18">
        <f>ABS('Annual Calculations'!$Q$9)*(1+$C$3)^H$168</f>
        <v>95.240411778659521</v>
      </c>
      <c r="I32" s="18">
        <f>ABS('Annual Calculations'!$Q$9)*(1+$C$3)^I$168</f>
        <v>97.14522001423272</v>
      </c>
      <c r="J32" s="18">
        <f>ABS('Annual Calculations'!$Q$9)*(1+$C$3)^J$168</f>
        <v>99.088124414517381</v>
      </c>
      <c r="K32" s="18">
        <f>ABS('Annual Calculations'!$Q$9)*(1+$C$3)^K$168</f>
        <v>101.0698869028077</v>
      </c>
      <c r="L32" s="18">
        <f>ABS('Annual Calculations'!$Q$9)*(1+$C$3)^L$168</f>
        <v>103.09128464086386</v>
      </c>
      <c r="M32" s="18">
        <f>ABS('Annual Calculations'!$Q$9)*(1+$C$3)^M$168</f>
        <v>105.15311033368114</v>
      </c>
      <c r="N32" s="18">
        <f>ABS('Annual Calculations'!$Q$9)*(1+$C$3)^N$168</f>
        <v>107.25617254035477</v>
      </c>
      <c r="O32" s="18">
        <f>ABS('Annual Calculations'!$Q$9)*(1+$C$3)^O$168</f>
        <v>109.40129599116185</v>
      </c>
      <c r="P32" s="18">
        <f>ABS('Annual Calculations'!$Q$9)*(1+$C$3)^P$168</f>
        <v>111.58932191098511</v>
      </c>
      <c r="Q32" s="18">
        <f>ABS('Annual Calculations'!$Q$9)*(1+$C$3)^Q$168</f>
        <v>113.82110834920479</v>
      </c>
      <c r="R32" s="18">
        <f>ABS('Annual Calculations'!$Q$9)*(1+$C$3)^R$168</f>
        <v>116.0975305161889</v>
      </c>
      <c r="S32" s="18">
        <f>ABS('Annual Calculations'!$Q$9)*(1+$C$3)^S$168</f>
        <v>118.41948112651265</v>
      </c>
      <c r="T32" s="18">
        <f>ABS('Annual Calculations'!$Q$9)*(1+$C$3)^T$168</f>
        <v>120.78787074904292</v>
      </c>
      <c r="U32" s="18">
        <f>ABS('Annual Calculations'!$Q$9)*(1+$C$3)^U$168</f>
        <v>123.2036281640238</v>
      </c>
      <c r="V32" s="18">
        <f>ABS('Annual Calculations'!$Q$9)*(1+$C$3)^V$168</f>
        <v>125.66770072730425</v>
      </c>
      <c r="W32" s="18">
        <f>ABS('Annual Calculations'!$Q$9)*(1+$C$3)^W$168</f>
        <v>128.18105474185035</v>
      </c>
      <c r="X32" s="18">
        <f>ABS('Annual Calculations'!$Q$9)*(1+$C$3)^X$168</f>
        <v>130.74467583668735</v>
      </c>
      <c r="Y32" s="18">
        <f>ABS('Annual Calculations'!$Q$9)*(1+$C$3)^Y$168</f>
        <v>133.35956935342108</v>
      </c>
      <c r="Z32" s="18">
        <f>ABS('Annual Calculations'!$Q$9)*(1+$C$3)^Z$168</f>
        <v>136.02676074048952</v>
      </c>
      <c r="AA32" s="18">
        <f>ABS('Annual Calculations'!$Q$9)*(1+$C$3)^AA$168</f>
        <v>138.74729595529928</v>
      </c>
      <c r="AB32" s="18">
        <f>ABS('Annual Calculations'!$Q$9)*(1+$C$3)^AB$168</f>
        <v>141.52224187440527</v>
      </c>
      <c r="AC32" s="18">
        <f>ABS('Annual Calculations'!$Q$9)*(1+$C$3)^AC$168</f>
        <v>144.35268671189337</v>
      </c>
      <c r="AD32" s="18">
        <f>ABS('Annual Calculations'!$Q$9)*(1+$C$3)^AD$168</f>
        <v>147.23974044613126</v>
      </c>
      <c r="AE32" s="18">
        <f>ABS('Annual Calculations'!$Q$9)*(1+$C$3)^AE$168</f>
        <v>150.18453525505387</v>
      </c>
      <c r="AF32" s="18">
        <f>ABS('Annual Calculations'!$Q$9)*(1+$C$3)^AF$168</f>
        <v>153.18822596015497</v>
      </c>
      <c r="AG32" s="18">
        <f>ABS('Annual Calculations'!$Q$9)*(1+$C$3)^AG$168</f>
        <v>156.25199047935806</v>
      </c>
      <c r="AH32" s="18">
        <f>ABS('Annual Calculations'!$Q$9)*(1+$C$3)^AH$168</f>
        <v>159.37703028894524</v>
      </c>
      <c r="AI32" s="18">
        <f>ABS('Annual Calculations'!$Q$9)*(1+$C$3)^AI$168</f>
        <v>162.56457089472408</v>
      </c>
      <c r="AJ32" s="18">
        <f>ABS('Annual Calculations'!$Q$9)*(1+$C$3)^AJ$168</f>
        <v>165.81586231261861</v>
      </c>
      <c r="AK32" s="18">
        <f>ABS('Annual Calculations'!$Q$9)*(1+$C$3)^AK$168</f>
        <v>169.132179558871</v>
      </c>
      <c r="AL32" s="18">
        <f>ABS('Annual Calculations'!$Q$9)*(1+$C$3)^AL$168</f>
        <v>172.51482315004839</v>
      </c>
      <c r="AM32" s="18">
        <f>ABS('Annual Calculations'!$Q$9)*(1+$C$3)^AM$168</f>
        <v>175.96511961304935</v>
      </c>
      <c r="AN32" s="18">
        <f>ABS('Annual Calculations'!$Q$9)*(1+$C$3)^AN$168</f>
        <v>179.48442200531034</v>
      </c>
      <c r="AO32" s="18">
        <f>ABS('Annual Calculations'!$Q$9)*(1+$C$3)^AO$168</f>
        <v>183.07411044541658</v>
      </c>
      <c r="AP32" s="18">
        <f>ABS('Annual Calculations'!$Q$9)*(1+$C$3)^AP$168</f>
        <v>186.7355926543249</v>
      </c>
      <c r="AQ32" s="18">
        <f>ABS('Annual Calculations'!$Q$9)*(1+$C$3)^AQ$168</f>
        <v>190.47030450741136</v>
      </c>
      <c r="AR32" s="18">
        <f>ABS('Annual Calculations'!$Q$9)*(1+$C$3)^AR$168</f>
        <v>194.27971059755961</v>
      </c>
      <c r="AS32" s="18">
        <f>ABS('Annual Calculations'!$Q$9)*(1+$C$3)^AS$168</f>
        <v>198.16530480951081</v>
      </c>
      <c r="AT32" s="18">
        <f>ABS('Annual Calculations'!$Q$9)*(1+$C$3)^AT$168</f>
        <v>202.12861090570101</v>
      </c>
      <c r="AU32" s="18">
        <f>ABS('Annual Calculations'!$Q$9)*(1+$C$3)^AU$168</f>
        <v>206.17118312381501</v>
      </c>
      <c r="AV32" s="18">
        <f>ABS('Annual Calculations'!$Q$9)*(1+$C$3)^AV$168</f>
        <v>210.29460678629135</v>
      </c>
      <c r="AW32" s="18">
        <f>ABS('Annual Calculations'!$Q$9)*(1+$C$3)^AW$168</f>
        <v>214.50049892201716</v>
      </c>
      <c r="AX32" s="18">
        <f>ABS('Annual Calculations'!$Q$9)*(1+$C$3)^AX$168</f>
        <v>218.79050890045752</v>
      </c>
      <c r="AY32" s="18">
        <f>ABS('Annual Calculations'!$Q$9)*(1+$C$3)^AY$168</f>
        <v>223.16631907846661</v>
      </c>
      <c r="AZ32" s="18">
        <f>ABS('Annual Calculations'!$Q$9)*(1+$C$3)^AZ$168</f>
        <v>227.62964546003596</v>
      </c>
      <c r="BA32" s="18">
        <f>ABS('Annual Calculations'!$Q$9)*(1+$C$3)^BA$168</f>
        <v>232.1822383692367</v>
      </c>
      <c r="BB32" s="18">
        <f>ABS('Annual Calculations'!$Q$9)*(1+$C$3)^BB$168</f>
        <v>236.82588313662143</v>
      </c>
    </row>
    <row r="33" spans="1:54" x14ac:dyDescent="0.25">
      <c r="A33" s="178"/>
      <c r="B33" t="s">
        <v>357</v>
      </c>
      <c r="C33" s="72" t="s">
        <v>362</v>
      </c>
      <c r="D33">
        <v>0</v>
      </c>
      <c r="E33" s="18">
        <f t="shared" ref="E33:AJ33" si="19">0*(1+$C$3)^E$168</f>
        <v>0</v>
      </c>
      <c r="F33" s="18">
        <f t="shared" si="19"/>
        <v>0</v>
      </c>
      <c r="G33" s="18">
        <f t="shared" si="19"/>
        <v>0</v>
      </c>
      <c r="H33" s="18">
        <f t="shared" si="19"/>
        <v>0</v>
      </c>
      <c r="I33" s="18">
        <f t="shared" si="19"/>
        <v>0</v>
      </c>
      <c r="J33" s="18">
        <f t="shared" si="19"/>
        <v>0</v>
      </c>
      <c r="K33" s="18">
        <f t="shared" si="19"/>
        <v>0</v>
      </c>
      <c r="L33" s="18">
        <f t="shared" si="19"/>
        <v>0</v>
      </c>
      <c r="M33" s="18">
        <f t="shared" si="19"/>
        <v>0</v>
      </c>
      <c r="N33" s="18">
        <f t="shared" si="19"/>
        <v>0</v>
      </c>
      <c r="O33" s="18">
        <f t="shared" si="19"/>
        <v>0</v>
      </c>
      <c r="P33" s="18">
        <f t="shared" si="19"/>
        <v>0</v>
      </c>
      <c r="Q33" s="18">
        <f t="shared" si="19"/>
        <v>0</v>
      </c>
      <c r="R33" s="18">
        <f t="shared" si="19"/>
        <v>0</v>
      </c>
      <c r="S33" s="18">
        <f t="shared" si="19"/>
        <v>0</v>
      </c>
      <c r="T33" s="18">
        <f t="shared" si="19"/>
        <v>0</v>
      </c>
      <c r="U33" s="18">
        <f t="shared" si="19"/>
        <v>0</v>
      </c>
      <c r="V33" s="18">
        <f t="shared" si="19"/>
        <v>0</v>
      </c>
      <c r="W33" s="18">
        <f t="shared" si="19"/>
        <v>0</v>
      </c>
      <c r="X33" s="18">
        <f t="shared" si="19"/>
        <v>0</v>
      </c>
      <c r="Y33" s="18">
        <f t="shared" si="19"/>
        <v>0</v>
      </c>
      <c r="Z33" s="18">
        <f t="shared" si="19"/>
        <v>0</v>
      </c>
      <c r="AA33" s="18">
        <f t="shared" si="19"/>
        <v>0</v>
      </c>
      <c r="AB33" s="18">
        <f t="shared" si="19"/>
        <v>0</v>
      </c>
      <c r="AC33" s="18">
        <f t="shared" si="19"/>
        <v>0</v>
      </c>
      <c r="AD33" s="18">
        <f t="shared" si="19"/>
        <v>0</v>
      </c>
      <c r="AE33" s="18">
        <f t="shared" si="19"/>
        <v>0</v>
      </c>
      <c r="AF33" s="18">
        <f t="shared" si="19"/>
        <v>0</v>
      </c>
      <c r="AG33" s="18">
        <f t="shared" si="19"/>
        <v>0</v>
      </c>
      <c r="AH33" s="18">
        <f t="shared" si="19"/>
        <v>0</v>
      </c>
      <c r="AI33" s="18">
        <f t="shared" si="19"/>
        <v>0</v>
      </c>
      <c r="AJ33" s="18">
        <f t="shared" si="19"/>
        <v>0</v>
      </c>
      <c r="AK33" s="18">
        <f t="shared" ref="AK33:BB33" si="20">0*(1+$C$3)^AK$168</f>
        <v>0</v>
      </c>
      <c r="AL33" s="18">
        <f t="shared" si="20"/>
        <v>0</v>
      </c>
      <c r="AM33" s="18">
        <f t="shared" si="20"/>
        <v>0</v>
      </c>
      <c r="AN33" s="18">
        <f t="shared" si="20"/>
        <v>0</v>
      </c>
      <c r="AO33" s="18">
        <f t="shared" si="20"/>
        <v>0</v>
      </c>
      <c r="AP33" s="18">
        <f t="shared" si="20"/>
        <v>0</v>
      </c>
      <c r="AQ33" s="18">
        <f t="shared" si="20"/>
        <v>0</v>
      </c>
      <c r="AR33" s="18">
        <f t="shared" si="20"/>
        <v>0</v>
      </c>
      <c r="AS33" s="18">
        <f t="shared" si="20"/>
        <v>0</v>
      </c>
      <c r="AT33" s="18">
        <f t="shared" si="20"/>
        <v>0</v>
      </c>
      <c r="AU33" s="18">
        <f t="shared" si="20"/>
        <v>0</v>
      </c>
      <c r="AV33" s="18">
        <f t="shared" si="20"/>
        <v>0</v>
      </c>
      <c r="AW33" s="18">
        <f t="shared" si="20"/>
        <v>0</v>
      </c>
      <c r="AX33" s="18">
        <f t="shared" si="20"/>
        <v>0</v>
      </c>
      <c r="AY33" s="18">
        <f t="shared" si="20"/>
        <v>0</v>
      </c>
      <c r="AZ33" s="18">
        <f t="shared" si="20"/>
        <v>0</v>
      </c>
      <c r="BA33" s="18">
        <f t="shared" si="20"/>
        <v>0</v>
      </c>
      <c r="BB33" s="18">
        <f t="shared" si="20"/>
        <v>0</v>
      </c>
    </row>
    <row r="34" spans="1:54" x14ac:dyDescent="0.25">
      <c r="A34" s="178"/>
      <c r="B34" t="s">
        <v>358</v>
      </c>
      <c r="C34" s="72" t="s">
        <v>362</v>
      </c>
      <c r="D34">
        <f>SUM(D31:D33)</f>
        <v>-100</v>
      </c>
      <c r="E34" s="18">
        <f t="shared" ref="E34:BB34" si="21">SUM(E31:E33)</f>
        <v>89.747167170488282</v>
      </c>
      <c r="F34" s="18">
        <f t="shared" si="21"/>
        <v>91.542110513898038</v>
      </c>
      <c r="G34" s="18">
        <f t="shared" si="21"/>
        <v>93.372952724176002</v>
      </c>
      <c r="H34" s="18">
        <f t="shared" si="21"/>
        <v>95.240411778659521</v>
      </c>
      <c r="I34" s="18">
        <f t="shared" si="21"/>
        <v>97.14522001423272</v>
      </c>
      <c r="J34" s="18">
        <f t="shared" si="21"/>
        <v>99.088124414517381</v>
      </c>
      <c r="K34" s="18">
        <f t="shared" si="21"/>
        <v>101.0698869028077</v>
      </c>
      <c r="L34" s="18">
        <f t="shared" si="21"/>
        <v>103.09128464086386</v>
      </c>
      <c r="M34" s="18">
        <f t="shared" si="21"/>
        <v>105.15311033368114</v>
      </c>
      <c r="N34" s="18">
        <f t="shared" si="21"/>
        <v>107.25617254035477</v>
      </c>
      <c r="O34" s="18">
        <f t="shared" si="21"/>
        <v>109.40129599116185</v>
      </c>
      <c r="P34" s="18">
        <f t="shared" si="21"/>
        <v>111.58932191098511</v>
      </c>
      <c r="Q34" s="18">
        <f t="shared" si="21"/>
        <v>113.82110834920479</v>
      </c>
      <c r="R34" s="18">
        <f t="shared" si="21"/>
        <v>116.0975305161889</v>
      </c>
      <c r="S34" s="18">
        <f t="shared" si="21"/>
        <v>118.41948112651265</v>
      </c>
      <c r="T34" s="18">
        <f t="shared" si="21"/>
        <v>-16.490699760018288</v>
      </c>
      <c r="U34" s="18">
        <f t="shared" si="21"/>
        <v>123.2036281640238</v>
      </c>
      <c r="V34" s="18">
        <f t="shared" si="21"/>
        <v>125.66770072730425</v>
      </c>
      <c r="W34" s="18">
        <f t="shared" si="21"/>
        <v>128.18105474185035</v>
      </c>
      <c r="X34" s="18">
        <f t="shared" si="21"/>
        <v>130.74467583668735</v>
      </c>
      <c r="Y34" s="18">
        <f t="shared" si="21"/>
        <v>133.35956935342108</v>
      </c>
      <c r="Z34" s="18">
        <f t="shared" si="21"/>
        <v>136.02676074048952</v>
      </c>
      <c r="AA34" s="18">
        <f t="shared" si="21"/>
        <v>138.74729595529928</v>
      </c>
      <c r="AB34" s="18">
        <f t="shared" si="21"/>
        <v>141.52224187440527</v>
      </c>
      <c r="AC34" s="18">
        <f t="shared" si="21"/>
        <v>144.35268671189337</v>
      </c>
      <c r="AD34" s="18">
        <f t="shared" si="21"/>
        <v>147.23974044613126</v>
      </c>
      <c r="AE34" s="18">
        <f t="shared" si="21"/>
        <v>150.18453525505387</v>
      </c>
      <c r="AF34" s="18">
        <f t="shared" si="21"/>
        <v>153.18822596015497</v>
      </c>
      <c r="AG34" s="18">
        <f t="shared" si="21"/>
        <v>156.25199047935806</v>
      </c>
      <c r="AH34" s="18">
        <f t="shared" si="21"/>
        <v>159.37703028894524</v>
      </c>
      <c r="AI34" s="18">
        <f t="shared" si="21"/>
        <v>162.56457089472408</v>
      </c>
      <c r="AJ34" s="18">
        <f t="shared" si="21"/>
        <v>-22.638196897494282</v>
      </c>
      <c r="AK34" s="18">
        <f t="shared" si="21"/>
        <v>169.132179558871</v>
      </c>
      <c r="AL34" s="18">
        <f t="shared" si="21"/>
        <v>172.51482315004839</v>
      </c>
      <c r="AM34" s="18">
        <f t="shared" si="21"/>
        <v>175.96511961304935</v>
      </c>
      <c r="AN34" s="18">
        <f t="shared" si="21"/>
        <v>179.48442200531034</v>
      </c>
      <c r="AO34" s="18">
        <f t="shared" si="21"/>
        <v>183.07411044541658</v>
      </c>
      <c r="AP34" s="18">
        <f t="shared" si="21"/>
        <v>186.7355926543249</v>
      </c>
      <c r="AQ34" s="18">
        <f t="shared" si="21"/>
        <v>190.47030450741136</v>
      </c>
      <c r="AR34" s="18">
        <f t="shared" si="21"/>
        <v>194.27971059755961</v>
      </c>
      <c r="AS34" s="18">
        <f t="shared" si="21"/>
        <v>198.16530480951081</v>
      </c>
      <c r="AT34" s="18">
        <f t="shared" si="21"/>
        <v>202.12861090570101</v>
      </c>
      <c r="AU34" s="18">
        <f t="shared" si="21"/>
        <v>206.17118312381501</v>
      </c>
      <c r="AV34" s="18">
        <f t="shared" si="21"/>
        <v>210.29460678629135</v>
      </c>
      <c r="AW34" s="18">
        <f t="shared" si="21"/>
        <v>214.50049892201716</v>
      </c>
      <c r="AX34" s="18">
        <f t="shared" si="21"/>
        <v>218.79050890045752</v>
      </c>
      <c r="AY34" s="18">
        <f t="shared" si="21"/>
        <v>223.16631907846661</v>
      </c>
      <c r="AZ34" s="18">
        <f t="shared" si="21"/>
        <v>227.62964546003596</v>
      </c>
      <c r="BA34" s="18">
        <f t="shared" si="21"/>
        <v>232.1822383692367</v>
      </c>
      <c r="BB34" s="18">
        <f t="shared" si="21"/>
        <v>236.82588313662143</v>
      </c>
    </row>
    <row r="35" spans="1:54" x14ac:dyDescent="0.25">
      <c r="A35" s="178"/>
      <c r="B35" t="s">
        <v>359</v>
      </c>
      <c r="C35" s="72"/>
      <c r="D35">
        <f t="shared" ref="D35:AI35" si="22">(1+$C$2)^D$168</f>
        <v>1</v>
      </c>
      <c r="E35" s="40">
        <f t="shared" si="22"/>
        <v>1.03</v>
      </c>
      <c r="F35" s="40">
        <f t="shared" si="22"/>
        <v>1.0609</v>
      </c>
      <c r="G35" s="40">
        <f t="shared" si="22"/>
        <v>1.092727</v>
      </c>
      <c r="H35" s="40">
        <f t="shared" si="22"/>
        <v>1.1255088099999999</v>
      </c>
      <c r="I35" s="40">
        <f t="shared" si="22"/>
        <v>1.1592740742999998</v>
      </c>
      <c r="J35" s="40">
        <f t="shared" si="22"/>
        <v>1.1940522965289999</v>
      </c>
      <c r="K35" s="40">
        <f t="shared" si="22"/>
        <v>1.22987386542487</v>
      </c>
      <c r="L35" s="40">
        <f t="shared" si="22"/>
        <v>1.2667700813876159</v>
      </c>
      <c r="M35" s="40">
        <f t="shared" si="22"/>
        <v>1.3047731838292445</v>
      </c>
      <c r="N35" s="40">
        <f t="shared" si="22"/>
        <v>1.3439163793441218</v>
      </c>
      <c r="O35" s="40">
        <f t="shared" si="22"/>
        <v>1.3842338707244455</v>
      </c>
      <c r="P35" s="40">
        <f t="shared" si="22"/>
        <v>1.4257608868461786</v>
      </c>
      <c r="Q35" s="40">
        <f t="shared" si="22"/>
        <v>1.4685337134515639</v>
      </c>
      <c r="R35" s="40">
        <f t="shared" si="22"/>
        <v>1.512589724855111</v>
      </c>
      <c r="S35" s="40">
        <f t="shared" si="22"/>
        <v>1.5579674166007644</v>
      </c>
      <c r="T35" s="40">
        <f t="shared" si="22"/>
        <v>1.6047064390987871</v>
      </c>
      <c r="U35" s="40">
        <f t="shared" si="22"/>
        <v>1.6528476322717507</v>
      </c>
      <c r="V35" s="40">
        <f t="shared" si="22"/>
        <v>1.7024330612399032</v>
      </c>
      <c r="W35" s="40">
        <f t="shared" si="22"/>
        <v>1.7535060530771003</v>
      </c>
      <c r="X35" s="40">
        <f t="shared" si="22"/>
        <v>1.8061112346694133</v>
      </c>
      <c r="Y35" s="40">
        <f t="shared" si="22"/>
        <v>1.8602945717094954</v>
      </c>
      <c r="Z35" s="40">
        <f t="shared" si="22"/>
        <v>1.9161034088607805</v>
      </c>
      <c r="AA35" s="40">
        <f t="shared" si="22"/>
        <v>1.973586511126604</v>
      </c>
      <c r="AB35" s="40">
        <f t="shared" si="22"/>
        <v>2.0327941064604018</v>
      </c>
      <c r="AC35" s="40">
        <f t="shared" si="22"/>
        <v>2.0937779296542138</v>
      </c>
      <c r="AD35" s="40">
        <f t="shared" si="22"/>
        <v>2.1565912675438406</v>
      </c>
      <c r="AE35" s="40">
        <f t="shared" si="22"/>
        <v>2.2212890055701555</v>
      </c>
      <c r="AF35" s="40">
        <f t="shared" si="22"/>
        <v>2.2879276757372602</v>
      </c>
      <c r="AG35" s="40">
        <f t="shared" si="22"/>
        <v>2.3565655060093778</v>
      </c>
      <c r="AH35" s="40">
        <f t="shared" si="22"/>
        <v>2.4272624711896591</v>
      </c>
      <c r="AI35" s="40">
        <f t="shared" si="22"/>
        <v>2.5000803453253493</v>
      </c>
      <c r="AJ35" s="40">
        <f t="shared" ref="AJ35:BB35" si="23">(1+$C$2)^AJ$168</f>
        <v>2.5750827556851092</v>
      </c>
      <c r="AK35" s="40">
        <f t="shared" si="23"/>
        <v>2.6523352383556626</v>
      </c>
      <c r="AL35" s="40">
        <f t="shared" si="23"/>
        <v>2.7319052955063321</v>
      </c>
      <c r="AM35" s="40">
        <f t="shared" si="23"/>
        <v>2.8138624543715225</v>
      </c>
      <c r="AN35" s="40">
        <f t="shared" si="23"/>
        <v>2.898278328002668</v>
      </c>
      <c r="AO35" s="40">
        <f t="shared" si="23"/>
        <v>2.9852266778427476</v>
      </c>
      <c r="AP35" s="40">
        <f t="shared" si="23"/>
        <v>3.0747834781780301</v>
      </c>
      <c r="AQ35" s="40">
        <f t="shared" si="23"/>
        <v>3.1670269825233714</v>
      </c>
      <c r="AR35" s="40">
        <f t="shared" si="23"/>
        <v>3.262037791999072</v>
      </c>
      <c r="AS35" s="40">
        <f t="shared" si="23"/>
        <v>3.3598989257590444</v>
      </c>
      <c r="AT35" s="40">
        <f t="shared" si="23"/>
        <v>3.4606958935318159</v>
      </c>
      <c r="AU35" s="40">
        <f t="shared" si="23"/>
        <v>3.5645167703377703</v>
      </c>
      <c r="AV35" s="40">
        <f t="shared" si="23"/>
        <v>3.6714522734479029</v>
      </c>
      <c r="AW35" s="40">
        <f t="shared" si="23"/>
        <v>3.78159584165134</v>
      </c>
      <c r="AX35" s="40">
        <f t="shared" si="23"/>
        <v>3.8950437169008802</v>
      </c>
      <c r="AY35" s="40">
        <f t="shared" si="23"/>
        <v>4.0118950284079071</v>
      </c>
      <c r="AZ35" s="40">
        <f t="shared" si="23"/>
        <v>4.1322518792601439</v>
      </c>
      <c r="BA35" s="40">
        <f t="shared" si="23"/>
        <v>4.2562194356379477</v>
      </c>
      <c r="BB35" s="40">
        <f t="shared" si="23"/>
        <v>4.3839060187070862</v>
      </c>
    </row>
    <row r="36" spans="1:54" s="76" customFormat="1" x14ac:dyDescent="0.25">
      <c r="A36" s="178"/>
      <c r="B36" t="s">
        <v>360</v>
      </c>
      <c r="C36" s="72" t="s">
        <v>362</v>
      </c>
      <c r="D36">
        <f>D34/D35</f>
        <v>-100</v>
      </c>
      <c r="E36" s="18">
        <f>E34/E35</f>
        <v>87.13317201018279</v>
      </c>
      <c r="F36" s="18">
        <f>F34/F35</f>
        <v>86.287218883870338</v>
      </c>
      <c r="G36" s="18">
        <f t="shared" ref="G36:BB36" si="24">G34/G35</f>
        <v>85.449478894706544</v>
      </c>
      <c r="H36" s="18">
        <f t="shared" si="24"/>
        <v>84.619872303495811</v>
      </c>
      <c r="I36" s="18">
        <f t="shared" si="24"/>
        <v>83.798320145209459</v>
      </c>
      <c r="J36" s="18">
        <f t="shared" si="24"/>
        <v>82.984744221469555</v>
      </c>
      <c r="K36" s="18">
        <f t="shared" si="24"/>
        <v>82.179067093105743</v>
      </c>
      <c r="L36" s="18">
        <f t="shared" si="24"/>
        <v>81.381212072784351</v>
      </c>
      <c r="M36" s="18">
        <f t="shared" si="24"/>
        <v>80.591103217708778</v>
      </c>
      <c r="N36" s="18">
        <f t="shared" si="24"/>
        <v>79.808665322391221</v>
      </c>
      <c r="O36" s="18">
        <f t="shared" si="24"/>
        <v>79.033823911494196</v>
      </c>
      <c r="P36" s="18">
        <f t="shared" si="24"/>
        <v>78.266505232741849</v>
      </c>
      <c r="Q36" s="18">
        <f t="shared" si="24"/>
        <v>77.506636249899699</v>
      </c>
      <c r="R36" s="18">
        <f t="shared" si="24"/>
        <v>76.754144635822996</v>
      </c>
      <c r="S36" s="18">
        <f t="shared" si="24"/>
        <v>76.00895876557226</v>
      </c>
      <c r="T36" s="18">
        <f t="shared" si="24"/>
        <v>-10.276458895048471</v>
      </c>
      <c r="U36" s="18">
        <f t="shared" si="24"/>
        <v>74.540221226978431</v>
      </c>
      <c r="V36" s="18">
        <f t="shared" si="24"/>
        <v>73.816529758755323</v>
      </c>
      <c r="W36" s="18">
        <f t="shared" si="24"/>
        <v>73.099864421291699</v>
      </c>
      <c r="X36" s="18">
        <f t="shared" si="24"/>
        <v>72.390156999725747</v>
      </c>
      <c r="Y36" s="18">
        <f t="shared" si="24"/>
        <v>71.687339941475983</v>
      </c>
      <c r="Z36" s="18">
        <f t="shared" si="24"/>
        <v>70.991346349811181</v>
      </c>
      <c r="AA36" s="18">
        <f t="shared" si="24"/>
        <v>70.3021099774829</v>
      </c>
      <c r="AB36" s="18">
        <f t="shared" si="24"/>
        <v>69.619565220419958</v>
      </c>
      <c r="AC36" s="18">
        <f t="shared" si="24"/>
        <v>68.943647111483841</v>
      </c>
      <c r="AD36" s="18">
        <f t="shared" si="24"/>
        <v>68.27429131428498</v>
      </c>
      <c r="AE36" s="18">
        <f t="shared" si="24"/>
        <v>67.611434117058906</v>
      </c>
      <c r="AF36" s="18">
        <f t="shared" si="24"/>
        <v>66.955012426602039</v>
      </c>
      <c r="AG36" s="18">
        <f t="shared" si="24"/>
        <v>66.304963762266098</v>
      </c>
      <c r="AH36" s="18">
        <f t="shared" si="24"/>
        <v>65.661226250011097</v>
      </c>
      <c r="AI36" s="18">
        <f t="shared" si="24"/>
        <v>65.0237386165158</v>
      </c>
      <c r="AJ36" s="18">
        <f t="shared" si="24"/>
        <v>-8.7912502413815883</v>
      </c>
      <c r="AK36" s="18">
        <f t="shared" si="24"/>
        <v>63.76727086117738</v>
      </c>
      <c r="AL36" s="18">
        <f t="shared" si="24"/>
        <v>63.148171144078567</v>
      </c>
      <c r="AM36" s="18">
        <f t="shared" si="24"/>
        <v>62.535082103844786</v>
      </c>
      <c r="AN36" s="18">
        <f t="shared" si="24"/>
        <v>61.927945384389979</v>
      </c>
      <c r="AO36" s="18">
        <f t="shared" si="24"/>
        <v>61.326703196192042</v>
      </c>
      <c r="AP36" s="18">
        <f t="shared" si="24"/>
        <v>60.731298310792113</v>
      </c>
      <c r="AQ36" s="18">
        <f t="shared" si="24"/>
        <v>60.141674055347508</v>
      </c>
      <c r="AR36" s="18">
        <f t="shared" si="24"/>
        <v>59.557774307237359</v>
      </c>
      <c r="AS36" s="18">
        <f t="shared" si="24"/>
        <v>58.979543488720488</v>
      </c>
      <c r="AT36" s="18">
        <f t="shared" si="24"/>
        <v>58.406926561645527</v>
      </c>
      <c r="AU36" s="18">
        <f t="shared" si="24"/>
        <v>57.839869022212071</v>
      </c>
      <c r="AV36" s="18">
        <f t="shared" si="24"/>
        <v>57.278316895782844</v>
      </c>
      <c r="AW36" s="18">
        <f t="shared" si="24"/>
        <v>56.722216731746109</v>
      </c>
      <c r="AX36" s="18">
        <f t="shared" si="24"/>
        <v>56.171515598428194</v>
      </c>
      <c r="AY36" s="18">
        <f t="shared" si="24"/>
        <v>55.626161078055084</v>
      </c>
      <c r="AZ36" s="18">
        <f t="shared" si="24"/>
        <v>55.086101261763297</v>
      </c>
      <c r="BA36" s="18">
        <f t="shared" si="24"/>
        <v>54.551284744658808</v>
      </c>
      <c r="BB36" s="18">
        <f t="shared" si="24"/>
        <v>54.021660620924258</v>
      </c>
    </row>
    <row r="37" spans="1:54" s="76" customFormat="1" x14ac:dyDescent="0.25">
      <c r="A37" s="178"/>
      <c r="B37" s="76" t="s">
        <v>645</v>
      </c>
      <c r="C37" s="77" t="s">
        <v>362</v>
      </c>
      <c r="D37" s="76">
        <f>D36</f>
        <v>-100</v>
      </c>
      <c r="E37" s="78">
        <f>E36+D37</f>
        <v>-12.86682798981721</v>
      </c>
      <c r="F37" s="78">
        <f t="shared" ref="F37:BB37" si="25">F36+E37</f>
        <v>73.420390894053128</v>
      </c>
      <c r="G37" s="78">
        <f t="shared" si="25"/>
        <v>158.86986978875967</v>
      </c>
      <c r="H37" s="78">
        <f t="shared" si="25"/>
        <v>243.48974209225548</v>
      </c>
      <c r="I37" s="78">
        <f t="shared" si="25"/>
        <v>327.28806223746494</v>
      </c>
      <c r="J37" s="78">
        <f t="shared" si="25"/>
        <v>410.2728064589345</v>
      </c>
      <c r="K37" s="78">
        <f t="shared" si="25"/>
        <v>492.45187355204024</v>
      </c>
      <c r="L37" s="78">
        <f t="shared" si="25"/>
        <v>573.83308562482455</v>
      </c>
      <c r="M37" s="78">
        <f t="shared" si="25"/>
        <v>654.42418884253334</v>
      </c>
      <c r="N37" s="78">
        <f t="shared" si="25"/>
        <v>734.23285416492456</v>
      </c>
      <c r="O37" s="78">
        <f t="shared" si="25"/>
        <v>813.26667807641877</v>
      </c>
      <c r="P37" s="78">
        <f t="shared" si="25"/>
        <v>891.53318330916068</v>
      </c>
      <c r="Q37" s="78">
        <f t="shared" si="25"/>
        <v>969.03981955906033</v>
      </c>
      <c r="R37" s="78">
        <f t="shared" si="25"/>
        <v>1045.7939641948833</v>
      </c>
      <c r="S37" s="78">
        <f t="shared" si="25"/>
        <v>1121.8029229604556</v>
      </c>
      <c r="T37" s="78">
        <f t="shared" si="25"/>
        <v>1111.526464065407</v>
      </c>
      <c r="U37" s="78">
        <f t="shared" si="25"/>
        <v>1186.0666852923855</v>
      </c>
      <c r="V37" s="78">
        <f t="shared" si="25"/>
        <v>1259.8832150511407</v>
      </c>
      <c r="W37" s="78">
        <f t="shared" si="25"/>
        <v>1332.9830794724323</v>
      </c>
      <c r="X37" s="78">
        <f t="shared" si="25"/>
        <v>1405.3732364721582</v>
      </c>
      <c r="Y37" s="78">
        <f t="shared" si="25"/>
        <v>1477.0605764136342</v>
      </c>
      <c r="Z37" s="78">
        <f t="shared" si="25"/>
        <v>1548.0519227634454</v>
      </c>
      <c r="AA37" s="78">
        <f t="shared" si="25"/>
        <v>1618.3540327409282</v>
      </c>
      <c r="AB37" s="78">
        <f t="shared" si="25"/>
        <v>1687.9735979613481</v>
      </c>
      <c r="AC37" s="78">
        <f t="shared" si="25"/>
        <v>1756.917245072832</v>
      </c>
      <c r="AD37" s="78">
        <f t="shared" si="25"/>
        <v>1825.1915363871169</v>
      </c>
      <c r="AE37" s="78">
        <f t="shared" si="25"/>
        <v>1892.8029705041758</v>
      </c>
      <c r="AF37" s="78">
        <f t="shared" si="25"/>
        <v>1959.7579829307779</v>
      </c>
      <c r="AG37" s="78">
        <f t="shared" si="25"/>
        <v>2026.0629466930441</v>
      </c>
      <c r="AH37" s="78">
        <f t="shared" si="25"/>
        <v>2091.7241729430552</v>
      </c>
      <c r="AI37" s="78">
        <f t="shared" si="25"/>
        <v>2156.7479115595711</v>
      </c>
      <c r="AJ37" s="78">
        <f t="shared" si="25"/>
        <v>2147.9566613181896</v>
      </c>
      <c r="AK37" s="78">
        <f t="shared" si="25"/>
        <v>2211.7239321793668</v>
      </c>
      <c r="AL37" s="78">
        <f t="shared" si="25"/>
        <v>2274.8721033234456</v>
      </c>
      <c r="AM37" s="78">
        <f t="shared" si="25"/>
        <v>2337.4071854272902</v>
      </c>
      <c r="AN37" s="78">
        <f t="shared" si="25"/>
        <v>2399.3351308116803</v>
      </c>
      <c r="AO37" s="78">
        <f t="shared" si="25"/>
        <v>2460.6618340078721</v>
      </c>
      <c r="AP37" s="78">
        <f t="shared" si="25"/>
        <v>2521.3931323186644</v>
      </c>
      <c r="AQ37" s="78">
        <f t="shared" si="25"/>
        <v>2581.5348063740121</v>
      </c>
      <c r="AR37" s="78">
        <f t="shared" si="25"/>
        <v>2641.0925806812493</v>
      </c>
      <c r="AS37" s="78">
        <f t="shared" si="25"/>
        <v>2700.0721241699698</v>
      </c>
      <c r="AT37" s="78">
        <f t="shared" si="25"/>
        <v>2758.4790507316152</v>
      </c>
      <c r="AU37" s="78">
        <f t="shared" si="25"/>
        <v>2816.3189197538272</v>
      </c>
      <c r="AV37" s="78">
        <f t="shared" si="25"/>
        <v>2873.5972366496103</v>
      </c>
      <c r="AW37" s="78">
        <f t="shared" si="25"/>
        <v>2930.3194533813562</v>
      </c>
      <c r="AX37" s="78">
        <f t="shared" si="25"/>
        <v>2986.4909689797846</v>
      </c>
      <c r="AY37" s="78">
        <f t="shared" si="25"/>
        <v>3042.1171300578399</v>
      </c>
      <c r="AZ37" s="78">
        <f t="shared" si="25"/>
        <v>3097.2032313196032</v>
      </c>
      <c r="BA37" s="78">
        <f t="shared" si="25"/>
        <v>3151.7545160642621</v>
      </c>
      <c r="BB37" s="78">
        <f t="shared" si="25"/>
        <v>3205.7761766851863</v>
      </c>
    </row>
    <row r="38" spans="1:54" s="76" customFormat="1" x14ac:dyDescent="0.25">
      <c r="A38" s="178"/>
      <c r="B38" s="22" t="s">
        <v>361</v>
      </c>
      <c r="C38" s="75" t="s">
        <v>362</v>
      </c>
      <c r="D38" s="93">
        <f>SUM(D36:BB36)</f>
        <v>3205.7761766851863</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row>
    <row r="39" spans="1:54" s="76" customFormat="1" x14ac:dyDescent="0.25">
      <c r="A39" s="180" t="s">
        <v>6</v>
      </c>
      <c r="B39" s="76" t="s">
        <v>363</v>
      </c>
      <c r="C39" s="77" t="s">
        <v>362</v>
      </c>
      <c r="D39" s="76">
        <f>-'INSUL+'!$B$17*'INSUL+'!$B$3</f>
        <v>-990</v>
      </c>
      <c r="E39" s="76">
        <v>0</v>
      </c>
      <c r="F39" s="76">
        <v>0</v>
      </c>
      <c r="G39" s="76">
        <v>0</v>
      </c>
      <c r="H39" s="76">
        <v>0</v>
      </c>
      <c r="I39" s="76">
        <v>0</v>
      </c>
      <c r="J39" s="76">
        <v>0</v>
      </c>
      <c r="K39" s="76">
        <v>0</v>
      </c>
      <c r="L39" s="76">
        <v>0</v>
      </c>
      <c r="M39" s="76">
        <v>0</v>
      </c>
      <c r="N39" s="76">
        <v>0</v>
      </c>
      <c r="O39" s="76">
        <v>0</v>
      </c>
      <c r="P39" s="76">
        <v>0</v>
      </c>
      <c r="Q39" s="76">
        <v>0</v>
      </c>
      <c r="R39" s="76">
        <v>0</v>
      </c>
      <c r="S39" s="76">
        <v>0</v>
      </c>
      <c r="T39" s="76">
        <v>0</v>
      </c>
      <c r="U39" s="76">
        <v>0</v>
      </c>
      <c r="V39" s="76">
        <v>0</v>
      </c>
      <c r="W39" s="76">
        <v>0</v>
      </c>
      <c r="X39" s="76">
        <v>0</v>
      </c>
      <c r="Y39" s="76">
        <v>0</v>
      </c>
      <c r="Z39" s="76">
        <v>0</v>
      </c>
      <c r="AA39" s="76">
        <v>0</v>
      </c>
      <c r="AB39" s="76">
        <v>0</v>
      </c>
      <c r="AC39" s="76">
        <v>0</v>
      </c>
      <c r="AD39" s="76">
        <v>0</v>
      </c>
      <c r="AE39" s="76">
        <v>0</v>
      </c>
      <c r="AF39" s="76">
        <v>0</v>
      </c>
      <c r="AG39" s="76">
        <v>0</v>
      </c>
      <c r="AH39" s="76">
        <v>0</v>
      </c>
      <c r="AI39" s="76">
        <v>0</v>
      </c>
      <c r="AJ39" s="76">
        <v>0</v>
      </c>
      <c r="AK39" s="76">
        <v>0</v>
      </c>
      <c r="AL39" s="76">
        <v>0</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0</v>
      </c>
    </row>
    <row r="40" spans="1:54" s="76" customFormat="1" x14ac:dyDescent="0.25">
      <c r="A40" s="180"/>
      <c r="B40" s="76" t="s">
        <v>356</v>
      </c>
      <c r="C40" s="77" t="s">
        <v>362</v>
      </c>
      <c r="D40" s="76">
        <v>0</v>
      </c>
      <c r="E40" s="78">
        <f>ABS('Annual Calculations'!$Q$10)*(1+$C$3)^E$168</f>
        <v>24.692426884415934</v>
      </c>
      <c r="F40" s="78">
        <f>ABS('Annual Calculations'!$Q$10)*(1+$C$3)^F$168</f>
        <v>25.186275422104252</v>
      </c>
      <c r="G40" s="78">
        <f>ABS('Annual Calculations'!$Q$10)*(1+$C$3)^G$168</f>
        <v>25.690000930546336</v>
      </c>
      <c r="H40" s="78">
        <f>ABS('Annual Calculations'!$Q$10)*(1+$C$3)^H$168</f>
        <v>26.203800949157262</v>
      </c>
      <c r="I40" s="78">
        <f>ABS('Annual Calculations'!$Q$10)*(1+$C$3)^I$168</f>
        <v>26.727876968140411</v>
      </c>
      <c r="J40" s="78">
        <f>ABS('Annual Calculations'!$Q$10)*(1+$C$3)^J$168</f>
        <v>27.262434507503219</v>
      </c>
      <c r="K40" s="78">
        <f>ABS('Annual Calculations'!$Q$10)*(1+$C$3)^K$168</f>
        <v>27.807683197653276</v>
      </c>
      <c r="L40" s="78">
        <f>ABS('Annual Calculations'!$Q$10)*(1+$C$3)^L$168</f>
        <v>28.363836861606345</v>
      </c>
      <c r="M40" s="78">
        <f>ABS('Annual Calculations'!$Q$10)*(1+$C$3)^M$168</f>
        <v>28.931113598838472</v>
      </c>
      <c r="N40" s="78">
        <f>ABS('Annual Calculations'!$Q$10)*(1+$C$3)^N$168</f>
        <v>29.509735870815245</v>
      </c>
      <c r="O40" s="78">
        <f>ABS('Annual Calculations'!$Q$10)*(1+$C$3)^O$168</f>
        <v>30.099930588231544</v>
      </c>
      <c r="P40" s="78">
        <f>ABS('Annual Calculations'!$Q$10)*(1+$C$3)^P$168</f>
        <v>30.701929199996179</v>
      </c>
      <c r="Q40" s="78">
        <f>ABS('Annual Calculations'!$Q$10)*(1+$C$3)^Q$168</f>
        <v>31.315967783996101</v>
      </c>
      <c r="R40" s="78">
        <f>ABS('Annual Calculations'!$Q$10)*(1+$C$3)^R$168</f>
        <v>31.942287139676026</v>
      </c>
      <c r="S40" s="78">
        <f>ABS('Annual Calculations'!$Q$10)*(1+$C$3)^S$168</f>
        <v>32.581132882469539</v>
      </c>
      <c r="T40" s="78">
        <f>ABS('Annual Calculations'!$Q$10)*(1+$C$3)^T$168</f>
        <v>33.23275554011893</v>
      </c>
      <c r="U40" s="78">
        <f>ABS('Annual Calculations'!$Q$10)*(1+$C$3)^U$168</f>
        <v>33.897410650921316</v>
      </c>
      <c r="V40" s="78">
        <f>ABS('Annual Calculations'!$Q$10)*(1+$C$3)^V$168</f>
        <v>34.575358863939741</v>
      </c>
      <c r="W40" s="78">
        <f>ABS('Annual Calculations'!$Q$10)*(1+$C$3)^W$168</f>
        <v>35.266866041218528</v>
      </c>
      <c r="X40" s="78">
        <f>ABS('Annual Calculations'!$Q$10)*(1+$C$3)^X$168</f>
        <v>35.972203362042904</v>
      </c>
      <c r="Y40" s="78">
        <f>ABS('Annual Calculations'!$Q$10)*(1+$C$3)^Y$168</f>
        <v>36.691647429283762</v>
      </c>
      <c r="Z40" s="78">
        <f>ABS('Annual Calculations'!$Q$10)*(1+$C$3)^Z$168</f>
        <v>37.425480377869441</v>
      </c>
      <c r="AA40" s="78">
        <f>ABS('Annual Calculations'!$Q$10)*(1+$C$3)^AA$168</f>
        <v>38.173989985426822</v>
      </c>
      <c r="AB40" s="78">
        <f>ABS('Annual Calculations'!$Q$10)*(1+$C$3)^AB$168</f>
        <v>38.937469785135356</v>
      </c>
      <c r="AC40" s="78">
        <f>ABS('Annual Calculations'!$Q$10)*(1+$C$3)^AC$168</f>
        <v>39.716219180838067</v>
      </c>
      <c r="AD40" s="78">
        <f>ABS('Annual Calculations'!$Q$10)*(1+$C$3)^AD$168</f>
        <v>40.510543564454828</v>
      </c>
      <c r="AE40" s="78">
        <f>ABS('Annual Calculations'!$Q$10)*(1+$C$3)^AE$168</f>
        <v>41.320754435743922</v>
      </c>
      <c r="AF40" s="78">
        <f>ABS('Annual Calculations'!$Q$10)*(1+$C$3)^AF$168</f>
        <v>42.14716952445881</v>
      </c>
      <c r="AG40" s="78">
        <f>ABS('Annual Calculations'!$Q$10)*(1+$C$3)^AG$168</f>
        <v>42.990112914947979</v>
      </c>
      <c r="AH40" s="78">
        <f>ABS('Annual Calculations'!$Q$10)*(1+$C$3)^AH$168</f>
        <v>43.849915173246941</v>
      </c>
      <c r="AI40" s="78">
        <f>ABS('Annual Calculations'!$Q$10)*(1+$C$3)^AI$168</f>
        <v>44.726913476711871</v>
      </c>
      <c r="AJ40" s="78">
        <f>ABS('Annual Calculations'!$Q$10)*(1+$C$3)^AJ$168</f>
        <v>45.621451746246116</v>
      </c>
      <c r="AK40" s="78">
        <f>ABS('Annual Calculations'!$Q$10)*(1+$C$3)^AK$168</f>
        <v>46.533880781171042</v>
      </c>
      <c r="AL40" s="78">
        <f>ABS('Annual Calculations'!$Q$10)*(1+$C$3)^AL$168</f>
        <v>47.464558396794459</v>
      </c>
      <c r="AM40" s="78">
        <f>ABS('Annual Calculations'!$Q$10)*(1+$C$3)^AM$168</f>
        <v>48.413849564730349</v>
      </c>
      <c r="AN40" s="78">
        <f>ABS('Annual Calculations'!$Q$10)*(1+$C$3)^AN$168</f>
        <v>49.38212655602495</v>
      </c>
      <c r="AO40" s="78">
        <f>ABS('Annual Calculations'!$Q$10)*(1+$C$3)^AO$168</f>
        <v>50.369769087145457</v>
      </c>
      <c r="AP40" s="78">
        <f>ABS('Annual Calculations'!$Q$10)*(1+$C$3)^AP$168</f>
        <v>51.377164468888367</v>
      </c>
      <c r="AQ40" s="78">
        <f>ABS('Annual Calculations'!$Q$10)*(1+$C$3)^AQ$168</f>
        <v>52.40470775826612</v>
      </c>
      <c r="AR40" s="78">
        <f>ABS('Annual Calculations'!$Q$10)*(1+$C$3)^AR$168</f>
        <v>53.45280191343145</v>
      </c>
      <c r="AS40" s="78">
        <f>ABS('Annual Calculations'!$Q$10)*(1+$C$3)^AS$168</f>
        <v>54.521857951700078</v>
      </c>
      <c r="AT40" s="78">
        <f>ABS('Annual Calculations'!$Q$10)*(1+$C$3)^AT$168</f>
        <v>55.612295110734081</v>
      </c>
      <c r="AU40" s="78">
        <f>ABS('Annual Calculations'!$Q$10)*(1+$C$3)^AU$168</f>
        <v>56.724541012948755</v>
      </c>
      <c r="AV40" s="78">
        <f>ABS('Annual Calculations'!$Q$10)*(1+$C$3)^AV$168</f>
        <v>57.859031833207744</v>
      </c>
      <c r="AW40" s="78">
        <f>ABS('Annual Calculations'!$Q$10)*(1+$C$3)^AW$168</f>
        <v>59.016212469871888</v>
      </c>
      <c r="AX40" s="78">
        <f>ABS('Annual Calculations'!$Q$10)*(1+$C$3)^AX$168</f>
        <v>60.196536719269339</v>
      </c>
      <c r="AY40" s="78">
        <f>ABS('Annual Calculations'!$Q$10)*(1+$C$3)^AY$168</f>
        <v>61.400467453654699</v>
      </c>
      <c r="AZ40" s="78">
        <f>ABS('Annual Calculations'!$Q$10)*(1+$C$3)^AZ$168</f>
        <v>62.628476802727803</v>
      </c>
      <c r="BA40" s="78">
        <f>ABS('Annual Calculations'!$Q$10)*(1+$C$3)^BA$168</f>
        <v>63.881046338782369</v>
      </c>
      <c r="BB40" s="78">
        <f>ABS('Annual Calculations'!$Q$10)*(1+$C$3)^BB$168</f>
        <v>65.158667265558009</v>
      </c>
    </row>
    <row r="41" spans="1:54" s="76" customFormat="1" x14ac:dyDescent="0.25">
      <c r="A41" s="180"/>
      <c r="B41" s="76" t="s">
        <v>357</v>
      </c>
      <c r="C41" s="77" t="s">
        <v>362</v>
      </c>
      <c r="D41" s="76">
        <v>0</v>
      </c>
      <c r="E41" s="78">
        <f>ABS('Annual Calculations'!$L$31)*(1+$C$3)^E$168</f>
        <v>58.816986277777787</v>
      </c>
      <c r="F41" s="78">
        <f>ABS('Annual Calculations'!$L$31)*(1+$C$3)^F$168</f>
        <v>59.993326003333337</v>
      </c>
      <c r="G41" s="78">
        <f>ABS('Annual Calculations'!$L$31)*(1+$C$3)^G$168</f>
        <v>61.1931925234</v>
      </c>
      <c r="H41" s="78">
        <f>ABS('Annual Calculations'!$L$31)*(1+$C$3)^H$168</f>
        <v>62.417056373868007</v>
      </c>
      <c r="I41" s="78">
        <f>ABS('Annual Calculations'!$L$31)*(1+$C$3)^I$168</f>
        <v>63.665397501345367</v>
      </c>
      <c r="J41" s="78">
        <f>ABS('Annual Calculations'!$L$31)*(1+$C$3)^J$168</f>
        <v>64.938705451372286</v>
      </c>
      <c r="K41" s="78">
        <f>ABS('Annual Calculations'!$L$31)*(1+$C$3)^K$168</f>
        <v>66.237479560399706</v>
      </c>
      <c r="L41" s="78">
        <f>ABS('Annual Calculations'!$L$31)*(1+$C$3)^L$168</f>
        <v>67.56222915160771</v>
      </c>
      <c r="M41" s="78">
        <f>ABS('Annual Calculations'!$L$31)*(1+$C$3)^M$168</f>
        <v>68.913473734639865</v>
      </c>
      <c r="N41" s="78">
        <f>ABS('Annual Calculations'!$L$31)*(1+$C$3)^N$168</f>
        <v>70.291743209332665</v>
      </c>
      <c r="O41" s="78">
        <f>ABS('Annual Calculations'!$L$31)*(1+$C$3)^O$168</f>
        <v>71.69757807351931</v>
      </c>
      <c r="P41" s="78">
        <f>ABS('Annual Calculations'!$L$31)*(1+$C$3)^P$168</f>
        <v>73.131529634989704</v>
      </c>
      <c r="Q41" s="78">
        <f>ABS('Annual Calculations'!$L$31)*(1+$C$3)^Q$168</f>
        <v>74.5941602276895</v>
      </c>
      <c r="R41" s="78">
        <f>ABS('Annual Calculations'!$L$31)*(1+$C$3)^R$168</f>
        <v>76.086043432243287</v>
      </c>
      <c r="S41" s="78">
        <f>ABS('Annual Calculations'!$L$31)*(1+$C$3)^S$168</f>
        <v>77.607764300888135</v>
      </c>
      <c r="T41" s="78">
        <f>ABS('Annual Calculations'!$L$31)*(1+$C$3)^T$168</f>
        <v>79.159919586905914</v>
      </c>
      <c r="U41" s="78">
        <f>ABS('Annual Calculations'!$L$31)*(1+$C$3)^U$168</f>
        <v>80.743117978644037</v>
      </c>
      <c r="V41" s="78">
        <f>ABS('Annual Calculations'!$L$31)*(1+$C$3)^V$168</f>
        <v>82.357980338216905</v>
      </c>
      <c r="W41" s="78">
        <f>ABS('Annual Calculations'!$L$31)*(1+$C$3)^W$168</f>
        <v>84.005139944981238</v>
      </c>
      <c r="X41" s="78">
        <f>ABS('Annual Calculations'!$L$31)*(1+$C$3)^X$168</f>
        <v>85.685242743880877</v>
      </c>
      <c r="Y41" s="78">
        <f>ABS('Annual Calculations'!$L$31)*(1+$C$3)^Y$168</f>
        <v>87.398947598758483</v>
      </c>
      <c r="Z41" s="78">
        <f>ABS('Annual Calculations'!$L$31)*(1+$C$3)^Z$168</f>
        <v>89.146926550733667</v>
      </c>
      <c r="AA41" s="78">
        <f>ABS('Annual Calculations'!$L$31)*(1+$C$3)^AA$168</f>
        <v>90.929865081748318</v>
      </c>
      <c r="AB41" s="78">
        <f>ABS('Annual Calculations'!$L$31)*(1+$C$3)^AB$168</f>
        <v>92.748462383383284</v>
      </c>
      <c r="AC41" s="78">
        <f>ABS('Annual Calculations'!$L$31)*(1+$C$3)^AC$168</f>
        <v>94.603431631050952</v>
      </c>
      <c r="AD41" s="78">
        <f>ABS('Annual Calculations'!$L$31)*(1+$C$3)^AD$168</f>
        <v>96.495500263671985</v>
      </c>
      <c r="AE41" s="78">
        <f>ABS('Annual Calculations'!$L$31)*(1+$C$3)^AE$168</f>
        <v>98.425410268945413</v>
      </c>
      <c r="AF41" s="78">
        <f>ABS('Annual Calculations'!$L$31)*(1+$C$3)^AF$168</f>
        <v>100.39391847432434</v>
      </c>
      <c r="AG41" s="78">
        <f>ABS('Annual Calculations'!$L$31)*(1+$C$3)^AG$168</f>
        <v>102.4017968438108</v>
      </c>
      <c r="AH41" s="78">
        <f>ABS('Annual Calculations'!$L$31)*(1+$C$3)^AH$168</f>
        <v>104.44983278068703</v>
      </c>
      <c r="AI41" s="78">
        <f>ABS('Annual Calculations'!$L$31)*(1+$C$3)^AI$168</f>
        <v>106.53882943630074</v>
      </c>
      <c r="AJ41" s="78">
        <f>ABS('Annual Calculations'!$L$31)*(1+$C$3)^AJ$168</f>
        <v>108.66960602502678</v>
      </c>
      <c r="AK41" s="78">
        <f>ABS('Annual Calculations'!$L$31)*(1+$C$3)^AK$168</f>
        <v>110.84299814552733</v>
      </c>
      <c r="AL41" s="78">
        <f>ABS('Annual Calculations'!$L$31)*(1+$C$3)^AL$168</f>
        <v>113.05985810843787</v>
      </c>
      <c r="AM41" s="78">
        <f>ABS('Annual Calculations'!$L$31)*(1+$C$3)^AM$168</f>
        <v>115.32105527060662</v>
      </c>
      <c r="AN41" s="78">
        <f>ABS('Annual Calculations'!$L$31)*(1+$C$3)^AN$168</f>
        <v>117.62747637601875</v>
      </c>
      <c r="AO41" s="78">
        <f>ABS('Annual Calculations'!$L$31)*(1+$C$3)^AO$168</f>
        <v>119.98002590353913</v>
      </c>
      <c r="AP41" s="78">
        <f>ABS('Annual Calculations'!$L$31)*(1+$C$3)^AP$168</f>
        <v>122.37962642160993</v>
      </c>
      <c r="AQ41" s="78">
        <f>ABS('Annual Calculations'!$L$31)*(1+$C$3)^AQ$168</f>
        <v>124.82721895004208</v>
      </c>
      <c r="AR41" s="78">
        <f>ABS('Annual Calculations'!$L$31)*(1+$C$3)^AR$168</f>
        <v>127.32376332904296</v>
      </c>
      <c r="AS41" s="78">
        <f>ABS('Annual Calculations'!$L$31)*(1+$C$3)^AS$168</f>
        <v>129.87023859562382</v>
      </c>
      <c r="AT41" s="78">
        <f>ABS('Annual Calculations'!$L$31)*(1+$C$3)^AT$168</f>
        <v>132.46764336753628</v>
      </c>
      <c r="AU41" s="78">
        <f>ABS('Annual Calculations'!$L$31)*(1+$C$3)^AU$168</f>
        <v>135.11699623488698</v>
      </c>
      <c r="AV41" s="78">
        <f>ABS('Annual Calculations'!$L$31)*(1+$C$3)^AV$168</f>
        <v>137.81933615958476</v>
      </c>
      <c r="AW41" s="78">
        <f>ABS('Annual Calculations'!$L$31)*(1+$C$3)^AW$168</f>
        <v>140.57572288277643</v>
      </c>
      <c r="AX41" s="78">
        <f>ABS('Annual Calculations'!$L$31)*(1+$C$3)^AX$168</f>
        <v>143.38723734043199</v>
      </c>
      <c r="AY41" s="78">
        <f>ABS('Annual Calculations'!$L$31)*(1+$C$3)^AY$168</f>
        <v>146.25498208724059</v>
      </c>
      <c r="AZ41" s="78">
        <f>ABS('Annual Calculations'!$L$31)*(1+$C$3)^AZ$168</f>
        <v>149.18008172898541</v>
      </c>
      <c r="BA41" s="78">
        <f>ABS('Annual Calculations'!$L$31)*(1+$C$3)^BA$168</f>
        <v>152.16368336356513</v>
      </c>
      <c r="BB41" s="78">
        <f>ABS('Annual Calculations'!$L$31)*(1+$C$3)^BB$168</f>
        <v>155.20695703083643</v>
      </c>
    </row>
    <row r="42" spans="1:54" s="76" customFormat="1" x14ac:dyDescent="0.25">
      <c r="A42" s="180"/>
      <c r="B42" s="76" t="s">
        <v>358</v>
      </c>
      <c r="C42" s="77" t="s">
        <v>362</v>
      </c>
      <c r="D42" s="76">
        <f>SUM(D39:D41)</f>
        <v>-990</v>
      </c>
      <c r="E42" s="78">
        <f t="shared" ref="E42:BB42" si="26">SUM(E39:E41)</f>
        <v>83.509413162193724</v>
      </c>
      <c r="F42" s="78">
        <f t="shared" si="26"/>
        <v>85.179601425437596</v>
      </c>
      <c r="G42" s="78">
        <f t="shared" si="26"/>
        <v>86.883193453946333</v>
      </c>
      <c r="H42" s="78">
        <f t="shared" si="26"/>
        <v>88.620857323025263</v>
      </c>
      <c r="I42" s="78">
        <f t="shared" si="26"/>
        <v>90.393274469485775</v>
      </c>
      <c r="J42" s="78">
        <f t="shared" si="26"/>
        <v>92.201139958875501</v>
      </c>
      <c r="K42" s="78">
        <f t="shared" si="26"/>
        <v>94.045162758052982</v>
      </c>
      <c r="L42" s="78">
        <f t="shared" si="26"/>
        <v>95.926066013214054</v>
      </c>
      <c r="M42" s="78">
        <f t="shared" si="26"/>
        <v>97.84458733347833</v>
      </c>
      <c r="N42" s="78">
        <f t="shared" si="26"/>
        <v>99.801479080147914</v>
      </c>
      <c r="O42" s="78">
        <f t="shared" si="26"/>
        <v>101.79750866175085</v>
      </c>
      <c r="P42" s="78">
        <f t="shared" si="26"/>
        <v>103.83345883498589</v>
      </c>
      <c r="Q42" s="78">
        <f t="shared" si="26"/>
        <v>105.9101280116856</v>
      </c>
      <c r="R42" s="78">
        <f t="shared" si="26"/>
        <v>108.02833057191931</v>
      </c>
      <c r="S42" s="78">
        <f t="shared" si="26"/>
        <v>110.18889718335768</v>
      </c>
      <c r="T42" s="78">
        <f t="shared" si="26"/>
        <v>112.39267512702484</v>
      </c>
      <c r="U42" s="78">
        <f t="shared" si="26"/>
        <v>114.64052862956535</v>
      </c>
      <c r="V42" s="78">
        <f t="shared" si="26"/>
        <v>116.93333920215665</v>
      </c>
      <c r="W42" s="78">
        <f t="shared" si="26"/>
        <v>119.27200598619976</v>
      </c>
      <c r="X42" s="78">
        <f t="shared" si="26"/>
        <v>121.65744610592378</v>
      </c>
      <c r="Y42" s="78">
        <f t="shared" si="26"/>
        <v>124.09059502804224</v>
      </c>
      <c r="Z42" s="78">
        <f t="shared" si="26"/>
        <v>126.5724069286031</v>
      </c>
      <c r="AA42" s="78">
        <f t="shared" si="26"/>
        <v>129.10385506717515</v>
      </c>
      <c r="AB42" s="78">
        <f t="shared" si="26"/>
        <v>131.68593216851863</v>
      </c>
      <c r="AC42" s="78">
        <f t="shared" si="26"/>
        <v>134.31965081188901</v>
      </c>
      <c r="AD42" s="78">
        <f t="shared" si="26"/>
        <v>137.00604382812682</v>
      </c>
      <c r="AE42" s="78">
        <f t="shared" si="26"/>
        <v>139.74616470468933</v>
      </c>
      <c r="AF42" s="78">
        <f t="shared" si="26"/>
        <v>142.54108799878315</v>
      </c>
      <c r="AG42" s="78">
        <f t="shared" si="26"/>
        <v>145.39190975875877</v>
      </c>
      <c r="AH42" s="78">
        <f t="shared" si="26"/>
        <v>148.29974795393397</v>
      </c>
      <c r="AI42" s="78">
        <f t="shared" si="26"/>
        <v>151.26574291301262</v>
      </c>
      <c r="AJ42" s="78">
        <f t="shared" si="26"/>
        <v>154.2910577712729</v>
      </c>
      <c r="AK42" s="78">
        <f t="shared" si="26"/>
        <v>157.37687892669837</v>
      </c>
      <c r="AL42" s="78">
        <f t="shared" si="26"/>
        <v>160.52441650523232</v>
      </c>
      <c r="AM42" s="78">
        <f t="shared" si="26"/>
        <v>163.73490483533698</v>
      </c>
      <c r="AN42" s="78">
        <f t="shared" si="26"/>
        <v>167.00960293204369</v>
      </c>
      <c r="AO42" s="78">
        <f t="shared" si="26"/>
        <v>170.34979499068459</v>
      </c>
      <c r="AP42" s="78">
        <f t="shared" si="26"/>
        <v>173.75679089049828</v>
      </c>
      <c r="AQ42" s="78">
        <f t="shared" si="26"/>
        <v>177.23192670830821</v>
      </c>
      <c r="AR42" s="78">
        <f t="shared" si="26"/>
        <v>180.77656524247442</v>
      </c>
      <c r="AS42" s="78">
        <f t="shared" si="26"/>
        <v>184.39209654732389</v>
      </c>
      <c r="AT42" s="78">
        <f t="shared" si="26"/>
        <v>188.07993847827038</v>
      </c>
      <c r="AU42" s="78">
        <f t="shared" si="26"/>
        <v>191.84153724783573</v>
      </c>
      <c r="AV42" s="78">
        <f t="shared" si="26"/>
        <v>195.67836799279252</v>
      </c>
      <c r="AW42" s="78">
        <f t="shared" si="26"/>
        <v>199.59193535264831</v>
      </c>
      <c r="AX42" s="78">
        <f t="shared" si="26"/>
        <v>203.58377405970134</v>
      </c>
      <c r="AY42" s="78">
        <f t="shared" si="26"/>
        <v>207.65544954089529</v>
      </c>
      <c r="AZ42" s="78">
        <f t="shared" si="26"/>
        <v>211.80855853171323</v>
      </c>
      <c r="BA42" s="78">
        <f t="shared" si="26"/>
        <v>216.0447297023475</v>
      </c>
      <c r="BB42" s="78">
        <f t="shared" si="26"/>
        <v>220.36562429639446</v>
      </c>
    </row>
    <row r="43" spans="1:54" x14ac:dyDescent="0.25">
      <c r="A43" s="180"/>
      <c r="B43" s="76" t="s">
        <v>359</v>
      </c>
      <c r="C43" s="77"/>
      <c r="D43" s="76">
        <f t="shared" ref="D43:AI43" si="27">(1+$C$2)^D$168</f>
        <v>1</v>
      </c>
      <c r="E43" s="79">
        <f t="shared" si="27"/>
        <v>1.03</v>
      </c>
      <c r="F43" s="79">
        <f t="shared" si="27"/>
        <v>1.0609</v>
      </c>
      <c r="G43" s="79">
        <f t="shared" si="27"/>
        <v>1.092727</v>
      </c>
      <c r="H43" s="79">
        <f t="shared" si="27"/>
        <v>1.1255088099999999</v>
      </c>
      <c r="I43" s="79">
        <f t="shared" si="27"/>
        <v>1.1592740742999998</v>
      </c>
      <c r="J43" s="79">
        <f t="shared" si="27"/>
        <v>1.1940522965289999</v>
      </c>
      <c r="K43" s="79">
        <f t="shared" si="27"/>
        <v>1.22987386542487</v>
      </c>
      <c r="L43" s="79">
        <f t="shared" si="27"/>
        <v>1.2667700813876159</v>
      </c>
      <c r="M43" s="79">
        <f t="shared" si="27"/>
        <v>1.3047731838292445</v>
      </c>
      <c r="N43" s="79">
        <f t="shared" si="27"/>
        <v>1.3439163793441218</v>
      </c>
      <c r="O43" s="79">
        <f t="shared" si="27"/>
        <v>1.3842338707244455</v>
      </c>
      <c r="P43" s="79">
        <f t="shared" si="27"/>
        <v>1.4257608868461786</v>
      </c>
      <c r="Q43" s="79">
        <f t="shared" si="27"/>
        <v>1.4685337134515639</v>
      </c>
      <c r="R43" s="79">
        <f t="shared" si="27"/>
        <v>1.512589724855111</v>
      </c>
      <c r="S43" s="79">
        <f t="shared" si="27"/>
        <v>1.5579674166007644</v>
      </c>
      <c r="T43" s="79">
        <f t="shared" si="27"/>
        <v>1.6047064390987871</v>
      </c>
      <c r="U43" s="79">
        <f t="shared" si="27"/>
        <v>1.6528476322717507</v>
      </c>
      <c r="V43" s="79">
        <f t="shared" si="27"/>
        <v>1.7024330612399032</v>
      </c>
      <c r="W43" s="79">
        <f t="shared" si="27"/>
        <v>1.7535060530771003</v>
      </c>
      <c r="X43" s="79">
        <f t="shared" si="27"/>
        <v>1.8061112346694133</v>
      </c>
      <c r="Y43" s="79">
        <f t="shared" si="27"/>
        <v>1.8602945717094954</v>
      </c>
      <c r="Z43" s="79">
        <f t="shared" si="27"/>
        <v>1.9161034088607805</v>
      </c>
      <c r="AA43" s="79">
        <f t="shared" si="27"/>
        <v>1.973586511126604</v>
      </c>
      <c r="AB43" s="79">
        <f t="shared" si="27"/>
        <v>2.0327941064604018</v>
      </c>
      <c r="AC43" s="79">
        <f t="shared" si="27"/>
        <v>2.0937779296542138</v>
      </c>
      <c r="AD43" s="79">
        <f t="shared" si="27"/>
        <v>2.1565912675438406</v>
      </c>
      <c r="AE43" s="79">
        <f t="shared" si="27"/>
        <v>2.2212890055701555</v>
      </c>
      <c r="AF43" s="79">
        <f t="shared" si="27"/>
        <v>2.2879276757372602</v>
      </c>
      <c r="AG43" s="79">
        <f t="shared" si="27"/>
        <v>2.3565655060093778</v>
      </c>
      <c r="AH43" s="79">
        <f t="shared" si="27"/>
        <v>2.4272624711896591</v>
      </c>
      <c r="AI43" s="79">
        <f t="shared" si="27"/>
        <v>2.5000803453253493</v>
      </c>
      <c r="AJ43" s="79">
        <f t="shared" ref="AJ43:BB43" si="28">(1+$C$2)^AJ$168</f>
        <v>2.5750827556851092</v>
      </c>
      <c r="AK43" s="79">
        <f t="shared" si="28"/>
        <v>2.6523352383556626</v>
      </c>
      <c r="AL43" s="79">
        <f t="shared" si="28"/>
        <v>2.7319052955063321</v>
      </c>
      <c r="AM43" s="79">
        <f t="shared" si="28"/>
        <v>2.8138624543715225</v>
      </c>
      <c r="AN43" s="79">
        <f t="shared" si="28"/>
        <v>2.898278328002668</v>
      </c>
      <c r="AO43" s="79">
        <f t="shared" si="28"/>
        <v>2.9852266778427476</v>
      </c>
      <c r="AP43" s="79">
        <f t="shared" si="28"/>
        <v>3.0747834781780301</v>
      </c>
      <c r="AQ43" s="79">
        <f t="shared" si="28"/>
        <v>3.1670269825233714</v>
      </c>
      <c r="AR43" s="79">
        <f t="shared" si="28"/>
        <v>3.262037791999072</v>
      </c>
      <c r="AS43" s="79">
        <f t="shared" si="28"/>
        <v>3.3598989257590444</v>
      </c>
      <c r="AT43" s="79">
        <f t="shared" si="28"/>
        <v>3.4606958935318159</v>
      </c>
      <c r="AU43" s="79">
        <f t="shared" si="28"/>
        <v>3.5645167703377703</v>
      </c>
      <c r="AV43" s="79">
        <f t="shared" si="28"/>
        <v>3.6714522734479029</v>
      </c>
      <c r="AW43" s="79">
        <f t="shared" si="28"/>
        <v>3.78159584165134</v>
      </c>
      <c r="AX43" s="79">
        <f t="shared" si="28"/>
        <v>3.8950437169008802</v>
      </c>
      <c r="AY43" s="79">
        <f t="shared" si="28"/>
        <v>4.0118950284079071</v>
      </c>
      <c r="AZ43" s="79">
        <f t="shared" si="28"/>
        <v>4.1322518792601439</v>
      </c>
      <c r="BA43" s="79">
        <f t="shared" si="28"/>
        <v>4.2562194356379477</v>
      </c>
      <c r="BB43" s="79">
        <f t="shared" si="28"/>
        <v>4.3839060187070862</v>
      </c>
    </row>
    <row r="44" spans="1:54" x14ac:dyDescent="0.25">
      <c r="A44" s="180"/>
      <c r="B44" s="76" t="s">
        <v>360</v>
      </c>
      <c r="C44" s="77" t="s">
        <v>362</v>
      </c>
      <c r="D44" s="76">
        <f>D42/D43</f>
        <v>-990</v>
      </c>
      <c r="E44" s="78">
        <f>E42/E43</f>
        <v>81.07710015746963</v>
      </c>
      <c r="F44" s="78">
        <f>F42/F43</f>
        <v>80.289943845261192</v>
      </c>
      <c r="G44" s="78">
        <f t="shared" ref="G44:BB44" si="29">G42/G43</f>
        <v>79.510429827346016</v>
      </c>
      <c r="H44" s="78">
        <f t="shared" si="29"/>
        <v>78.738483906692181</v>
      </c>
      <c r="I44" s="78">
        <f t="shared" si="29"/>
        <v>77.974032606627219</v>
      </c>
      <c r="J44" s="78">
        <f t="shared" si="29"/>
        <v>77.217003163844439</v>
      </c>
      <c r="K44" s="78">
        <f t="shared" si="29"/>
        <v>76.467323521476985</v>
      </c>
      <c r="L44" s="78">
        <f t="shared" si="29"/>
        <v>75.724922322239365</v>
      </c>
      <c r="M44" s="78">
        <f t="shared" si="29"/>
        <v>74.98972890163509</v>
      </c>
      <c r="N44" s="78">
        <f t="shared" si="29"/>
        <v>74.261673281230884</v>
      </c>
      <c r="O44" s="78">
        <f t="shared" si="29"/>
        <v>73.540686161995609</v>
      </c>
      <c r="P44" s="78">
        <f t="shared" si="29"/>
        <v>72.82669891770442</v>
      </c>
      <c r="Q44" s="78">
        <f t="shared" si="29"/>
        <v>72.119643588406319</v>
      </c>
      <c r="R44" s="78">
        <f t="shared" si="29"/>
        <v>71.419452873955763</v>
      </c>
      <c r="S44" s="78">
        <f t="shared" si="29"/>
        <v>70.726060127606658</v>
      </c>
      <c r="T44" s="78">
        <f t="shared" si="29"/>
        <v>70.039399349668756</v>
      </c>
      <c r="U44" s="78">
        <f t="shared" si="29"/>
        <v>69.35940518122537</v>
      </c>
      <c r="V44" s="78">
        <f t="shared" si="29"/>
        <v>68.686012897912491</v>
      </c>
      <c r="W44" s="78">
        <f t="shared" si="29"/>
        <v>68.019158403757999</v>
      </c>
      <c r="X44" s="78">
        <f t="shared" si="29"/>
        <v>67.358778225080755</v>
      </c>
      <c r="Y44" s="78">
        <f t="shared" si="29"/>
        <v>66.704809504448903</v>
      </c>
      <c r="Z44" s="78">
        <f t="shared" si="29"/>
        <v>66.057189994696969</v>
      </c>
      <c r="AA44" s="78">
        <f t="shared" si="29"/>
        <v>65.415858053000875</v>
      </c>
      <c r="AB44" s="78">
        <f t="shared" si="29"/>
        <v>64.780752635010572</v>
      </c>
      <c r="AC44" s="78">
        <f t="shared" si="29"/>
        <v>64.151813289039595</v>
      </c>
      <c r="AD44" s="78">
        <f t="shared" si="29"/>
        <v>63.528980150311064</v>
      </c>
      <c r="AE44" s="78">
        <f t="shared" si="29"/>
        <v>62.912193935259495</v>
      </c>
      <c r="AF44" s="78">
        <f t="shared" si="29"/>
        <v>62.30139593588806</v>
      </c>
      <c r="AG44" s="78">
        <f t="shared" si="29"/>
        <v>61.696528014180394</v>
      </c>
      <c r="AH44" s="78">
        <f t="shared" si="29"/>
        <v>61.097532596567007</v>
      </c>
      <c r="AI44" s="78">
        <f t="shared" si="29"/>
        <v>60.504352668444966</v>
      </c>
      <c r="AJ44" s="78">
        <f t="shared" si="29"/>
        <v>59.916931768751354</v>
      </c>
      <c r="AK44" s="78">
        <f t="shared" si="29"/>
        <v>59.335213984588719</v>
      </c>
      <c r="AL44" s="78">
        <f t="shared" si="29"/>
        <v>58.759143945903396</v>
      </c>
      <c r="AM44" s="78">
        <f t="shared" si="29"/>
        <v>58.188666820215005</v>
      </c>
      <c r="AN44" s="78">
        <f t="shared" si="29"/>
        <v>57.623728307397379</v>
      </c>
      <c r="AO44" s="78">
        <f t="shared" si="29"/>
        <v>57.064274634510042</v>
      </c>
      <c r="AP44" s="78">
        <f t="shared" si="29"/>
        <v>56.510252550679844</v>
      </c>
      <c r="AQ44" s="78">
        <f t="shared" si="29"/>
        <v>55.961609322032452</v>
      </c>
      <c r="AR44" s="78">
        <f t="shared" si="29"/>
        <v>55.418292726672938</v>
      </c>
      <c r="AS44" s="78">
        <f t="shared" si="29"/>
        <v>54.880251049714936</v>
      </c>
      <c r="AT44" s="78">
        <f t="shared" si="29"/>
        <v>54.347433078358485</v>
      </c>
      <c r="AU44" s="78">
        <f t="shared" si="29"/>
        <v>53.819788097015184</v>
      </c>
      <c r="AV44" s="78">
        <f t="shared" si="29"/>
        <v>53.297265882481078</v>
      </c>
      <c r="AW44" s="78">
        <f t="shared" si="29"/>
        <v>52.779816699156008</v>
      </c>
      <c r="AX44" s="78">
        <f t="shared" si="29"/>
        <v>52.267391294309846</v>
      </c>
      <c r="AY44" s="78">
        <f t="shared" si="29"/>
        <v>51.759940893394194</v>
      </c>
      <c r="AZ44" s="78">
        <f t="shared" si="29"/>
        <v>51.257417195400087</v>
      </c>
      <c r="BA44" s="78">
        <f t="shared" si="29"/>
        <v>50.759772368260286</v>
      </c>
      <c r="BB44" s="78">
        <f t="shared" si="29"/>
        <v>50.266959044296598</v>
      </c>
    </row>
    <row r="45" spans="1:54" x14ac:dyDescent="0.25">
      <c r="A45" s="180"/>
      <c r="B45" s="76" t="s">
        <v>645</v>
      </c>
      <c r="C45" s="77" t="s">
        <v>362</v>
      </c>
      <c r="D45" s="76">
        <f>D44</f>
        <v>-990</v>
      </c>
      <c r="E45" s="78">
        <f>E44+D45</f>
        <v>-908.92289984253034</v>
      </c>
      <c r="F45" s="78">
        <f t="shared" ref="F45:BB45" si="30">F44+E45</f>
        <v>-828.63295599726916</v>
      </c>
      <c r="G45" s="78">
        <f t="shared" si="30"/>
        <v>-749.12252616992316</v>
      </c>
      <c r="H45" s="78">
        <f t="shared" si="30"/>
        <v>-670.38404226323098</v>
      </c>
      <c r="I45" s="78">
        <f t="shared" si="30"/>
        <v>-592.41000965660373</v>
      </c>
      <c r="J45" s="78">
        <f t="shared" si="30"/>
        <v>-515.19300649275931</v>
      </c>
      <c r="K45" s="78">
        <f t="shared" si="30"/>
        <v>-438.72568297128231</v>
      </c>
      <c r="L45" s="78">
        <f t="shared" si="30"/>
        <v>-363.00076064904295</v>
      </c>
      <c r="M45" s="78">
        <f t="shared" si="30"/>
        <v>-288.01103174740786</v>
      </c>
      <c r="N45" s="78">
        <f t="shared" si="30"/>
        <v>-213.74935846617697</v>
      </c>
      <c r="O45" s="78">
        <f t="shared" si="30"/>
        <v>-140.20867230418136</v>
      </c>
      <c r="P45" s="78">
        <f t="shared" si="30"/>
        <v>-67.381973386476943</v>
      </c>
      <c r="Q45" s="78">
        <f t="shared" si="30"/>
        <v>4.7376702019293759</v>
      </c>
      <c r="R45" s="78">
        <f t="shared" si="30"/>
        <v>76.157123075885139</v>
      </c>
      <c r="S45" s="78">
        <f t="shared" si="30"/>
        <v>146.8831832034918</v>
      </c>
      <c r="T45" s="78">
        <f t="shared" si="30"/>
        <v>216.92258255316057</v>
      </c>
      <c r="U45" s="78">
        <f t="shared" si="30"/>
        <v>286.28198773438595</v>
      </c>
      <c r="V45" s="78">
        <f t="shared" si="30"/>
        <v>354.96800063229841</v>
      </c>
      <c r="W45" s="78">
        <f t="shared" si="30"/>
        <v>422.98715903605643</v>
      </c>
      <c r="X45" s="78">
        <f t="shared" si="30"/>
        <v>490.34593726113718</v>
      </c>
      <c r="Y45" s="78">
        <f t="shared" si="30"/>
        <v>557.05074676558604</v>
      </c>
      <c r="Z45" s="78">
        <f t="shared" si="30"/>
        <v>623.107936760283</v>
      </c>
      <c r="AA45" s="78">
        <f t="shared" si="30"/>
        <v>688.52379481328387</v>
      </c>
      <c r="AB45" s="78">
        <f t="shared" si="30"/>
        <v>753.30454744829444</v>
      </c>
      <c r="AC45" s="78">
        <f t="shared" si="30"/>
        <v>817.45636073733408</v>
      </c>
      <c r="AD45" s="78">
        <f t="shared" si="30"/>
        <v>880.98534088764518</v>
      </c>
      <c r="AE45" s="78">
        <f t="shared" si="30"/>
        <v>943.89753482290462</v>
      </c>
      <c r="AF45" s="78">
        <f t="shared" si="30"/>
        <v>1006.1989307587927</v>
      </c>
      <c r="AG45" s="78">
        <f t="shared" si="30"/>
        <v>1067.8954587729731</v>
      </c>
      <c r="AH45" s="78">
        <f t="shared" si="30"/>
        <v>1128.9929913695401</v>
      </c>
      <c r="AI45" s="78">
        <f t="shared" si="30"/>
        <v>1189.4973440379849</v>
      </c>
      <c r="AJ45" s="78">
        <f t="shared" si="30"/>
        <v>1249.4142758067362</v>
      </c>
      <c r="AK45" s="78">
        <f t="shared" si="30"/>
        <v>1308.749489791325</v>
      </c>
      <c r="AL45" s="78">
        <f t="shared" si="30"/>
        <v>1367.5086337372284</v>
      </c>
      <c r="AM45" s="78">
        <f t="shared" si="30"/>
        <v>1425.6973005574434</v>
      </c>
      <c r="AN45" s="78">
        <f t="shared" si="30"/>
        <v>1483.3210288648409</v>
      </c>
      <c r="AO45" s="78">
        <f t="shared" si="30"/>
        <v>1540.3853034993508</v>
      </c>
      <c r="AP45" s="78">
        <f t="shared" si="30"/>
        <v>1596.8955560500306</v>
      </c>
      <c r="AQ45" s="78">
        <f t="shared" si="30"/>
        <v>1652.857165372063</v>
      </c>
      <c r="AR45" s="78">
        <f t="shared" si="30"/>
        <v>1708.275458098736</v>
      </c>
      <c r="AS45" s="78">
        <f t="shared" si="30"/>
        <v>1763.1557091484508</v>
      </c>
      <c r="AT45" s="78">
        <f t="shared" si="30"/>
        <v>1817.5031422268094</v>
      </c>
      <c r="AU45" s="78">
        <f t="shared" si="30"/>
        <v>1871.3229303238245</v>
      </c>
      <c r="AV45" s="78">
        <f t="shared" si="30"/>
        <v>1924.6201962063055</v>
      </c>
      <c r="AW45" s="78">
        <f t="shared" si="30"/>
        <v>1977.4000129054616</v>
      </c>
      <c r="AX45" s="78">
        <f t="shared" si="30"/>
        <v>2029.6674041997715</v>
      </c>
      <c r="AY45" s="78">
        <f t="shared" si="30"/>
        <v>2081.4273450931655</v>
      </c>
      <c r="AZ45" s="78">
        <f t="shared" si="30"/>
        <v>2132.6847622885657</v>
      </c>
      <c r="BA45" s="78">
        <f t="shared" si="30"/>
        <v>2183.4445346568259</v>
      </c>
      <c r="BB45" s="78">
        <f t="shared" si="30"/>
        <v>2233.7114937011224</v>
      </c>
    </row>
    <row r="46" spans="1:54" x14ac:dyDescent="0.25">
      <c r="A46" s="180"/>
      <c r="B46" s="80" t="s">
        <v>361</v>
      </c>
      <c r="C46" s="81" t="s">
        <v>362</v>
      </c>
      <c r="D46" s="92">
        <f>SUM(D44:BB44)</f>
        <v>2233.7114937011224</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row>
    <row r="47" spans="1:54" x14ac:dyDescent="0.25">
      <c r="A47" s="177" t="s">
        <v>556</v>
      </c>
      <c r="B47" t="s">
        <v>363</v>
      </c>
      <c r="C47" s="72" t="s">
        <v>362</v>
      </c>
      <c r="D47">
        <f>-(PV!$B$56*PV!$B$60)/South_Facade_PV!$B$7</f>
        <v>-10496.90625</v>
      </c>
      <c r="E47">
        <v>0</v>
      </c>
      <c r="F47">
        <v>0</v>
      </c>
      <c r="G47">
        <v>0</v>
      </c>
      <c r="H47">
        <v>0</v>
      </c>
      <c r="I47">
        <v>0</v>
      </c>
      <c r="J47">
        <v>0</v>
      </c>
      <c r="K47">
        <v>0</v>
      </c>
      <c r="L47">
        <v>0</v>
      </c>
      <c r="M47">
        <v>0</v>
      </c>
      <c r="N47">
        <f>-((PV!$B$78*PV!$B$56)/South_Facade_PV!$B$7)*(1+$C$1)^N$168</f>
        <v>-8183.4927627955913</v>
      </c>
      <c r="O47">
        <v>0</v>
      </c>
      <c r="P47">
        <v>0</v>
      </c>
      <c r="Q47">
        <v>0</v>
      </c>
      <c r="R47">
        <v>0</v>
      </c>
      <c r="S47">
        <v>0</v>
      </c>
      <c r="T47">
        <v>0</v>
      </c>
      <c r="U47">
        <v>0</v>
      </c>
      <c r="V47">
        <v>0</v>
      </c>
      <c r="W47">
        <v>0</v>
      </c>
      <c r="X47">
        <f>-((PV!$B$78*PV!$B$56)/South_Facade_PV!$B$7)*(1+$C$1)^X$168</f>
        <v>-9975.6320139153031</v>
      </c>
      <c r="Y47">
        <v>0</v>
      </c>
      <c r="Z47">
        <v>0</v>
      </c>
      <c r="AA47">
        <v>0</v>
      </c>
      <c r="AB47">
        <v>0</v>
      </c>
      <c r="AC47">
        <f>-(PV!$B$80*PV!$B$56/South_Facade_PV!$B$7)*(1+$C$1)^AC$168</f>
        <v>-3272.2062924743436</v>
      </c>
      <c r="AD47">
        <v>0</v>
      </c>
      <c r="AE47">
        <v>0</v>
      </c>
      <c r="AF47">
        <v>0</v>
      </c>
      <c r="AG47">
        <v>0</v>
      </c>
      <c r="AH47">
        <f>-((PV!$B$78*PV!$B$56)/South_Facade_PV!$B$7)*(1+$C$1)^AH$168</f>
        <v>-12160.239760883816</v>
      </c>
      <c r="AI47">
        <v>0</v>
      </c>
      <c r="AJ47">
        <v>0</v>
      </c>
      <c r="AK47">
        <v>0</v>
      </c>
      <c r="AL47">
        <v>0</v>
      </c>
      <c r="AM47">
        <v>0</v>
      </c>
      <c r="AN47">
        <v>0</v>
      </c>
      <c r="AO47">
        <v>0</v>
      </c>
      <c r="AP47">
        <v>0</v>
      </c>
      <c r="AQ47">
        <v>0</v>
      </c>
      <c r="AR47">
        <f>-((PV!$B$78*PV!$B$56)/South_Facade_PV!$B$7)*(1+$C$1)^AR$168</f>
        <v>-14823.26441431575</v>
      </c>
      <c r="AS47">
        <v>0</v>
      </c>
      <c r="AT47">
        <v>0</v>
      </c>
      <c r="AU47">
        <v>0</v>
      </c>
      <c r="AV47">
        <v>0</v>
      </c>
      <c r="AW47">
        <v>0</v>
      </c>
      <c r="AX47">
        <v>0</v>
      </c>
      <c r="AY47">
        <v>0</v>
      </c>
      <c r="AZ47">
        <v>0</v>
      </c>
      <c r="BA47">
        <v>0</v>
      </c>
      <c r="BB47">
        <v>0</v>
      </c>
    </row>
    <row r="48" spans="1:54" x14ac:dyDescent="0.25">
      <c r="A48" s="177"/>
      <c r="B48" t="s">
        <v>356</v>
      </c>
      <c r="C48" s="72" t="s">
        <v>362</v>
      </c>
      <c r="D48">
        <v>0</v>
      </c>
      <c r="E48" s="18">
        <f>ABS('Annual Calculations'!$Q$11)*(1+$C$3)^E$168</f>
        <v>485.77884683862794</v>
      </c>
      <c r="F48" s="18">
        <f>ABS('Annual Calculations'!$Q$11)*(1+$C$3)^F$168</f>
        <v>495.49442377540043</v>
      </c>
      <c r="G48" s="18">
        <f>ABS('Annual Calculations'!$Q$11)*(1+$C$3)^G$168</f>
        <v>505.40431225090845</v>
      </c>
      <c r="H48" s="18">
        <f>ABS('Annual Calculations'!$Q$11)*(1+$C$3)^H$168</f>
        <v>515.51239849592662</v>
      </c>
      <c r="I48" s="18">
        <f>ABS('Annual Calculations'!$Q$11)*(1+$C$3)^I$168</f>
        <v>525.8226464658452</v>
      </c>
      <c r="J48" s="18">
        <f>ABS('Annual Calculations'!$Q$11)*(1+$C$3)^J$168</f>
        <v>536.33909939516207</v>
      </c>
      <c r="K48" s="18">
        <f>ABS('Annual Calculations'!$Q$11)*(1+$C$3)^K$168</f>
        <v>547.06588138306529</v>
      </c>
      <c r="L48" s="18">
        <f>ABS('Annual Calculations'!$Q$11)*(1+$C$3)^L$168</f>
        <v>558.00719901072659</v>
      </c>
      <c r="M48" s="18">
        <f>ABS('Annual Calculations'!$Q$11)*(1+$C$3)^M$168</f>
        <v>569.16734299094117</v>
      </c>
      <c r="N48" s="18">
        <f>ABS('Annual Calculations'!$Q$11)*(1+$C$3)^N$168</f>
        <v>580.55068985076002</v>
      </c>
      <c r="O48" s="18">
        <f>ABS('Annual Calculations'!$Q$11)*(1+$C$3)^O$168</f>
        <v>592.16170364777508</v>
      </c>
      <c r="P48" s="18">
        <f>ABS('Annual Calculations'!$Q$11)*(1+$C$3)^P$168</f>
        <v>604.00493772073071</v>
      </c>
      <c r="Q48" s="18">
        <f>ABS('Annual Calculations'!$Q$11)*(1+$C$3)^Q$168</f>
        <v>616.08503647514522</v>
      </c>
      <c r="R48" s="18">
        <f>ABS('Annual Calculations'!$Q$11)*(1+$C$3)^R$168</f>
        <v>628.40673720464815</v>
      </c>
      <c r="S48" s="18">
        <f>ABS('Annual Calculations'!$Q$11)*(1+$C$3)^S$168</f>
        <v>640.974871948741</v>
      </c>
      <c r="T48" s="18">
        <f>ABS('Annual Calculations'!$Q$11)*(1+$C$3)^T$168</f>
        <v>653.79436938771596</v>
      </c>
      <c r="U48" s="18">
        <f>ABS('Annual Calculations'!$Q$11)*(1+$C$3)^U$168</f>
        <v>666.87025677547035</v>
      </c>
      <c r="V48" s="18">
        <f>ABS('Annual Calculations'!$Q$11)*(1+$C$3)^V$168</f>
        <v>680.2076619109796</v>
      </c>
      <c r="W48" s="18">
        <f>ABS('Annual Calculations'!$Q$11)*(1+$C$3)^W$168</f>
        <v>693.81181514919922</v>
      </c>
      <c r="X48" s="18">
        <f>ABS('Annual Calculations'!$Q$11)*(1+$C$3)^X$168</f>
        <v>707.68805145218323</v>
      </c>
      <c r="Y48" s="18">
        <f>ABS('Annual Calculations'!$Q$11)*(1+$C$3)^Y$168</f>
        <v>721.84181248122684</v>
      </c>
      <c r="Z48" s="18">
        <f>ABS('Annual Calculations'!$Q$11)*(1+$C$3)^Z$168</f>
        <v>736.2786487308515</v>
      </c>
      <c r="AA48" s="18">
        <f>ABS('Annual Calculations'!$Q$11)*(1+$C$3)^AA$168</f>
        <v>751.00422170546835</v>
      </c>
      <c r="AB48" s="18">
        <f>ABS('Annual Calculations'!$Q$11)*(1+$C$3)^AB$168</f>
        <v>766.02430613957779</v>
      </c>
      <c r="AC48" s="18">
        <f>ABS('Annual Calculations'!$Q$11)*(1+$C$3)^AC$168</f>
        <v>781.34479226236931</v>
      </c>
      <c r="AD48" s="18">
        <f>ABS('Annual Calculations'!$Q$11)*(1+$C$3)^AD$168</f>
        <v>796.97168810761673</v>
      </c>
      <c r="AE48" s="18">
        <f>ABS('Annual Calculations'!$Q$11)*(1+$C$3)^AE$168</f>
        <v>812.91112186976898</v>
      </c>
      <c r="AF48" s="18">
        <f>ABS('Annual Calculations'!$Q$11)*(1+$C$3)^AF$168</f>
        <v>829.16934430716447</v>
      </c>
      <c r="AG48" s="18">
        <f>ABS('Annual Calculations'!$Q$11)*(1+$C$3)^AG$168</f>
        <v>845.75273119330768</v>
      </c>
      <c r="AH48" s="18">
        <f>ABS('Annual Calculations'!$Q$11)*(1+$C$3)^AH$168</f>
        <v>862.66778581717392</v>
      </c>
      <c r="AI48" s="18">
        <f>ABS('Annual Calculations'!$Q$11)*(1+$C$3)^AI$168</f>
        <v>879.92114153351713</v>
      </c>
      <c r="AJ48" s="18">
        <f>ABS('Annual Calculations'!$Q$11)*(1+$C$3)^AJ$168</f>
        <v>897.51956436418766</v>
      </c>
      <c r="AK48" s="18">
        <f>ABS('Annual Calculations'!$Q$11)*(1+$C$3)^AK$168</f>
        <v>915.46995565147154</v>
      </c>
      <c r="AL48" s="18">
        <f>ABS('Annual Calculations'!$Q$11)*(1+$C$3)^AL$168</f>
        <v>933.77935476450091</v>
      </c>
      <c r="AM48" s="18">
        <f>ABS('Annual Calculations'!$Q$11)*(1+$C$3)^AM$168</f>
        <v>952.45494185979089</v>
      </c>
      <c r="AN48" s="18">
        <f>ABS('Annual Calculations'!$Q$11)*(1+$C$3)^AN$168</f>
        <v>971.50404069698664</v>
      </c>
      <c r="AO48" s="18">
        <f>ABS('Annual Calculations'!$Q$11)*(1+$C$3)^AO$168</f>
        <v>990.9341215109265</v>
      </c>
      <c r="AP48" s="18">
        <f>ABS('Annual Calculations'!$Q$11)*(1+$C$3)^AP$168</f>
        <v>1010.7528039411451</v>
      </c>
      <c r="AQ48" s="18">
        <f>ABS('Annual Calculations'!$Q$11)*(1+$C$3)^AQ$168</f>
        <v>1030.9678600199677</v>
      </c>
      <c r="AR48" s="18">
        <f>ABS('Annual Calculations'!$Q$11)*(1+$C$3)^AR$168</f>
        <v>1051.5872172203672</v>
      </c>
      <c r="AS48" s="18">
        <f>ABS('Annual Calculations'!$Q$11)*(1+$C$3)^AS$168</f>
        <v>1072.6189615647745</v>
      </c>
      <c r="AT48" s="18">
        <f>ABS('Annual Calculations'!$Q$11)*(1+$C$3)^AT$168</f>
        <v>1094.07134079607</v>
      </c>
      <c r="AU48" s="18">
        <f>ABS('Annual Calculations'!$Q$11)*(1+$C$3)^AU$168</f>
        <v>1115.9527676119912</v>
      </c>
      <c r="AV48" s="18">
        <f>ABS('Annual Calculations'!$Q$11)*(1+$C$3)^AV$168</f>
        <v>1138.2718229642314</v>
      </c>
      <c r="AW48" s="18">
        <f>ABS('Annual Calculations'!$Q$11)*(1+$C$3)^AW$168</f>
        <v>1161.0372594235159</v>
      </c>
      <c r="AX48" s="18">
        <f>ABS('Annual Calculations'!$Q$11)*(1+$C$3)^AX$168</f>
        <v>1184.2580046119863</v>
      </c>
      <c r="AY48" s="18">
        <f>ABS('Annual Calculations'!$Q$11)*(1+$C$3)^AY$168</f>
        <v>1207.9431647042256</v>
      </c>
      <c r="AZ48" s="18">
        <f>ABS('Annual Calculations'!$Q$11)*(1+$C$3)^AZ$168</f>
        <v>1232.1020279983104</v>
      </c>
      <c r="BA48" s="18">
        <f>ABS('Annual Calculations'!$Q$11)*(1+$C$3)^BA$168</f>
        <v>1256.7440685582767</v>
      </c>
      <c r="BB48" s="18">
        <f>ABS('Annual Calculations'!$Q$11)*(1+$C$3)^BB$168</f>
        <v>1281.8789499294421</v>
      </c>
    </row>
    <row r="49" spans="1:54" x14ac:dyDescent="0.25">
      <c r="A49" s="177"/>
      <c r="B49" t="s">
        <v>357</v>
      </c>
      <c r="C49" s="72" t="s">
        <v>362</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row>
    <row r="50" spans="1:54" x14ac:dyDescent="0.25">
      <c r="A50" s="177"/>
      <c r="B50" t="s">
        <v>358</v>
      </c>
      <c r="C50" s="72" t="s">
        <v>362</v>
      </c>
      <c r="D50">
        <f>SUM(D47:D49)</f>
        <v>-10496.90625</v>
      </c>
      <c r="E50" s="18">
        <f t="shared" ref="E50:BB50" si="31">SUM(E47:E49)</f>
        <v>485.77884683862794</v>
      </c>
      <c r="F50" s="18">
        <f t="shared" si="31"/>
        <v>495.49442377540043</v>
      </c>
      <c r="G50" s="18">
        <f t="shared" si="31"/>
        <v>505.40431225090845</v>
      </c>
      <c r="H50" s="18">
        <f t="shared" si="31"/>
        <v>515.51239849592662</v>
      </c>
      <c r="I50" s="18">
        <f t="shared" si="31"/>
        <v>525.8226464658452</v>
      </c>
      <c r="J50" s="18">
        <f t="shared" si="31"/>
        <v>536.33909939516207</v>
      </c>
      <c r="K50" s="18">
        <f t="shared" si="31"/>
        <v>547.06588138306529</v>
      </c>
      <c r="L50" s="18">
        <f t="shared" si="31"/>
        <v>558.00719901072659</v>
      </c>
      <c r="M50" s="18">
        <f t="shared" si="31"/>
        <v>569.16734299094117</v>
      </c>
      <c r="N50" s="18">
        <f t="shared" si="31"/>
        <v>-7602.9420729448311</v>
      </c>
      <c r="O50" s="18">
        <f t="shared" si="31"/>
        <v>592.16170364777508</v>
      </c>
      <c r="P50" s="18">
        <f t="shared" si="31"/>
        <v>604.00493772073071</v>
      </c>
      <c r="Q50" s="18">
        <f t="shared" si="31"/>
        <v>616.08503647514522</v>
      </c>
      <c r="R50" s="18">
        <f t="shared" si="31"/>
        <v>628.40673720464815</v>
      </c>
      <c r="S50" s="18">
        <f t="shared" si="31"/>
        <v>640.974871948741</v>
      </c>
      <c r="T50" s="18">
        <f t="shared" si="31"/>
        <v>653.79436938771596</v>
      </c>
      <c r="U50" s="18">
        <f t="shared" si="31"/>
        <v>666.87025677547035</v>
      </c>
      <c r="V50" s="18">
        <f t="shared" si="31"/>
        <v>680.2076619109796</v>
      </c>
      <c r="W50" s="18">
        <f t="shared" si="31"/>
        <v>693.81181514919922</v>
      </c>
      <c r="X50" s="18">
        <f t="shared" si="31"/>
        <v>-9267.9439624631195</v>
      </c>
      <c r="Y50" s="18">
        <f t="shared" si="31"/>
        <v>721.84181248122684</v>
      </c>
      <c r="Z50" s="18">
        <f t="shared" si="31"/>
        <v>736.2786487308515</v>
      </c>
      <c r="AA50" s="18">
        <f t="shared" si="31"/>
        <v>751.00422170546835</v>
      </c>
      <c r="AB50" s="18">
        <f t="shared" si="31"/>
        <v>766.02430613957779</v>
      </c>
      <c r="AC50" s="18">
        <f t="shared" si="31"/>
        <v>-2490.8615002119741</v>
      </c>
      <c r="AD50" s="18">
        <f t="shared" si="31"/>
        <v>796.97168810761673</v>
      </c>
      <c r="AE50" s="18">
        <f t="shared" si="31"/>
        <v>812.91112186976898</v>
      </c>
      <c r="AF50" s="18">
        <f t="shared" si="31"/>
        <v>829.16934430716447</v>
      </c>
      <c r="AG50" s="18">
        <f t="shared" si="31"/>
        <v>845.75273119330768</v>
      </c>
      <c r="AH50" s="18">
        <f t="shared" si="31"/>
        <v>-11297.571975066643</v>
      </c>
      <c r="AI50" s="18">
        <f t="shared" si="31"/>
        <v>879.92114153351713</v>
      </c>
      <c r="AJ50" s="18">
        <f t="shared" si="31"/>
        <v>897.51956436418766</v>
      </c>
      <c r="AK50" s="18">
        <f t="shared" si="31"/>
        <v>915.46995565147154</v>
      </c>
      <c r="AL50" s="18">
        <f t="shared" si="31"/>
        <v>933.77935476450091</v>
      </c>
      <c r="AM50" s="18">
        <f t="shared" si="31"/>
        <v>952.45494185979089</v>
      </c>
      <c r="AN50" s="18">
        <f t="shared" si="31"/>
        <v>971.50404069698664</v>
      </c>
      <c r="AO50" s="18">
        <f t="shared" si="31"/>
        <v>990.9341215109265</v>
      </c>
      <c r="AP50" s="18">
        <f t="shared" si="31"/>
        <v>1010.7528039411451</v>
      </c>
      <c r="AQ50" s="18">
        <f t="shared" si="31"/>
        <v>1030.9678600199677</v>
      </c>
      <c r="AR50" s="18">
        <f t="shared" si="31"/>
        <v>-13771.677197095383</v>
      </c>
      <c r="AS50" s="18">
        <f t="shared" si="31"/>
        <v>1072.6189615647745</v>
      </c>
      <c r="AT50" s="18">
        <f t="shared" si="31"/>
        <v>1094.07134079607</v>
      </c>
      <c r="AU50" s="18">
        <f t="shared" si="31"/>
        <v>1115.9527676119912</v>
      </c>
      <c r="AV50" s="18">
        <f t="shared" si="31"/>
        <v>1138.2718229642314</v>
      </c>
      <c r="AW50" s="18">
        <f t="shared" si="31"/>
        <v>1161.0372594235159</v>
      </c>
      <c r="AX50" s="18">
        <f t="shared" si="31"/>
        <v>1184.2580046119863</v>
      </c>
      <c r="AY50" s="18">
        <f t="shared" si="31"/>
        <v>1207.9431647042256</v>
      </c>
      <c r="AZ50" s="18">
        <f t="shared" si="31"/>
        <v>1232.1020279983104</v>
      </c>
      <c r="BA50" s="18">
        <f t="shared" si="31"/>
        <v>1256.7440685582767</v>
      </c>
      <c r="BB50" s="18">
        <f t="shared" si="31"/>
        <v>1281.8789499294421</v>
      </c>
    </row>
    <row r="51" spans="1:54" x14ac:dyDescent="0.25">
      <c r="A51" s="177"/>
      <c r="B51" t="s">
        <v>359</v>
      </c>
      <c r="C51" s="72"/>
      <c r="D51">
        <f t="shared" ref="D51:AI51" si="32">(1+$C$2)^D$168</f>
        <v>1</v>
      </c>
      <c r="E51" s="40">
        <f t="shared" si="32"/>
        <v>1.03</v>
      </c>
      <c r="F51" s="40">
        <f t="shared" si="32"/>
        <v>1.0609</v>
      </c>
      <c r="G51" s="40">
        <f t="shared" si="32"/>
        <v>1.092727</v>
      </c>
      <c r="H51" s="40">
        <f t="shared" si="32"/>
        <v>1.1255088099999999</v>
      </c>
      <c r="I51" s="40">
        <f t="shared" si="32"/>
        <v>1.1592740742999998</v>
      </c>
      <c r="J51" s="40">
        <f t="shared" si="32"/>
        <v>1.1940522965289999</v>
      </c>
      <c r="K51" s="40">
        <f t="shared" si="32"/>
        <v>1.22987386542487</v>
      </c>
      <c r="L51" s="40">
        <f t="shared" si="32"/>
        <v>1.2667700813876159</v>
      </c>
      <c r="M51" s="40">
        <f t="shared" si="32"/>
        <v>1.3047731838292445</v>
      </c>
      <c r="N51" s="40">
        <f t="shared" si="32"/>
        <v>1.3439163793441218</v>
      </c>
      <c r="O51" s="40">
        <f t="shared" si="32"/>
        <v>1.3842338707244455</v>
      </c>
      <c r="P51" s="40">
        <f t="shared" si="32"/>
        <v>1.4257608868461786</v>
      </c>
      <c r="Q51" s="40">
        <f t="shared" si="32"/>
        <v>1.4685337134515639</v>
      </c>
      <c r="R51" s="40">
        <f t="shared" si="32"/>
        <v>1.512589724855111</v>
      </c>
      <c r="S51" s="40">
        <f t="shared" si="32"/>
        <v>1.5579674166007644</v>
      </c>
      <c r="T51" s="40">
        <f t="shared" si="32"/>
        <v>1.6047064390987871</v>
      </c>
      <c r="U51" s="40">
        <f t="shared" si="32"/>
        <v>1.6528476322717507</v>
      </c>
      <c r="V51" s="40">
        <f t="shared" si="32"/>
        <v>1.7024330612399032</v>
      </c>
      <c r="W51" s="40">
        <f t="shared" si="32"/>
        <v>1.7535060530771003</v>
      </c>
      <c r="X51" s="40">
        <f t="shared" si="32"/>
        <v>1.8061112346694133</v>
      </c>
      <c r="Y51" s="40">
        <f t="shared" si="32"/>
        <v>1.8602945717094954</v>
      </c>
      <c r="Z51" s="40">
        <f t="shared" si="32"/>
        <v>1.9161034088607805</v>
      </c>
      <c r="AA51" s="40">
        <f t="shared" si="32"/>
        <v>1.973586511126604</v>
      </c>
      <c r="AB51" s="40">
        <f t="shared" si="32"/>
        <v>2.0327941064604018</v>
      </c>
      <c r="AC51" s="40">
        <f t="shared" si="32"/>
        <v>2.0937779296542138</v>
      </c>
      <c r="AD51" s="40">
        <f t="shared" si="32"/>
        <v>2.1565912675438406</v>
      </c>
      <c r="AE51" s="40">
        <f t="shared" si="32"/>
        <v>2.2212890055701555</v>
      </c>
      <c r="AF51" s="40">
        <f t="shared" si="32"/>
        <v>2.2879276757372602</v>
      </c>
      <c r="AG51" s="40">
        <f t="shared" si="32"/>
        <v>2.3565655060093778</v>
      </c>
      <c r="AH51" s="40">
        <f t="shared" si="32"/>
        <v>2.4272624711896591</v>
      </c>
      <c r="AI51" s="40">
        <f t="shared" si="32"/>
        <v>2.5000803453253493</v>
      </c>
      <c r="AJ51" s="40">
        <f t="shared" ref="AJ51:BB51" si="33">(1+$C$2)^AJ$168</f>
        <v>2.5750827556851092</v>
      </c>
      <c r="AK51" s="40">
        <f t="shared" si="33"/>
        <v>2.6523352383556626</v>
      </c>
      <c r="AL51" s="40">
        <f t="shared" si="33"/>
        <v>2.7319052955063321</v>
      </c>
      <c r="AM51" s="40">
        <f t="shared" si="33"/>
        <v>2.8138624543715225</v>
      </c>
      <c r="AN51" s="40">
        <f t="shared" si="33"/>
        <v>2.898278328002668</v>
      </c>
      <c r="AO51" s="40">
        <f t="shared" si="33"/>
        <v>2.9852266778427476</v>
      </c>
      <c r="AP51" s="40">
        <f t="shared" si="33"/>
        <v>3.0747834781780301</v>
      </c>
      <c r="AQ51" s="40">
        <f t="shared" si="33"/>
        <v>3.1670269825233714</v>
      </c>
      <c r="AR51" s="40">
        <f t="shared" si="33"/>
        <v>3.262037791999072</v>
      </c>
      <c r="AS51" s="40">
        <f t="shared" si="33"/>
        <v>3.3598989257590444</v>
      </c>
      <c r="AT51" s="40">
        <f t="shared" si="33"/>
        <v>3.4606958935318159</v>
      </c>
      <c r="AU51" s="40">
        <f t="shared" si="33"/>
        <v>3.5645167703377703</v>
      </c>
      <c r="AV51" s="40">
        <f t="shared" si="33"/>
        <v>3.6714522734479029</v>
      </c>
      <c r="AW51" s="40">
        <f t="shared" si="33"/>
        <v>3.78159584165134</v>
      </c>
      <c r="AX51" s="40">
        <f t="shared" si="33"/>
        <v>3.8950437169008802</v>
      </c>
      <c r="AY51" s="40">
        <f t="shared" si="33"/>
        <v>4.0118950284079071</v>
      </c>
      <c r="AZ51" s="40">
        <f t="shared" si="33"/>
        <v>4.1322518792601439</v>
      </c>
      <c r="BA51" s="40">
        <f t="shared" si="33"/>
        <v>4.2562194356379477</v>
      </c>
      <c r="BB51" s="40">
        <f t="shared" si="33"/>
        <v>4.3839060187070862</v>
      </c>
    </row>
    <row r="52" spans="1:54" x14ac:dyDescent="0.25">
      <c r="A52" s="177"/>
      <c r="B52" t="s">
        <v>360</v>
      </c>
      <c r="C52" s="72" t="s">
        <v>362</v>
      </c>
      <c r="D52">
        <f>D50/D51</f>
        <v>-10496.90625</v>
      </c>
      <c r="E52" s="18">
        <f>E50/E51</f>
        <v>471.62994838701741</v>
      </c>
      <c r="F52" s="18">
        <f>F50/F51</f>
        <v>467.05101684927934</v>
      </c>
      <c r="G52" s="18">
        <f t="shared" ref="G52:BB52" si="34">G50/G51</f>
        <v>462.51654095753872</v>
      </c>
      <c r="H52" s="18">
        <f t="shared" si="34"/>
        <v>458.02608910358208</v>
      </c>
      <c r="I52" s="18">
        <f t="shared" si="34"/>
        <v>453.57923386956679</v>
      </c>
      <c r="J52" s="18">
        <f t="shared" si="34"/>
        <v>449.17555198733794</v>
      </c>
      <c r="K52" s="18">
        <f t="shared" si="34"/>
        <v>444.81462429814047</v>
      </c>
      <c r="L52" s="18">
        <f t="shared" si="34"/>
        <v>440.49603571272166</v>
      </c>
      <c r="M52" s="18">
        <f t="shared" si="34"/>
        <v>436.21937517182147</v>
      </c>
      <c r="N52" s="18">
        <f t="shared" si="34"/>
        <v>-5657.302931790543</v>
      </c>
      <c r="O52" s="18">
        <f t="shared" si="34"/>
        <v>427.79021390212364</v>
      </c>
      <c r="P52" s="18">
        <f t="shared" si="34"/>
        <v>423.63691085453036</v>
      </c>
      <c r="Q52" s="18">
        <f t="shared" si="34"/>
        <v>419.52393113749605</v>
      </c>
      <c r="R52" s="18">
        <f t="shared" si="34"/>
        <v>415.4508832623747</v>
      </c>
      <c r="S52" s="18">
        <f t="shared" si="34"/>
        <v>411.41737954138063</v>
      </c>
      <c r="T52" s="18">
        <f t="shared" si="34"/>
        <v>407.42303605068781</v>
      </c>
      <c r="U52" s="18">
        <f t="shared" si="34"/>
        <v>403.46747259388502</v>
      </c>
      <c r="V52" s="18">
        <f t="shared" si="34"/>
        <v>399.55031266578897</v>
      </c>
      <c r="W52" s="18">
        <f t="shared" si="34"/>
        <v>395.6711834166066</v>
      </c>
      <c r="X52" s="18">
        <f t="shared" si="34"/>
        <v>-5131.4358631734576</v>
      </c>
      <c r="Y52" s="18">
        <f t="shared" si="34"/>
        <v>388.02554362016923</v>
      </c>
      <c r="Z52" s="18">
        <f t="shared" si="34"/>
        <v>384.25830533259477</v>
      </c>
      <c r="AA52" s="18">
        <f t="shared" si="34"/>
        <v>380.5276421740258</v>
      </c>
      <c r="AB52" s="18">
        <f t="shared" si="34"/>
        <v>376.83319904612273</v>
      </c>
      <c r="AC52" s="18">
        <f t="shared" si="34"/>
        <v>-1189.6493247606916</v>
      </c>
      <c r="AD52" s="18">
        <f t="shared" si="34"/>
        <v>369.55156969326612</v>
      </c>
      <c r="AE52" s="18">
        <f t="shared" si="34"/>
        <v>365.96369037585578</v>
      </c>
      <c r="AF52" s="18">
        <f t="shared" si="34"/>
        <v>362.41064483822618</v>
      </c>
      <c r="AG52" s="18">
        <f t="shared" si="34"/>
        <v>358.89209488834047</v>
      </c>
      <c r="AH52" s="18">
        <f t="shared" si="34"/>
        <v>-4654.4500684054301</v>
      </c>
      <c r="AI52" s="18">
        <f t="shared" si="34"/>
        <v>351.95714536886538</v>
      </c>
      <c r="AJ52" s="18">
        <f t="shared" si="34"/>
        <v>348.54008570509012</v>
      </c>
      <c r="AK52" s="18">
        <f t="shared" si="34"/>
        <v>345.15620137785629</v>
      </c>
      <c r="AL52" s="18">
        <f t="shared" si="34"/>
        <v>341.80517029651793</v>
      </c>
      <c r="AM52" s="18">
        <f t="shared" si="34"/>
        <v>338.48667349752253</v>
      </c>
      <c r="AN52" s="18">
        <f t="shared" si="34"/>
        <v>335.20039511405139</v>
      </c>
      <c r="AO52" s="18">
        <f t="shared" si="34"/>
        <v>331.94602234595391</v>
      </c>
      <c r="AP52" s="18">
        <f t="shared" si="34"/>
        <v>328.72324542997382</v>
      </c>
      <c r="AQ52" s="18">
        <f t="shared" si="34"/>
        <v>325.53175761026517</v>
      </c>
      <c r="AR52" s="18">
        <f t="shared" si="34"/>
        <v>-4221.8018536982363</v>
      </c>
      <c r="AS52" s="18">
        <f t="shared" si="34"/>
        <v>319.24143709842582</v>
      </c>
      <c r="AT52" s="18">
        <f t="shared" si="34"/>
        <v>316.14200567028576</v>
      </c>
      <c r="AU52" s="18">
        <f t="shared" si="34"/>
        <v>313.07266580940916</v>
      </c>
      <c r="AV52" s="18">
        <f t="shared" si="34"/>
        <v>310.03312536465774</v>
      </c>
      <c r="AW52" s="18">
        <f t="shared" si="34"/>
        <v>307.02309502131152</v>
      </c>
      <c r="AX52" s="18">
        <f t="shared" si="34"/>
        <v>304.04228827353182</v>
      </c>
      <c r="AY52" s="18">
        <f t="shared" si="34"/>
        <v>301.09042139708964</v>
      </c>
      <c r="AZ52" s="18">
        <f t="shared" si="34"/>
        <v>298.1672134223607</v>
      </c>
      <c r="BA52" s="18">
        <f t="shared" si="34"/>
        <v>295.27238610758053</v>
      </c>
      <c r="BB52" s="18">
        <f t="shared" si="34"/>
        <v>292.40566391236132</v>
      </c>
    </row>
    <row r="53" spans="1:54" x14ac:dyDescent="0.25">
      <c r="A53" s="177"/>
      <c r="B53" s="76" t="s">
        <v>645</v>
      </c>
      <c r="C53" s="77" t="s">
        <v>362</v>
      </c>
      <c r="D53" s="76">
        <f>D52</f>
        <v>-10496.90625</v>
      </c>
      <c r="E53" s="78">
        <f>E52+D53</f>
        <v>-10025.276301612983</v>
      </c>
      <c r="F53" s="78">
        <f t="shared" ref="F53:BB53" si="35">F52+E53</f>
        <v>-9558.2252847637028</v>
      </c>
      <c r="G53" s="78">
        <f t="shared" si="35"/>
        <v>-9095.7087438061644</v>
      </c>
      <c r="H53" s="78">
        <f t="shared" si="35"/>
        <v>-8637.682654702583</v>
      </c>
      <c r="I53" s="78">
        <f t="shared" si="35"/>
        <v>-8184.1034208330166</v>
      </c>
      <c r="J53" s="78">
        <f t="shared" si="35"/>
        <v>-7734.9278688456789</v>
      </c>
      <c r="K53" s="78">
        <f t="shared" si="35"/>
        <v>-7290.1132445475387</v>
      </c>
      <c r="L53" s="78">
        <f t="shared" si="35"/>
        <v>-6849.6172088348167</v>
      </c>
      <c r="M53" s="78">
        <f t="shared" si="35"/>
        <v>-6413.3978336629953</v>
      </c>
      <c r="N53" s="78">
        <f t="shared" si="35"/>
        <v>-12070.700765453537</v>
      </c>
      <c r="O53" s="78">
        <f t="shared" si="35"/>
        <v>-11642.910551551413</v>
      </c>
      <c r="P53" s="78">
        <f t="shared" si="35"/>
        <v>-11219.273640696883</v>
      </c>
      <c r="Q53" s="78">
        <f t="shared" si="35"/>
        <v>-10799.749709559388</v>
      </c>
      <c r="R53" s="78">
        <f t="shared" si="35"/>
        <v>-10384.298826297014</v>
      </c>
      <c r="S53" s="78">
        <f t="shared" si="35"/>
        <v>-9972.8814467556331</v>
      </c>
      <c r="T53" s="78">
        <f t="shared" si="35"/>
        <v>-9565.458410704945</v>
      </c>
      <c r="U53" s="78">
        <f t="shared" si="35"/>
        <v>-9161.9909381110592</v>
      </c>
      <c r="V53" s="78">
        <f t="shared" si="35"/>
        <v>-8762.4406254452697</v>
      </c>
      <c r="W53" s="78">
        <f t="shared" si="35"/>
        <v>-8366.7694420286625</v>
      </c>
      <c r="X53" s="78">
        <f t="shared" si="35"/>
        <v>-13498.20530520212</v>
      </c>
      <c r="Y53" s="78">
        <f t="shared" si="35"/>
        <v>-13110.179761581951</v>
      </c>
      <c r="Z53" s="78">
        <f t="shared" si="35"/>
        <v>-12725.921456249356</v>
      </c>
      <c r="AA53" s="78">
        <f t="shared" si="35"/>
        <v>-12345.393814075331</v>
      </c>
      <c r="AB53" s="78">
        <f t="shared" si="35"/>
        <v>-11968.560615029208</v>
      </c>
      <c r="AC53" s="78">
        <f t="shared" si="35"/>
        <v>-13158.2099397899</v>
      </c>
      <c r="AD53" s="78">
        <f t="shared" si="35"/>
        <v>-12788.658370096635</v>
      </c>
      <c r="AE53" s="78">
        <f t="shared" si="35"/>
        <v>-12422.694679720778</v>
      </c>
      <c r="AF53" s="78">
        <f t="shared" si="35"/>
        <v>-12060.284034882552</v>
      </c>
      <c r="AG53" s="78">
        <f t="shared" si="35"/>
        <v>-11701.391939994211</v>
      </c>
      <c r="AH53" s="78">
        <f t="shared" si="35"/>
        <v>-16355.842008399643</v>
      </c>
      <c r="AI53" s="78">
        <f t="shared" si="35"/>
        <v>-16003.884863030777</v>
      </c>
      <c r="AJ53" s="78">
        <f t="shared" si="35"/>
        <v>-15655.344777325687</v>
      </c>
      <c r="AK53" s="78">
        <f t="shared" si="35"/>
        <v>-15310.18857594783</v>
      </c>
      <c r="AL53" s="78">
        <f t="shared" si="35"/>
        <v>-14968.383405651311</v>
      </c>
      <c r="AM53" s="78">
        <f t="shared" si="35"/>
        <v>-14629.896732153789</v>
      </c>
      <c r="AN53" s="78">
        <f t="shared" si="35"/>
        <v>-14294.696337039739</v>
      </c>
      <c r="AO53" s="78">
        <f t="shared" si="35"/>
        <v>-13962.750314693785</v>
      </c>
      <c r="AP53" s="78">
        <f t="shared" si="35"/>
        <v>-13634.027069263811</v>
      </c>
      <c r="AQ53" s="78">
        <f t="shared" si="35"/>
        <v>-13308.495311653547</v>
      </c>
      <c r="AR53" s="78">
        <f t="shared" si="35"/>
        <v>-17530.297165351782</v>
      </c>
      <c r="AS53" s="78">
        <f t="shared" si="35"/>
        <v>-17211.055728253355</v>
      </c>
      <c r="AT53" s="78">
        <f t="shared" si="35"/>
        <v>-16894.913722583071</v>
      </c>
      <c r="AU53" s="78">
        <f t="shared" si="35"/>
        <v>-16581.841056773661</v>
      </c>
      <c r="AV53" s="78">
        <f t="shared" si="35"/>
        <v>-16271.807931409003</v>
      </c>
      <c r="AW53" s="78">
        <f t="shared" si="35"/>
        <v>-15964.784836387691</v>
      </c>
      <c r="AX53" s="78">
        <f t="shared" si="35"/>
        <v>-15660.74254811416</v>
      </c>
      <c r="AY53" s="78">
        <f t="shared" si="35"/>
        <v>-15359.65212671707</v>
      </c>
      <c r="AZ53" s="78">
        <f t="shared" si="35"/>
        <v>-15061.484913294709</v>
      </c>
      <c r="BA53" s="78">
        <f t="shared" si="35"/>
        <v>-14766.212527187128</v>
      </c>
      <c r="BB53" s="78">
        <f t="shared" si="35"/>
        <v>-14473.806863274767</v>
      </c>
    </row>
    <row r="54" spans="1:54" x14ac:dyDescent="0.25">
      <c r="A54" s="177"/>
      <c r="B54" s="22" t="s">
        <v>361</v>
      </c>
      <c r="C54" s="75" t="s">
        <v>362</v>
      </c>
      <c r="D54" s="93">
        <f>SUM(D52:BB52)</f>
        <v>-14473.806863274767</v>
      </c>
    </row>
    <row r="55" spans="1:54" x14ac:dyDescent="0.25">
      <c r="A55" s="177" t="s">
        <v>852</v>
      </c>
      <c r="B55" t="s">
        <v>363</v>
      </c>
      <c r="C55" s="72" t="s">
        <v>362</v>
      </c>
      <c r="D55">
        <f>-(PV!$B$56*PV!$E$60)/South_Facade_PV!$B$7</f>
        <v>-4533.875</v>
      </c>
      <c r="E55">
        <v>0</v>
      </c>
      <c r="F55">
        <v>0</v>
      </c>
      <c r="G55">
        <v>0</v>
      </c>
      <c r="H55">
        <v>0</v>
      </c>
      <c r="I55">
        <v>0</v>
      </c>
      <c r="J55">
        <v>0</v>
      </c>
      <c r="K55">
        <v>0</v>
      </c>
      <c r="L55">
        <v>0</v>
      </c>
      <c r="M55">
        <v>0</v>
      </c>
      <c r="N55">
        <f>-((PV!$B$79*PV!$B$56)/South_Facade_PV!$B$7)*(1+$C$1)^N$168</f>
        <v>-1652.0231409100822</v>
      </c>
      <c r="O55">
        <v>0</v>
      </c>
      <c r="P55">
        <v>0</v>
      </c>
      <c r="Q55">
        <v>0</v>
      </c>
      <c r="R55">
        <v>0</v>
      </c>
      <c r="S55">
        <v>0</v>
      </c>
      <c r="T55">
        <v>0</v>
      </c>
      <c r="U55">
        <v>0</v>
      </c>
      <c r="V55">
        <v>0</v>
      </c>
      <c r="W55">
        <v>0</v>
      </c>
      <c r="X55">
        <f>-((PV!$B$79*PV!$B$56)/South_Facade_PV!$B$7)*(1+$C$1)^X$168</f>
        <v>-2013.8069904716024</v>
      </c>
      <c r="Y55">
        <v>0</v>
      </c>
      <c r="Z55">
        <v>0</v>
      </c>
      <c r="AA55">
        <v>0</v>
      </c>
      <c r="AB55">
        <v>0</v>
      </c>
      <c r="AC55">
        <f>-(PV!$B$80*PV!$B$56/South_Facade_PV!$B$7)*(1+$C$1)^AC$168</f>
        <v>-3272.2062924743436</v>
      </c>
      <c r="AD55">
        <v>0</v>
      </c>
      <c r="AE55">
        <v>0</v>
      </c>
      <c r="AF55">
        <v>0</v>
      </c>
      <c r="AG55">
        <v>0</v>
      </c>
      <c r="AH55">
        <f>-((PV!$B$79*PV!$B$56)/South_Facade_PV!$B$7)*(1+$C$1)^AH$168</f>
        <v>-2454.8194843313181</v>
      </c>
      <c r="AI55">
        <v>0</v>
      </c>
      <c r="AJ55">
        <v>0</v>
      </c>
      <c r="AK55">
        <v>0</v>
      </c>
      <c r="AL55">
        <v>0</v>
      </c>
      <c r="AM55">
        <v>0</v>
      </c>
      <c r="AN55">
        <v>0</v>
      </c>
      <c r="AO55">
        <v>0</v>
      </c>
      <c r="AP55">
        <v>0</v>
      </c>
      <c r="AQ55">
        <v>0</v>
      </c>
      <c r="AR55">
        <f>-((PV!$B$79*PV!$B$56)/South_Facade_PV!$B$7)*(1+$C$1)^AR$168</f>
        <v>-2992.4112534942838</v>
      </c>
      <c r="AS55">
        <v>0</v>
      </c>
      <c r="AT55">
        <v>0</v>
      </c>
      <c r="AU55">
        <v>0</v>
      </c>
      <c r="AV55">
        <v>0</v>
      </c>
      <c r="AW55">
        <v>0</v>
      </c>
      <c r="AX55">
        <v>0</v>
      </c>
      <c r="AY55">
        <v>0</v>
      </c>
      <c r="AZ55">
        <v>0</v>
      </c>
      <c r="BA55">
        <v>0</v>
      </c>
      <c r="BB55">
        <v>0</v>
      </c>
    </row>
    <row r="56" spans="1:54" x14ac:dyDescent="0.25">
      <c r="A56" s="177"/>
      <c r="B56" t="s">
        <v>356</v>
      </c>
      <c r="C56" s="72" t="s">
        <v>362</v>
      </c>
      <c r="D56">
        <v>0</v>
      </c>
      <c r="E56" s="18">
        <f>ABS('Annual Calculations'!$Q$11)*(1+$C$3)^E$168</f>
        <v>485.77884683862794</v>
      </c>
      <c r="F56" s="18">
        <f>ABS('Annual Calculations'!$Q$11)*(1+$C$3)^F$168</f>
        <v>495.49442377540043</v>
      </c>
      <c r="G56" s="18">
        <f>ABS('Annual Calculations'!$Q$11)*(1+$C$3)^G$168</f>
        <v>505.40431225090845</v>
      </c>
      <c r="H56" s="18">
        <f>ABS('Annual Calculations'!$Q$11)*(1+$C$3)^H$168</f>
        <v>515.51239849592662</v>
      </c>
      <c r="I56" s="18">
        <f>ABS('Annual Calculations'!$Q$11)*(1+$C$3)^I$168</f>
        <v>525.8226464658452</v>
      </c>
      <c r="J56" s="18">
        <f>ABS('Annual Calculations'!$Q$11)*(1+$C$3)^J$168</f>
        <v>536.33909939516207</v>
      </c>
      <c r="K56" s="18">
        <f>ABS('Annual Calculations'!$Q$11)*(1+$C$3)^K$168</f>
        <v>547.06588138306529</v>
      </c>
      <c r="L56" s="18">
        <f>ABS('Annual Calculations'!$Q$11)*(1+$C$3)^L$168</f>
        <v>558.00719901072659</v>
      </c>
      <c r="M56" s="18">
        <f>ABS('Annual Calculations'!$Q$11)*(1+$C$3)^M$168</f>
        <v>569.16734299094117</v>
      </c>
      <c r="N56" s="18">
        <f>ABS('Annual Calculations'!$Q$11)*(1+$C$3)^N$168</f>
        <v>580.55068985076002</v>
      </c>
      <c r="O56" s="18">
        <f>ABS('Annual Calculations'!$Q$11)*(1+$C$3)^O$168</f>
        <v>592.16170364777508</v>
      </c>
      <c r="P56" s="18">
        <f>ABS('Annual Calculations'!$Q$11)*(1+$C$3)^P$168</f>
        <v>604.00493772073071</v>
      </c>
      <c r="Q56" s="18">
        <f>ABS('Annual Calculations'!$Q$11)*(1+$C$3)^Q$168</f>
        <v>616.08503647514522</v>
      </c>
      <c r="R56" s="18">
        <f>ABS('Annual Calculations'!$Q$11)*(1+$C$3)^R$168</f>
        <v>628.40673720464815</v>
      </c>
      <c r="S56" s="18">
        <f>ABS('Annual Calculations'!$Q$11)*(1+$C$3)^S$168</f>
        <v>640.974871948741</v>
      </c>
      <c r="T56" s="18">
        <f>ABS('Annual Calculations'!$Q$11)*(1+$C$3)^T$168</f>
        <v>653.79436938771596</v>
      </c>
      <c r="U56" s="18">
        <f>ABS('Annual Calculations'!$Q$11)*(1+$C$3)^U$168</f>
        <v>666.87025677547035</v>
      </c>
      <c r="V56" s="18">
        <f>ABS('Annual Calculations'!$Q$11)*(1+$C$3)^V$168</f>
        <v>680.2076619109796</v>
      </c>
      <c r="W56" s="18">
        <f>ABS('Annual Calculations'!$Q$11)*(1+$C$3)^W$168</f>
        <v>693.81181514919922</v>
      </c>
      <c r="X56" s="18">
        <f>ABS('Annual Calculations'!$Q$11)*(1+$C$3)^X$168</f>
        <v>707.68805145218323</v>
      </c>
      <c r="Y56" s="18">
        <f>ABS('Annual Calculations'!$Q$11)*(1+$C$3)^Y$168</f>
        <v>721.84181248122684</v>
      </c>
      <c r="Z56" s="18">
        <f>ABS('Annual Calculations'!$Q$11)*(1+$C$3)^Z$168</f>
        <v>736.2786487308515</v>
      </c>
      <c r="AA56" s="18">
        <f>ABS('Annual Calculations'!$Q$11)*(1+$C$3)^AA$168</f>
        <v>751.00422170546835</v>
      </c>
      <c r="AB56" s="18">
        <f>ABS('Annual Calculations'!$Q$11)*(1+$C$3)^AB$168</f>
        <v>766.02430613957779</v>
      </c>
      <c r="AC56" s="18">
        <f>ABS('Annual Calculations'!$Q$11)*(1+$C$3)^AC$168</f>
        <v>781.34479226236931</v>
      </c>
      <c r="AD56" s="18">
        <f>ABS('Annual Calculations'!$Q$11)*(1+$C$3)^AD$168</f>
        <v>796.97168810761673</v>
      </c>
      <c r="AE56" s="18">
        <f>ABS('Annual Calculations'!$Q$11)*(1+$C$3)^AE$168</f>
        <v>812.91112186976898</v>
      </c>
      <c r="AF56" s="18">
        <f>ABS('Annual Calculations'!$Q$11)*(1+$C$3)^AF$168</f>
        <v>829.16934430716447</v>
      </c>
      <c r="AG56" s="18">
        <f>ABS('Annual Calculations'!$Q$11)*(1+$C$3)^AG$168</f>
        <v>845.75273119330768</v>
      </c>
      <c r="AH56" s="18">
        <f>ABS('Annual Calculations'!$Q$11)*(1+$C$3)^AH$168</f>
        <v>862.66778581717392</v>
      </c>
      <c r="AI56" s="18">
        <f>ABS('Annual Calculations'!$Q$11)*(1+$C$3)^AI$168</f>
        <v>879.92114153351713</v>
      </c>
      <c r="AJ56" s="18">
        <f>ABS('Annual Calculations'!$Q$11)*(1+$C$3)^AJ$168</f>
        <v>897.51956436418766</v>
      </c>
      <c r="AK56" s="18">
        <f>ABS('Annual Calculations'!$Q$11)*(1+$C$3)^AK$168</f>
        <v>915.46995565147154</v>
      </c>
      <c r="AL56" s="18">
        <f>ABS('Annual Calculations'!$Q$11)*(1+$C$3)^AL$168</f>
        <v>933.77935476450091</v>
      </c>
      <c r="AM56" s="18">
        <f>ABS('Annual Calculations'!$Q$11)*(1+$C$3)^AM$168</f>
        <v>952.45494185979089</v>
      </c>
      <c r="AN56" s="18">
        <f>ABS('Annual Calculations'!$Q$11)*(1+$C$3)^AN$168</f>
        <v>971.50404069698664</v>
      </c>
      <c r="AO56" s="18">
        <f>ABS('Annual Calculations'!$Q$11)*(1+$C$3)^AO$168</f>
        <v>990.9341215109265</v>
      </c>
      <c r="AP56" s="18">
        <f>ABS('Annual Calculations'!$Q$11)*(1+$C$3)^AP$168</f>
        <v>1010.7528039411451</v>
      </c>
      <c r="AQ56" s="18">
        <f>ABS('Annual Calculations'!$Q$11)*(1+$C$3)^AQ$168</f>
        <v>1030.9678600199677</v>
      </c>
      <c r="AR56" s="18">
        <f>ABS('Annual Calculations'!$Q$11)*(1+$C$3)^AR$168</f>
        <v>1051.5872172203672</v>
      </c>
      <c r="AS56" s="18">
        <f>ABS('Annual Calculations'!$Q$11)*(1+$C$3)^AS$168</f>
        <v>1072.6189615647745</v>
      </c>
      <c r="AT56" s="18">
        <f>ABS('Annual Calculations'!$Q$11)*(1+$C$3)^AT$168</f>
        <v>1094.07134079607</v>
      </c>
      <c r="AU56" s="18">
        <f>ABS('Annual Calculations'!$Q$11)*(1+$C$3)^AU$168</f>
        <v>1115.9527676119912</v>
      </c>
      <c r="AV56" s="18">
        <f>ABS('Annual Calculations'!$Q$11)*(1+$C$3)^AV$168</f>
        <v>1138.2718229642314</v>
      </c>
      <c r="AW56" s="18">
        <f>ABS('Annual Calculations'!$Q$11)*(1+$C$3)^AW$168</f>
        <v>1161.0372594235159</v>
      </c>
      <c r="AX56" s="18">
        <f>ABS('Annual Calculations'!$Q$11)*(1+$C$3)^AX$168</f>
        <v>1184.2580046119863</v>
      </c>
      <c r="AY56" s="18">
        <f>ABS('Annual Calculations'!$Q$11)*(1+$C$3)^AY$168</f>
        <v>1207.9431647042256</v>
      </c>
      <c r="AZ56" s="18">
        <f>ABS('Annual Calculations'!$Q$11)*(1+$C$3)^AZ$168</f>
        <v>1232.1020279983104</v>
      </c>
      <c r="BA56" s="18">
        <f>ABS('Annual Calculations'!$Q$11)*(1+$C$3)^BA$168</f>
        <v>1256.7440685582767</v>
      </c>
      <c r="BB56" s="18">
        <f>ABS('Annual Calculations'!$Q$11)*(1+$C$3)^BB$168</f>
        <v>1281.8789499294421</v>
      </c>
    </row>
    <row r="57" spans="1:54" x14ac:dyDescent="0.25">
      <c r="A57" s="177"/>
      <c r="B57" t="s">
        <v>357</v>
      </c>
      <c r="C57" s="72" t="s">
        <v>362</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row>
    <row r="58" spans="1:54" x14ac:dyDescent="0.25">
      <c r="A58" s="177"/>
      <c r="B58" t="s">
        <v>358</v>
      </c>
      <c r="C58" s="72" t="s">
        <v>362</v>
      </c>
      <c r="D58">
        <f>SUM(D55:D57)</f>
        <v>-4533.875</v>
      </c>
      <c r="E58" s="18">
        <f t="shared" ref="E58:BB58" si="36">SUM(E55:E57)</f>
        <v>485.77884683862794</v>
      </c>
      <c r="F58" s="18">
        <f t="shared" si="36"/>
        <v>495.49442377540043</v>
      </c>
      <c r="G58" s="18">
        <f t="shared" si="36"/>
        <v>505.40431225090845</v>
      </c>
      <c r="H58" s="18">
        <f t="shared" si="36"/>
        <v>515.51239849592662</v>
      </c>
      <c r="I58" s="18">
        <f t="shared" si="36"/>
        <v>525.8226464658452</v>
      </c>
      <c r="J58" s="18">
        <f t="shared" si="36"/>
        <v>536.33909939516207</v>
      </c>
      <c r="K58" s="18">
        <f t="shared" si="36"/>
        <v>547.06588138306529</v>
      </c>
      <c r="L58" s="18">
        <f t="shared" si="36"/>
        <v>558.00719901072659</v>
      </c>
      <c r="M58" s="18">
        <f t="shared" si="36"/>
        <v>569.16734299094117</v>
      </c>
      <c r="N58" s="18">
        <f t="shared" si="36"/>
        <v>-1071.4724510593223</v>
      </c>
      <c r="O58" s="18">
        <f t="shared" si="36"/>
        <v>592.16170364777508</v>
      </c>
      <c r="P58" s="18">
        <f t="shared" si="36"/>
        <v>604.00493772073071</v>
      </c>
      <c r="Q58" s="18">
        <f t="shared" si="36"/>
        <v>616.08503647514522</v>
      </c>
      <c r="R58" s="18">
        <f t="shared" si="36"/>
        <v>628.40673720464815</v>
      </c>
      <c r="S58" s="18">
        <f t="shared" si="36"/>
        <v>640.974871948741</v>
      </c>
      <c r="T58" s="18">
        <f t="shared" si="36"/>
        <v>653.79436938771596</v>
      </c>
      <c r="U58" s="18">
        <f t="shared" si="36"/>
        <v>666.87025677547035</v>
      </c>
      <c r="V58" s="18">
        <f t="shared" si="36"/>
        <v>680.2076619109796</v>
      </c>
      <c r="W58" s="18">
        <f t="shared" si="36"/>
        <v>693.81181514919922</v>
      </c>
      <c r="X58" s="18">
        <f t="shared" si="36"/>
        <v>-1306.118939019419</v>
      </c>
      <c r="Y58" s="18">
        <f t="shared" si="36"/>
        <v>721.84181248122684</v>
      </c>
      <c r="Z58" s="18">
        <f t="shared" si="36"/>
        <v>736.2786487308515</v>
      </c>
      <c r="AA58" s="18">
        <f t="shared" si="36"/>
        <v>751.00422170546835</v>
      </c>
      <c r="AB58" s="18">
        <f t="shared" si="36"/>
        <v>766.02430613957779</v>
      </c>
      <c r="AC58" s="18">
        <f t="shared" si="36"/>
        <v>-2490.8615002119741</v>
      </c>
      <c r="AD58" s="18">
        <f t="shared" si="36"/>
        <v>796.97168810761673</v>
      </c>
      <c r="AE58" s="18">
        <f t="shared" si="36"/>
        <v>812.91112186976898</v>
      </c>
      <c r="AF58" s="18">
        <f t="shared" si="36"/>
        <v>829.16934430716447</v>
      </c>
      <c r="AG58" s="18">
        <f t="shared" si="36"/>
        <v>845.75273119330768</v>
      </c>
      <c r="AH58" s="18">
        <f t="shared" si="36"/>
        <v>-1592.1516985141443</v>
      </c>
      <c r="AI58" s="18">
        <f t="shared" si="36"/>
        <v>879.92114153351713</v>
      </c>
      <c r="AJ58" s="18">
        <f t="shared" si="36"/>
        <v>897.51956436418766</v>
      </c>
      <c r="AK58" s="18">
        <f t="shared" si="36"/>
        <v>915.46995565147154</v>
      </c>
      <c r="AL58" s="18">
        <f t="shared" si="36"/>
        <v>933.77935476450091</v>
      </c>
      <c r="AM58" s="18">
        <f t="shared" si="36"/>
        <v>952.45494185979089</v>
      </c>
      <c r="AN58" s="18">
        <f t="shared" si="36"/>
        <v>971.50404069698664</v>
      </c>
      <c r="AO58" s="18">
        <f t="shared" si="36"/>
        <v>990.9341215109265</v>
      </c>
      <c r="AP58" s="18">
        <f t="shared" si="36"/>
        <v>1010.7528039411451</v>
      </c>
      <c r="AQ58" s="18">
        <f t="shared" si="36"/>
        <v>1030.9678600199677</v>
      </c>
      <c r="AR58" s="18">
        <f t="shared" si="36"/>
        <v>-1940.8240362739166</v>
      </c>
      <c r="AS58" s="18">
        <f t="shared" si="36"/>
        <v>1072.6189615647745</v>
      </c>
      <c r="AT58" s="18">
        <f t="shared" si="36"/>
        <v>1094.07134079607</v>
      </c>
      <c r="AU58" s="18">
        <f t="shared" si="36"/>
        <v>1115.9527676119912</v>
      </c>
      <c r="AV58" s="18">
        <f t="shared" si="36"/>
        <v>1138.2718229642314</v>
      </c>
      <c r="AW58" s="18">
        <f t="shared" si="36"/>
        <v>1161.0372594235159</v>
      </c>
      <c r="AX58" s="18">
        <f t="shared" si="36"/>
        <v>1184.2580046119863</v>
      </c>
      <c r="AY58" s="18">
        <f t="shared" si="36"/>
        <v>1207.9431647042256</v>
      </c>
      <c r="AZ58" s="18">
        <f t="shared" si="36"/>
        <v>1232.1020279983104</v>
      </c>
      <c r="BA58" s="18">
        <f t="shared" si="36"/>
        <v>1256.7440685582767</v>
      </c>
      <c r="BB58" s="18">
        <f t="shared" si="36"/>
        <v>1281.8789499294421</v>
      </c>
    </row>
    <row r="59" spans="1:54" x14ac:dyDescent="0.25">
      <c r="A59" s="177"/>
      <c r="B59" t="s">
        <v>359</v>
      </c>
      <c r="C59" s="72"/>
      <c r="D59">
        <f t="shared" ref="D59:AI59" si="37">(1+$C$2)^D$168</f>
        <v>1</v>
      </c>
      <c r="E59" s="40">
        <f t="shared" si="37"/>
        <v>1.03</v>
      </c>
      <c r="F59" s="40">
        <f t="shared" si="37"/>
        <v>1.0609</v>
      </c>
      <c r="G59" s="40">
        <f t="shared" si="37"/>
        <v>1.092727</v>
      </c>
      <c r="H59" s="40">
        <f t="shared" si="37"/>
        <v>1.1255088099999999</v>
      </c>
      <c r="I59" s="40">
        <f t="shared" si="37"/>
        <v>1.1592740742999998</v>
      </c>
      <c r="J59" s="40">
        <f t="shared" si="37"/>
        <v>1.1940522965289999</v>
      </c>
      <c r="K59" s="40">
        <f t="shared" si="37"/>
        <v>1.22987386542487</v>
      </c>
      <c r="L59" s="40">
        <f t="shared" si="37"/>
        <v>1.2667700813876159</v>
      </c>
      <c r="M59" s="40">
        <f t="shared" si="37"/>
        <v>1.3047731838292445</v>
      </c>
      <c r="N59" s="40">
        <f t="shared" si="37"/>
        <v>1.3439163793441218</v>
      </c>
      <c r="O59" s="40">
        <f t="shared" si="37"/>
        <v>1.3842338707244455</v>
      </c>
      <c r="P59" s="40">
        <f t="shared" si="37"/>
        <v>1.4257608868461786</v>
      </c>
      <c r="Q59" s="40">
        <f t="shared" si="37"/>
        <v>1.4685337134515639</v>
      </c>
      <c r="R59" s="40">
        <f t="shared" si="37"/>
        <v>1.512589724855111</v>
      </c>
      <c r="S59" s="40">
        <f t="shared" si="37"/>
        <v>1.5579674166007644</v>
      </c>
      <c r="T59" s="40">
        <f t="shared" si="37"/>
        <v>1.6047064390987871</v>
      </c>
      <c r="U59" s="40">
        <f t="shared" si="37"/>
        <v>1.6528476322717507</v>
      </c>
      <c r="V59" s="40">
        <f t="shared" si="37"/>
        <v>1.7024330612399032</v>
      </c>
      <c r="W59" s="40">
        <f t="shared" si="37"/>
        <v>1.7535060530771003</v>
      </c>
      <c r="X59" s="40">
        <f t="shared" si="37"/>
        <v>1.8061112346694133</v>
      </c>
      <c r="Y59" s="40">
        <f t="shared" si="37"/>
        <v>1.8602945717094954</v>
      </c>
      <c r="Z59" s="40">
        <f t="shared" si="37"/>
        <v>1.9161034088607805</v>
      </c>
      <c r="AA59" s="40">
        <f t="shared" si="37"/>
        <v>1.973586511126604</v>
      </c>
      <c r="AB59" s="40">
        <f t="shared" si="37"/>
        <v>2.0327941064604018</v>
      </c>
      <c r="AC59" s="40">
        <f t="shared" si="37"/>
        <v>2.0937779296542138</v>
      </c>
      <c r="AD59" s="40">
        <f t="shared" si="37"/>
        <v>2.1565912675438406</v>
      </c>
      <c r="AE59" s="40">
        <f t="shared" si="37"/>
        <v>2.2212890055701555</v>
      </c>
      <c r="AF59" s="40">
        <f t="shared" si="37"/>
        <v>2.2879276757372602</v>
      </c>
      <c r="AG59" s="40">
        <f t="shared" si="37"/>
        <v>2.3565655060093778</v>
      </c>
      <c r="AH59" s="40">
        <f t="shared" si="37"/>
        <v>2.4272624711896591</v>
      </c>
      <c r="AI59" s="40">
        <f t="shared" si="37"/>
        <v>2.5000803453253493</v>
      </c>
      <c r="AJ59" s="40">
        <f t="shared" ref="AJ59:BB59" si="38">(1+$C$2)^AJ$168</f>
        <v>2.5750827556851092</v>
      </c>
      <c r="AK59" s="40">
        <f t="shared" si="38"/>
        <v>2.6523352383556626</v>
      </c>
      <c r="AL59" s="40">
        <f t="shared" si="38"/>
        <v>2.7319052955063321</v>
      </c>
      <c r="AM59" s="40">
        <f t="shared" si="38"/>
        <v>2.8138624543715225</v>
      </c>
      <c r="AN59" s="40">
        <f t="shared" si="38"/>
        <v>2.898278328002668</v>
      </c>
      <c r="AO59" s="40">
        <f t="shared" si="38"/>
        <v>2.9852266778427476</v>
      </c>
      <c r="AP59" s="40">
        <f t="shared" si="38"/>
        <v>3.0747834781780301</v>
      </c>
      <c r="AQ59" s="40">
        <f t="shared" si="38"/>
        <v>3.1670269825233714</v>
      </c>
      <c r="AR59" s="40">
        <f t="shared" si="38"/>
        <v>3.262037791999072</v>
      </c>
      <c r="AS59" s="40">
        <f t="shared" si="38"/>
        <v>3.3598989257590444</v>
      </c>
      <c r="AT59" s="40">
        <f t="shared" si="38"/>
        <v>3.4606958935318159</v>
      </c>
      <c r="AU59" s="40">
        <f t="shared" si="38"/>
        <v>3.5645167703377703</v>
      </c>
      <c r="AV59" s="40">
        <f t="shared" si="38"/>
        <v>3.6714522734479029</v>
      </c>
      <c r="AW59" s="40">
        <f t="shared" si="38"/>
        <v>3.78159584165134</v>
      </c>
      <c r="AX59" s="40">
        <f t="shared" si="38"/>
        <v>3.8950437169008802</v>
      </c>
      <c r="AY59" s="40">
        <f t="shared" si="38"/>
        <v>4.0118950284079071</v>
      </c>
      <c r="AZ59" s="40">
        <f t="shared" si="38"/>
        <v>4.1322518792601439</v>
      </c>
      <c r="BA59" s="40">
        <f t="shared" si="38"/>
        <v>4.2562194356379477</v>
      </c>
      <c r="BB59" s="40">
        <f t="shared" si="38"/>
        <v>4.3839060187070862</v>
      </c>
    </row>
    <row r="60" spans="1:54" x14ac:dyDescent="0.25">
      <c r="A60" s="177"/>
      <c r="B60" t="s">
        <v>360</v>
      </c>
      <c r="C60" s="72" t="s">
        <v>362</v>
      </c>
      <c r="D60">
        <f>D58/D59</f>
        <v>-4533.875</v>
      </c>
      <c r="E60" s="18">
        <f>E58/E59</f>
        <v>471.62994838701741</v>
      </c>
      <c r="F60" s="18">
        <f>F58/F59</f>
        <v>467.05101684927934</v>
      </c>
      <c r="G60" s="18">
        <f t="shared" ref="G60:BB60" si="39">G58/G59</f>
        <v>462.51654095753872</v>
      </c>
      <c r="H60" s="18">
        <f t="shared" si="39"/>
        <v>458.02608910358208</v>
      </c>
      <c r="I60" s="18">
        <f t="shared" si="39"/>
        <v>453.57923386956679</v>
      </c>
      <c r="J60" s="18">
        <f t="shared" si="39"/>
        <v>449.17555198733794</v>
      </c>
      <c r="K60" s="18">
        <f t="shared" si="39"/>
        <v>444.81462429814047</v>
      </c>
      <c r="L60" s="18">
        <f t="shared" si="39"/>
        <v>440.49603571272166</v>
      </c>
      <c r="M60" s="18">
        <f t="shared" si="39"/>
        <v>436.21937517182147</v>
      </c>
      <c r="N60" s="18">
        <f t="shared" si="39"/>
        <v>-797.27613081272091</v>
      </c>
      <c r="O60" s="18">
        <f t="shared" si="39"/>
        <v>427.79021390212364</v>
      </c>
      <c r="P60" s="18">
        <f t="shared" si="39"/>
        <v>423.63691085453036</v>
      </c>
      <c r="Q60" s="18">
        <f t="shared" si="39"/>
        <v>419.52393113749605</v>
      </c>
      <c r="R60" s="18">
        <f t="shared" si="39"/>
        <v>415.4508832623747</v>
      </c>
      <c r="S60" s="18">
        <f t="shared" si="39"/>
        <v>411.41737954138063</v>
      </c>
      <c r="T60" s="18">
        <f t="shared" si="39"/>
        <v>407.42303605068781</v>
      </c>
      <c r="U60" s="18">
        <f t="shared" si="39"/>
        <v>403.46747259388502</v>
      </c>
      <c r="V60" s="18">
        <f t="shared" si="39"/>
        <v>399.55031266578897</v>
      </c>
      <c r="W60" s="18">
        <f t="shared" si="39"/>
        <v>395.6711834166066</v>
      </c>
      <c r="X60" s="18">
        <f t="shared" si="39"/>
        <v>-723.16638861863248</v>
      </c>
      <c r="Y60" s="18">
        <f t="shared" si="39"/>
        <v>388.02554362016923</v>
      </c>
      <c r="Z60" s="18">
        <f t="shared" si="39"/>
        <v>384.25830533259477</v>
      </c>
      <c r="AA60" s="18">
        <f t="shared" si="39"/>
        <v>380.5276421740258</v>
      </c>
      <c r="AB60" s="18">
        <f t="shared" si="39"/>
        <v>376.83319904612273</v>
      </c>
      <c r="AC60" s="18">
        <f t="shared" si="39"/>
        <v>-1189.6493247606916</v>
      </c>
      <c r="AD60" s="18">
        <f t="shared" si="39"/>
        <v>369.55156969326612</v>
      </c>
      <c r="AE60" s="18">
        <f t="shared" si="39"/>
        <v>365.96369037585578</v>
      </c>
      <c r="AF60" s="18">
        <f t="shared" si="39"/>
        <v>362.41064483822618</v>
      </c>
      <c r="AG60" s="18">
        <f t="shared" si="39"/>
        <v>358.89209488834047</v>
      </c>
      <c r="AH60" s="18">
        <f t="shared" si="39"/>
        <v>-655.94541892858945</v>
      </c>
      <c r="AI60" s="18">
        <f t="shared" si="39"/>
        <v>351.95714536886538</v>
      </c>
      <c r="AJ60" s="18">
        <f t="shared" si="39"/>
        <v>348.54008570509012</v>
      </c>
      <c r="AK60" s="18">
        <f t="shared" si="39"/>
        <v>345.15620137785629</v>
      </c>
      <c r="AL60" s="18">
        <f t="shared" si="39"/>
        <v>341.80517029651793</v>
      </c>
      <c r="AM60" s="18">
        <f t="shared" si="39"/>
        <v>338.48667349752253</v>
      </c>
      <c r="AN60" s="18">
        <f t="shared" si="39"/>
        <v>335.20039511405139</v>
      </c>
      <c r="AO60" s="18">
        <f t="shared" si="39"/>
        <v>331.94602234595391</v>
      </c>
      <c r="AP60" s="18">
        <f t="shared" si="39"/>
        <v>328.72324542997382</v>
      </c>
      <c r="AQ60" s="18">
        <f t="shared" si="39"/>
        <v>325.53175761026517</v>
      </c>
      <c r="AR60" s="18">
        <f t="shared" si="39"/>
        <v>-594.9728850580002</v>
      </c>
      <c r="AS60" s="18">
        <f t="shared" si="39"/>
        <v>319.24143709842582</v>
      </c>
      <c r="AT60" s="18">
        <f t="shared" si="39"/>
        <v>316.14200567028576</v>
      </c>
      <c r="AU60" s="18">
        <f t="shared" si="39"/>
        <v>313.07266580940916</v>
      </c>
      <c r="AV60" s="18">
        <f t="shared" si="39"/>
        <v>310.03312536465774</v>
      </c>
      <c r="AW60" s="18">
        <f t="shared" si="39"/>
        <v>307.02309502131152</v>
      </c>
      <c r="AX60" s="18">
        <f t="shared" si="39"/>
        <v>304.04228827353182</v>
      </c>
      <c r="AY60" s="18">
        <f t="shared" si="39"/>
        <v>301.09042139708964</v>
      </c>
      <c r="AZ60" s="18">
        <f t="shared" si="39"/>
        <v>298.1672134223607</v>
      </c>
      <c r="BA60" s="18">
        <f t="shared" si="39"/>
        <v>295.27238610758053</v>
      </c>
      <c r="BB60" s="18">
        <f t="shared" si="39"/>
        <v>292.40566391236132</v>
      </c>
    </row>
    <row r="61" spans="1:54" x14ac:dyDescent="0.25">
      <c r="A61" s="177"/>
      <c r="B61" s="76" t="s">
        <v>645</v>
      </c>
      <c r="C61" s="77" t="s">
        <v>362</v>
      </c>
      <c r="D61" s="76">
        <f>D60</f>
        <v>-4533.875</v>
      </c>
      <c r="E61" s="78">
        <f>E60+D61</f>
        <v>-4062.2450516129825</v>
      </c>
      <c r="F61" s="78">
        <f t="shared" ref="F61" si="40">F60+E61</f>
        <v>-3595.1940347637033</v>
      </c>
      <c r="G61" s="78">
        <f t="shared" ref="G61" si="41">G60+F61</f>
        <v>-3132.6774938061644</v>
      </c>
      <c r="H61" s="78">
        <f t="shared" ref="H61" si="42">H60+G61</f>
        <v>-2674.6514047025821</v>
      </c>
      <c r="I61" s="78">
        <f t="shared" ref="I61" si="43">I60+H61</f>
        <v>-2221.0721708330152</v>
      </c>
      <c r="J61" s="78">
        <f t="shared" ref="J61" si="44">J60+I61</f>
        <v>-1771.8966188456773</v>
      </c>
      <c r="K61" s="78">
        <f t="shared" ref="K61" si="45">K60+J61</f>
        <v>-1327.0819945475369</v>
      </c>
      <c r="L61" s="78">
        <f t="shared" ref="L61" si="46">L60+K61</f>
        <v>-886.58595883481519</v>
      </c>
      <c r="M61" s="78">
        <f t="shared" ref="M61" si="47">M60+L61</f>
        <v>-450.36658366299372</v>
      </c>
      <c r="N61" s="78">
        <f t="shared" ref="N61" si="48">N60+M61</f>
        <v>-1247.6427144757147</v>
      </c>
      <c r="O61" s="78">
        <f t="shared" ref="O61" si="49">O60+N61</f>
        <v>-819.85250057359099</v>
      </c>
      <c r="P61" s="78">
        <f t="shared" ref="P61" si="50">P60+O61</f>
        <v>-396.21558971906063</v>
      </c>
      <c r="Q61" s="78">
        <f t="shared" ref="Q61" si="51">Q60+P61</f>
        <v>23.308341418435418</v>
      </c>
      <c r="R61" s="78">
        <f t="shared" ref="R61" si="52">R60+Q61</f>
        <v>438.75922468081012</v>
      </c>
      <c r="S61" s="78">
        <f t="shared" ref="S61" si="53">S60+R61</f>
        <v>850.17660422219069</v>
      </c>
      <c r="T61" s="78">
        <f t="shared" ref="T61" si="54">T60+S61</f>
        <v>1257.5996402728786</v>
      </c>
      <c r="U61" s="78">
        <f t="shared" ref="U61" si="55">U60+T61</f>
        <v>1661.0671128667636</v>
      </c>
      <c r="V61" s="78">
        <f t="shared" ref="V61" si="56">V60+U61</f>
        <v>2060.6174255325527</v>
      </c>
      <c r="W61" s="78">
        <f t="shared" ref="W61" si="57">W60+V61</f>
        <v>2456.2886089491594</v>
      </c>
      <c r="X61" s="78">
        <f t="shared" ref="X61" si="58">X60+W61</f>
        <v>1733.1222203305269</v>
      </c>
      <c r="Y61" s="78">
        <f t="shared" ref="Y61" si="59">Y60+X61</f>
        <v>2121.1477639506961</v>
      </c>
      <c r="Z61" s="78">
        <f t="shared" ref="Z61" si="60">Z60+Y61</f>
        <v>2505.4060692832909</v>
      </c>
      <c r="AA61" s="78">
        <f t="shared" ref="AA61" si="61">AA60+Z61</f>
        <v>2885.9337114573168</v>
      </c>
      <c r="AB61" s="78">
        <f t="shared" ref="AB61" si="62">AB60+AA61</f>
        <v>3262.7669105034397</v>
      </c>
      <c r="AC61" s="78">
        <f t="shared" ref="AC61" si="63">AC60+AB61</f>
        <v>2073.1175857427479</v>
      </c>
      <c r="AD61" s="78">
        <f t="shared" ref="AD61" si="64">AD60+AC61</f>
        <v>2442.6691554360141</v>
      </c>
      <c r="AE61" s="78">
        <f t="shared" ref="AE61" si="65">AE60+AD61</f>
        <v>2808.6328458118696</v>
      </c>
      <c r="AF61" s="78">
        <f t="shared" ref="AF61" si="66">AF60+AE61</f>
        <v>3171.0434906500959</v>
      </c>
      <c r="AG61" s="78">
        <f t="shared" ref="AG61" si="67">AG60+AF61</f>
        <v>3529.9355855384365</v>
      </c>
      <c r="AH61" s="78">
        <f t="shared" ref="AH61" si="68">AH60+AG61</f>
        <v>2873.9901666098472</v>
      </c>
      <c r="AI61" s="78">
        <f t="shared" ref="AI61" si="69">AI60+AH61</f>
        <v>3225.9473119787126</v>
      </c>
      <c r="AJ61" s="78">
        <f t="shared" ref="AJ61" si="70">AJ60+AI61</f>
        <v>3574.4873976838026</v>
      </c>
      <c r="AK61" s="78">
        <f t="shared" ref="AK61" si="71">AK60+AJ61</f>
        <v>3919.6435990616587</v>
      </c>
      <c r="AL61" s="78">
        <f t="shared" ref="AL61" si="72">AL60+AK61</f>
        <v>4261.4487693581768</v>
      </c>
      <c r="AM61" s="78">
        <f t="shared" ref="AM61" si="73">AM60+AL61</f>
        <v>4599.935442855699</v>
      </c>
      <c r="AN61" s="78">
        <f t="shared" ref="AN61" si="74">AN60+AM61</f>
        <v>4935.1358379697504</v>
      </c>
      <c r="AO61" s="78">
        <f t="shared" ref="AO61" si="75">AO60+AN61</f>
        <v>5267.081860315704</v>
      </c>
      <c r="AP61" s="78">
        <f t="shared" ref="AP61" si="76">AP60+AO61</f>
        <v>5595.8051057456778</v>
      </c>
      <c r="AQ61" s="78">
        <f t="shared" ref="AQ61" si="77">AQ60+AP61</f>
        <v>5921.336863355943</v>
      </c>
      <c r="AR61" s="78">
        <f t="shared" ref="AR61" si="78">AR60+AQ61</f>
        <v>5326.3639782979426</v>
      </c>
      <c r="AS61" s="78">
        <f t="shared" ref="AS61" si="79">AS60+AR61</f>
        <v>5645.6054153963687</v>
      </c>
      <c r="AT61" s="78">
        <f t="shared" ref="AT61" si="80">AT60+AS61</f>
        <v>5961.7474210666542</v>
      </c>
      <c r="AU61" s="78">
        <f t="shared" ref="AU61" si="81">AU60+AT61</f>
        <v>6274.8200868760632</v>
      </c>
      <c r="AV61" s="78">
        <f t="shared" ref="AV61" si="82">AV60+AU61</f>
        <v>6584.8532122407214</v>
      </c>
      <c r="AW61" s="78">
        <f t="shared" ref="AW61" si="83">AW60+AV61</f>
        <v>6891.8763072620332</v>
      </c>
      <c r="AX61" s="78">
        <f t="shared" ref="AX61" si="84">AX60+AW61</f>
        <v>7195.9185955355651</v>
      </c>
      <c r="AY61" s="78">
        <f t="shared" ref="AY61" si="85">AY60+AX61</f>
        <v>7497.009016932655</v>
      </c>
      <c r="AZ61" s="78">
        <f t="shared" ref="AZ61" si="86">AZ60+AY61</f>
        <v>7795.1762303550158</v>
      </c>
      <c r="BA61" s="78">
        <f t="shared" ref="BA61" si="87">BA60+AZ61</f>
        <v>8090.448616462596</v>
      </c>
      <c r="BB61" s="78">
        <f t="shared" ref="BB61" si="88">BB60+BA61</f>
        <v>8382.8542803749569</v>
      </c>
    </row>
    <row r="62" spans="1:54" x14ac:dyDescent="0.25">
      <c r="A62" s="177"/>
      <c r="B62" s="22" t="s">
        <v>361</v>
      </c>
      <c r="C62" s="75" t="s">
        <v>362</v>
      </c>
      <c r="D62" s="93">
        <f>SUM(D60:BB60)</f>
        <v>8382.8542803749569</v>
      </c>
    </row>
    <row r="63" spans="1:54" x14ac:dyDescent="0.25">
      <c r="A63" s="180" t="s">
        <v>715</v>
      </c>
      <c r="B63" s="76" t="s">
        <v>363</v>
      </c>
      <c r="C63" s="77" t="s">
        <v>362</v>
      </c>
      <c r="D63" s="78">
        <f>-(PV!$B$56*PV!$B$60)/South_Facade_PV_5S!$B$7</f>
        <v>-8397.5249999999996</v>
      </c>
      <c r="E63" s="76">
        <v>0</v>
      </c>
      <c r="F63" s="76">
        <v>0</v>
      </c>
      <c r="G63" s="76">
        <v>0</v>
      </c>
      <c r="H63" s="76">
        <v>0</v>
      </c>
      <c r="I63" s="76">
        <v>0</v>
      </c>
      <c r="J63" s="76">
        <v>0</v>
      </c>
      <c r="K63" s="76">
        <v>0</v>
      </c>
      <c r="L63" s="76">
        <v>0</v>
      </c>
      <c r="M63" s="76">
        <v>0</v>
      </c>
      <c r="N63" s="76">
        <f>-((PV!$B$78*PV!$B$56)/South_Facade_PV_5S!$B$7)*(1+$C$1)^N$168</f>
        <v>-6546.7942102364732</v>
      </c>
      <c r="O63" s="76">
        <v>0</v>
      </c>
      <c r="P63" s="76">
        <v>0</v>
      </c>
      <c r="Q63" s="76">
        <v>0</v>
      </c>
      <c r="R63" s="76">
        <v>0</v>
      </c>
      <c r="S63" s="76">
        <v>0</v>
      </c>
      <c r="T63" s="76">
        <v>0</v>
      </c>
      <c r="U63" s="76">
        <v>0</v>
      </c>
      <c r="V63" s="76">
        <v>0</v>
      </c>
      <c r="W63" s="76">
        <v>0</v>
      </c>
      <c r="X63" s="76">
        <f>-((PV!$B$78*PV!$B$56)/South_Facade_PV_5S!$B$7)*(1+$C$1)^X$168</f>
        <v>-7980.5056111322438</v>
      </c>
      <c r="Y63" s="76">
        <v>0</v>
      </c>
      <c r="Z63" s="76">
        <v>0</v>
      </c>
      <c r="AA63" s="76">
        <v>0</v>
      </c>
      <c r="AB63" s="76">
        <v>0</v>
      </c>
      <c r="AC63" s="76">
        <f>-(PV!$B$80*PV!$B$56/South_Facade_PV_5S!$B$7)*(1+$C$1)^AC$168</f>
        <v>-2617.765033979475</v>
      </c>
      <c r="AD63" s="76">
        <v>0</v>
      </c>
      <c r="AE63" s="76">
        <v>0</v>
      </c>
      <c r="AF63" s="76">
        <v>0</v>
      </c>
      <c r="AG63" s="76">
        <v>0</v>
      </c>
      <c r="AH63" s="76">
        <f>-((PV!$B$78*PV!$B$56)/South_Facade_PV_5S!$B$7)*(1+$C$1)^AH$168</f>
        <v>-9728.1918087070535</v>
      </c>
      <c r="AI63" s="76">
        <v>0</v>
      </c>
      <c r="AJ63" s="76">
        <v>0</v>
      </c>
      <c r="AK63" s="76">
        <v>0</v>
      </c>
      <c r="AL63" s="76">
        <v>0</v>
      </c>
      <c r="AM63" s="76">
        <v>0</v>
      </c>
      <c r="AN63" s="76">
        <v>0</v>
      </c>
      <c r="AO63" s="76">
        <v>0</v>
      </c>
      <c r="AP63" s="76">
        <v>0</v>
      </c>
      <c r="AQ63" s="76">
        <v>0</v>
      </c>
      <c r="AR63" s="76">
        <f>-((PV!$B$78*PV!$B$56)/South_Facade_PV_5S!$B$7)*(1+$C$1)^AR$168</f>
        <v>-11858.611531452601</v>
      </c>
      <c r="AS63" s="76">
        <v>0</v>
      </c>
      <c r="AT63" s="76">
        <v>0</v>
      </c>
      <c r="AU63" s="76">
        <v>0</v>
      </c>
      <c r="AV63" s="76">
        <v>0</v>
      </c>
      <c r="AW63" s="76">
        <v>0</v>
      </c>
      <c r="AX63" s="76">
        <v>0</v>
      </c>
      <c r="AY63" s="76">
        <v>0</v>
      </c>
      <c r="AZ63" s="76">
        <v>0</v>
      </c>
      <c r="BA63" s="76">
        <v>0</v>
      </c>
      <c r="BB63" s="76">
        <v>0</v>
      </c>
    </row>
    <row r="64" spans="1:54" x14ac:dyDescent="0.25">
      <c r="A64" s="180"/>
      <c r="B64" s="76" t="s">
        <v>356</v>
      </c>
      <c r="C64" s="77" t="s">
        <v>362</v>
      </c>
      <c r="D64" s="76">
        <v>0</v>
      </c>
      <c r="E64" s="78">
        <f>ABS('Annual Calculations'!$Q$12)*(1+$C$3)^E$168</f>
        <v>405.39509754389513</v>
      </c>
      <c r="F64" s="78">
        <f>ABS('Annual Calculations'!$Q$12)*(1+$C$3)^F$168</f>
        <v>413.50299949477301</v>
      </c>
      <c r="G64" s="78">
        <f>ABS('Annual Calculations'!$Q$12)*(1+$C$3)^G$168</f>
        <v>421.77305948466847</v>
      </c>
      <c r="H64" s="78">
        <f>ABS('Annual Calculations'!$Q$12)*(1+$C$3)^H$168</f>
        <v>430.20852067436186</v>
      </c>
      <c r="I64" s="78">
        <f>ABS('Annual Calculations'!$Q$12)*(1+$C$3)^I$168</f>
        <v>438.81269108784909</v>
      </c>
      <c r="J64" s="78">
        <f>ABS('Annual Calculations'!$Q$12)*(1+$C$3)^J$168</f>
        <v>447.58894490960608</v>
      </c>
      <c r="K64" s="78">
        <f>ABS('Annual Calculations'!$Q$12)*(1+$C$3)^K$168</f>
        <v>456.54072380779814</v>
      </c>
      <c r="L64" s="78">
        <f>ABS('Annual Calculations'!$Q$12)*(1+$C$3)^L$168</f>
        <v>465.67153828395413</v>
      </c>
      <c r="M64" s="78">
        <f>ABS('Annual Calculations'!$Q$12)*(1+$C$3)^M$168</f>
        <v>474.98496904963321</v>
      </c>
      <c r="N64" s="78">
        <f>ABS('Annual Calculations'!$Q$12)*(1+$C$3)^N$168</f>
        <v>484.4846684306259</v>
      </c>
      <c r="O64" s="78">
        <f>ABS('Annual Calculations'!$Q$12)*(1+$C$3)^O$168</f>
        <v>494.17436179923834</v>
      </c>
      <c r="P64" s="78">
        <f>ABS('Annual Calculations'!$Q$12)*(1+$C$3)^P$168</f>
        <v>504.05784903522317</v>
      </c>
      <c r="Q64" s="78">
        <f>ABS('Annual Calculations'!$Q$12)*(1+$C$3)^Q$168</f>
        <v>514.13900601592763</v>
      </c>
      <c r="R64" s="78">
        <f>ABS('Annual Calculations'!$Q$12)*(1+$C$3)^R$168</f>
        <v>524.42178613624617</v>
      </c>
      <c r="S64" s="78">
        <f>ABS('Annual Calculations'!$Q$12)*(1+$C$3)^S$168</f>
        <v>534.910221858971</v>
      </c>
      <c r="T64" s="78">
        <f>ABS('Annual Calculations'!$Q$12)*(1+$C$3)^T$168</f>
        <v>545.60842629615047</v>
      </c>
      <c r="U64" s="78">
        <f>ABS('Annual Calculations'!$Q$12)*(1+$C$3)^U$168</f>
        <v>556.52059482207358</v>
      </c>
      <c r="V64" s="78">
        <f>ABS('Annual Calculations'!$Q$12)*(1+$C$3)^V$168</f>
        <v>567.65100671851496</v>
      </c>
      <c r="W64" s="78">
        <f>ABS('Annual Calculations'!$Q$12)*(1+$C$3)^W$168</f>
        <v>579.0040268528852</v>
      </c>
      <c r="X64" s="78">
        <f>ABS('Annual Calculations'!$Q$12)*(1+$C$3)^X$168</f>
        <v>590.58410738994303</v>
      </c>
      <c r="Y64" s="78">
        <f>ABS('Annual Calculations'!$Q$12)*(1+$C$3)^Y$168</f>
        <v>602.39578953774185</v>
      </c>
      <c r="Z64" s="78">
        <f>ABS('Annual Calculations'!$Q$12)*(1+$C$3)^Z$168</f>
        <v>614.44370532849666</v>
      </c>
      <c r="AA64" s="78">
        <f>ABS('Annual Calculations'!$Q$12)*(1+$C$3)^AA$168</f>
        <v>626.73257943506655</v>
      </c>
      <c r="AB64" s="78">
        <f>ABS('Annual Calculations'!$Q$12)*(1+$C$3)^AB$168</f>
        <v>639.26723102376786</v>
      </c>
      <c r="AC64" s="78">
        <f>ABS('Annual Calculations'!$Q$12)*(1+$C$3)^AC$168</f>
        <v>652.05257564424323</v>
      </c>
      <c r="AD64" s="78">
        <f>ABS('Annual Calculations'!$Q$12)*(1+$C$3)^AD$168</f>
        <v>665.09362715712814</v>
      </c>
      <c r="AE64" s="78">
        <f>ABS('Annual Calculations'!$Q$12)*(1+$C$3)^AE$168</f>
        <v>678.39549970027065</v>
      </c>
      <c r="AF64" s="78">
        <f>ABS('Annual Calculations'!$Q$12)*(1+$C$3)^AF$168</f>
        <v>691.96340969427615</v>
      </c>
      <c r="AG64" s="78">
        <f>ABS('Annual Calculations'!$Q$12)*(1+$C$3)^AG$168</f>
        <v>705.80267788816161</v>
      </c>
      <c r="AH64" s="78">
        <f>ABS('Annual Calculations'!$Q$12)*(1+$C$3)^AH$168</f>
        <v>719.91873144592489</v>
      </c>
      <c r="AI64" s="78">
        <f>ABS('Annual Calculations'!$Q$12)*(1+$C$3)^AI$168</f>
        <v>734.3171060748432</v>
      </c>
      <c r="AJ64" s="78">
        <f>ABS('Annual Calculations'!$Q$12)*(1+$C$3)^AJ$168</f>
        <v>749.00344819634029</v>
      </c>
      <c r="AK64" s="78">
        <f>ABS('Annual Calculations'!$Q$12)*(1+$C$3)^AK$168</f>
        <v>763.98351716026707</v>
      </c>
      <c r="AL64" s="78">
        <f>ABS('Annual Calculations'!$Q$12)*(1+$C$3)^AL$168</f>
        <v>779.26318750347241</v>
      </c>
      <c r="AM64" s="78">
        <f>ABS('Annual Calculations'!$Q$12)*(1+$C$3)^AM$168</f>
        <v>794.84845125354184</v>
      </c>
      <c r="AN64" s="78">
        <f>ABS('Annual Calculations'!$Q$12)*(1+$C$3)^AN$168</f>
        <v>810.74542027861253</v>
      </c>
      <c r="AO64" s="78">
        <f>ABS('Annual Calculations'!$Q$12)*(1+$C$3)^AO$168</f>
        <v>826.9603286841849</v>
      </c>
      <c r="AP64" s="78">
        <f>ABS('Annual Calculations'!$Q$12)*(1+$C$3)^AP$168</f>
        <v>843.49953525786873</v>
      </c>
      <c r="AQ64" s="78">
        <f>ABS('Annual Calculations'!$Q$12)*(1+$C$3)^AQ$168</f>
        <v>860.36952596302581</v>
      </c>
      <c r="AR64" s="78">
        <f>ABS('Annual Calculations'!$Q$12)*(1+$C$3)^AR$168</f>
        <v>877.57691648228649</v>
      </c>
      <c r="AS64" s="78">
        <f>ABS('Annual Calculations'!$Q$12)*(1+$C$3)^AS$168</f>
        <v>895.12845481193222</v>
      </c>
      <c r="AT64" s="78">
        <f>ABS('Annual Calculations'!$Q$12)*(1+$C$3)^AT$168</f>
        <v>913.03102390817082</v>
      </c>
      <c r="AU64" s="78">
        <f>ABS('Annual Calculations'!$Q$12)*(1+$C$3)^AU$168</f>
        <v>931.29164438633416</v>
      </c>
      <c r="AV64" s="78">
        <f>ABS('Annual Calculations'!$Q$12)*(1+$C$3)^AV$168</f>
        <v>949.91747727406096</v>
      </c>
      <c r="AW64" s="78">
        <f>ABS('Annual Calculations'!$Q$12)*(1+$C$3)^AW$168</f>
        <v>968.91582681954219</v>
      </c>
      <c r="AX64" s="78">
        <f>ABS('Annual Calculations'!$Q$12)*(1+$C$3)^AX$168</f>
        <v>988.2941433559331</v>
      </c>
      <c r="AY64" s="78">
        <f>ABS('Annual Calculations'!$Q$12)*(1+$C$3)^AY$168</f>
        <v>1008.0600262230514</v>
      </c>
      <c r="AZ64" s="78">
        <f>ABS('Annual Calculations'!$Q$12)*(1+$C$3)^AZ$168</f>
        <v>1028.2212267475127</v>
      </c>
      <c r="BA64" s="78">
        <f>ABS('Annual Calculations'!$Q$12)*(1+$C$3)^BA$168</f>
        <v>1048.7856512824628</v>
      </c>
      <c r="BB64" s="78">
        <f>ABS('Annual Calculations'!$Q$12)*(1+$C$3)^BB$168</f>
        <v>1069.7613643081122</v>
      </c>
    </row>
    <row r="65" spans="1:54" x14ac:dyDescent="0.25">
      <c r="A65" s="180"/>
      <c r="B65" s="76" t="s">
        <v>357</v>
      </c>
      <c r="C65" s="77" t="s">
        <v>362</v>
      </c>
      <c r="D65" s="76">
        <v>0</v>
      </c>
      <c r="E65" s="76">
        <v>0</v>
      </c>
      <c r="F65" s="76">
        <v>0</v>
      </c>
      <c r="G65" s="76">
        <v>0</v>
      </c>
      <c r="H65" s="76">
        <v>0</v>
      </c>
      <c r="I65" s="76">
        <v>0</v>
      </c>
      <c r="J65" s="76">
        <v>0</v>
      </c>
      <c r="K65" s="76">
        <v>0</v>
      </c>
      <c r="L65" s="76">
        <v>0</v>
      </c>
      <c r="M65" s="76">
        <v>0</v>
      </c>
      <c r="N65" s="76">
        <v>0</v>
      </c>
      <c r="O65" s="76">
        <v>0</v>
      </c>
      <c r="P65" s="76">
        <v>0</v>
      </c>
      <c r="Q65" s="76">
        <v>0</v>
      </c>
      <c r="R65" s="76">
        <v>0</v>
      </c>
      <c r="S65" s="76">
        <v>0</v>
      </c>
      <c r="T65" s="76">
        <v>0</v>
      </c>
      <c r="U65" s="76">
        <v>0</v>
      </c>
      <c r="V65" s="76">
        <v>0</v>
      </c>
      <c r="W65" s="76">
        <v>0</v>
      </c>
      <c r="X65" s="76">
        <v>0</v>
      </c>
      <c r="Y65" s="76">
        <v>0</v>
      </c>
      <c r="Z65" s="76">
        <v>0</v>
      </c>
      <c r="AA65" s="76">
        <v>0</v>
      </c>
      <c r="AB65" s="76">
        <v>0</v>
      </c>
      <c r="AC65" s="76">
        <v>0</v>
      </c>
      <c r="AD65" s="76">
        <v>0</v>
      </c>
      <c r="AE65" s="76">
        <v>0</v>
      </c>
      <c r="AF65" s="76">
        <v>0</v>
      </c>
      <c r="AG65" s="76">
        <v>0</v>
      </c>
      <c r="AH65" s="76">
        <v>0</v>
      </c>
      <c r="AI65" s="76">
        <v>0</v>
      </c>
      <c r="AJ65" s="76">
        <v>0</v>
      </c>
      <c r="AK65" s="76">
        <v>0</v>
      </c>
      <c r="AL65" s="76">
        <v>0</v>
      </c>
      <c r="AM65" s="76">
        <v>0</v>
      </c>
      <c r="AN65" s="76">
        <v>0</v>
      </c>
      <c r="AO65" s="76">
        <v>0</v>
      </c>
      <c r="AP65" s="76">
        <v>0</v>
      </c>
      <c r="AQ65" s="76">
        <v>0</v>
      </c>
      <c r="AR65" s="76">
        <v>0</v>
      </c>
      <c r="AS65" s="76">
        <v>0</v>
      </c>
      <c r="AT65" s="76">
        <v>0</v>
      </c>
      <c r="AU65" s="76">
        <v>0</v>
      </c>
      <c r="AV65" s="76">
        <v>0</v>
      </c>
      <c r="AW65" s="76">
        <v>0</v>
      </c>
      <c r="AX65" s="76">
        <v>0</v>
      </c>
      <c r="AY65" s="76">
        <v>0</v>
      </c>
      <c r="AZ65" s="76">
        <v>0</v>
      </c>
      <c r="BA65" s="76">
        <v>0</v>
      </c>
      <c r="BB65" s="76">
        <v>0</v>
      </c>
    </row>
    <row r="66" spans="1:54" x14ac:dyDescent="0.25">
      <c r="A66" s="180"/>
      <c r="B66" s="76" t="s">
        <v>358</v>
      </c>
      <c r="C66" s="77" t="s">
        <v>362</v>
      </c>
      <c r="D66" s="76">
        <f>SUM(D63:D65)</f>
        <v>-8397.5249999999996</v>
      </c>
      <c r="E66" s="78">
        <f t="shared" ref="E66:BB66" si="89">SUM(E63:E65)</f>
        <v>405.39509754389513</v>
      </c>
      <c r="F66" s="78">
        <f t="shared" si="89"/>
        <v>413.50299949477301</v>
      </c>
      <c r="G66" s="78">
        <f t="shared" si="89"/>
        <v>421.77305948466847</v>
      </c>
      <c r="H66" s="78">
        <f t="shared" si="89"/>
        <v>430.20852067436186</v>
      </c>
      <c r="I66" s="78">
        <f t="shared" si="89"/>
        <v>438.81269108784909</v>
      </c>
      <c r="J66" s="78">
        <f t="shared" si="89"/>
        <v>447.58894490960608</v>
      </c>
      <c r="K66" s="78">
        <f t="shared" si="89"/>
        <v>456.54072380779814</v>
      </c>
      <c r="L66" s="78">
        <f t="shared" si="89"/>
        <v>465.67153828395413</v>
      </c>
      <c r="M66" s="78">
        <f t="shared" si="89"/>
        <v>474.98496904963321</v>
      </c>
      <c r="N66" s="78">
        <f t="shared" si="89"/>
        <v>-6062.3095418058474</v>
      </c>
      <c r="O66" s="78">
        <f t="shared" si="89"/>
        <v>494.17436179923834</v>
      </c>
      <c r="P66" s="78">
        <f t="shared" si="89"/>
        <v>504.05784903522317</v>
      </c>
      <c r="Q66" s="78">
        <f t="shared" si="89"/>
        <v>514.13900601592763</v>
      </c>
      <c r="R66" s="78">
        <f t="shared" si="89"/>
        <v>524.42178613624617</v>
      </c>
      <c r="S66" s="78">
        <f t="shared" si="89"/>
        <v>534.910221858971</v>
      </c>
      <c r="T66" s="78">
        <f t="shared" si="89"/>
        <v>545.60842629615047</v>
      </c>
      <c r="U66" s="78">
        <f t="shared" si="89"/>
        <v>556.52059482207358</v>
      </c>
      <c r="V66" s="78">
        <f t="shared" si="89"/>
        <v>567.65100671851496</v>
      </c>
      <c r="W66" s="78">
        <f t="shared" si="89"/>
        <v>579.0040268528852</v>
      </c>
      <c r="X66" s="78">
        <f t="shared" si="89"/>
        <v>-7389.921503742301</v>
      </c>
      <c r="Y66" s="78">
        <f t="shared" si="89"/>
        <v>602.39578953774185</v>
      </c>
      <c r="Z66" s="78">
        <f t="shared" si="89"/>
        <v>614.44370532849666</v>
      </c>
      <c r="AA66" s="78">
        <f t="shared" si="89"/>
        <v>626.73257943506655</v>
      </c>
      <c r="AB66" s="78">
        <f t="shared" si="89"/>
        <v>639.26723102376786</v>
      </c>
      <c r="AC66" s="78">
        <f t="shared" si="89"/>
        <v>-1965.7124583352318</v>
      </c>
      <c r="AD66" s="78">
        <f t="shared" si="89"/>
        <v>665.09362715712814</v>
      </c>
      <c r="AE66" s="78">
        <f t="shared" si="89"/>
        <v>678.39549970027065</v>
      </c>
      <c r="AF66" s="78">
        <f t="shared" si="89"/>
        <v>691.96340969427615</v>
      </c>
      <c r="AG66" s="78">
        <f t="shared" si="89"/>
        <v>705.80267788816161</v>
      </c>
      <c r="AH66" s="78">
        <f t="shared" si="89"/>
        <v>-9008.2730772611285</v>
      </c>
      <c r="AI66" s="78">
        <f t="shared" si="89"/>
        <v>734.3171060748432</v>
      </c>
      <c r="AJ66" s="78">
        <f t="shared" si="89"/>
        <v>749.00344819634029</v>
      </c>
      <c r="AK66" s="78">
        <f t="shared" si="89"/>
        <v>763.98351716026707</v>
      </c>
      <c r="AL66" s="78">
        <f t="shared" si="89"/>
        <v>779.26318750347241</v>
      </c>
      <c r="AM66" s="78">
        <f t="shared" si="89"/>
        <v>794.84845125354184</v>
      </c>
      <c r="AN66" s="78">
        <f t="shared" si="89"/>
        <v>810.74542027861253</v>
      </c>
      <c r="AO66" s="78">
        <f t="shared" si="89"/>
        <v>826.9603286841849</v>
      </c>
      <c r="AP66" s="78">
        <f t="shared" si="89"/>
        <v>843.49953525786873</v>
      </c>
      <c r="AQ66" s="78">
        <f t="shared" si="89"/>
        <v>860.36952596302581</v>
      </c>
      <c r="AR66" s="78">
        <f t="shared" si="89"/>
        <v>-10981.034614970315</v>
      </c>
      <c r="AS66" s="78">
        <f t="shared" si="89"/>
        <v>895.12845481193222</v>
      </c>
      <c r="AT66" s="78">
        <f t="shared" si="89"/>
        <v>913.03102390817082</v>
      </c>
      <c r="AU66" s="78">
        <f t="shared" si="89"/>
        <v>931.29164438633416</v>
      </c>
      <c r="AV66" s="78">
        <f t="shared" si="89"/>
        <v>949.91747727406096</v>
      </c>
      <c r="AW66" s="78">
        <f t="shared" si="89"/>
        <v>968.91582681954219</v>
      </c>
      <c r="AX66" s="78">
        <f t="shared" si="89"/>
        <v>988.2941433559331</v>
      </c>
      <c r="AY66" s="78">
        <f t="shared" si="89"/>
        <v>1008.0600262230514</v>
      </c>
      <c r="AZ66" s="78">
        <f t="shared" si="89"/>
        <v>1028.2212267475127</v>
      </c>
      <c r="BA66" s="78">
        <f t="shared" si="89"/>
        <v>1048.7856512824628</v>
      </c>
      <c r="BB66" s="78">
        <f t="shared" si="89"/>
        <v>1069.7613643081122</v>
      </c>
    </row>
    <row r="67" spans="1:54" x14ac:dyDescent="0.25">
      <c r="A67" s="180"/>
      <c r="B67" s="76" t="s">
        <v>359</v>
      </c>
      <c r="C67" s="77"/>
      <c r="D67" s="76">
        <f t="shared" ref="D67:AI67" si="90">(1+$C$2)^D$168</f>
        <v>1</v>
      </c>
      <c r="E67" s="79">
        <f t="shared" si="90"/>
        <v>1.03</v>
      </c>
      <c r="F67" s="79">
        <f t="shared" si="90"/>
        <v>1.0609</v>
      </c>
      <c r="G67" s="79">
        <f t="shared" si="90"/>
        <v>1.092727</v>
      </c>
      <c r="H67" s="79">
        <f t="shared" si="90"/>
        <v>1.1255088099999999</v>
      </c>
      <c r="I67" s="79">
        <f t="shared" si="90"/>
        <v>1.1592740742999998</v>
      </c>
      <c r="J67" s="79">
        <f t="shared" si="90"/>
        <v>1.1940522965289999</v>
      </c>
      <c r="K67" s="79">
        <f t="shared" si="90"/>
        <v>1.22987386542487</v>
      </c>
      <c r="L67" s="79">
        <f t="shared" si="90"/>
        <v>1.2667700813876159</v>
      </c>
      <c r="M67" s="79">
        <f t="shared" si="90"/>
        <v>1.3047731838292445</v>
      </c>
      <c r="N67" s="79">
        <f t="shared" si="90"/>
        <v>1.3439163793441218</v>
      </c>
      <c r="O67" s="79">
        <f t="shared" si="90"/>
        <v>1.3842338707244455</v>
      </c>
      <c r="P67" s="79">
        <f t="shared" si="90"/>
        <v>1.4257608868461786</v>
      </c>
      <c r="Q67" s="79">
        <f t="shared" si="90"/>
        <v>1.4685337134515639</v>
      </c>
      <c r="R67" s="79">
        <f t="shared" si="90"/>
        <v>1.512589724855111</v>
      </c>
      <c r="S67" s="79">
        <f t="shared" si="90"/>
        <v>1.5579674166007644</v>
      </c>
      <c r="T67" s="79">
        <f t="shared" si="90"/>
        <v>1.6047064390987871</v>
      </c>
      <c r="U67" s="79">
        <f t="shared" si="90"/>
        <v>1.6528476322717507</v>
      </c>
      <c r="V67" s="79">
        <f t="shared" si="90"/>
        <v>1.7024330612399032</v>
      </c>
      <c r="W67" s="79">
        <f t="shared" si="90"/>
        <v>1.7535060530771003</v>
      </c>
      <c r="X67" s="79">
        <f t="shared" si="90"/>
        <v>1.8061112346694133</v>
      </c>
      <c r="Y67" s="79">
        <f t="shared" si="90"/>
        <v>1.8602945717094954</v>
      </c>
      <c r="Z67" s="79">
        <f t="shared" si="90"/>
        <v>1.9161034088607805</v>
      </c>
      <c r="AA67" s="79">
        <f t="shared" si="90"/>
        <v>1.973586511126604</v>
      </c>
      <c r="AB67" s="79">
        <f t="shared" si="90"/>
        <v>2.0327941064604018</v>
      </c>
      <c r="AC67" s="79">
        <f t="shared" si="90"/>
        <v>2.0937779296542138</v>
      </c>
      <c r="AD67" s="79">
        <f t="shared" si="90"/>
        <v>2.1565912675438406</v>
      </c>
      <c r="AE67" s="79">
        <f t="shared" si="90"/>
        <v>2.2212890055701555</v>
      </c>
      <c r="AF67" s="79">
        <f t="shared" si="90"/>
        <v>2.2879276757372602</v>
      </c>
      <c r="AG67" s="79">
        <f t="shared" si="90"/>
        <v>2.3565655060093778</v>
      </c>
      <c r="AH67" s="79">
        <f t="shared" si="90"/>
        <v>2.4272624711896591</v>
      </c>
      <c r="AI67" s="79">
        <f t="shared" si="90"/>
        <v>2.5000803453253493</v>
      </c>
      <c r="AJ67" s="79">
        <f t="shared" ref="AJ67:BB67" si="91">(1+$C$2)^AJ$168</f>
        <v>2.5750827556851092</v>
      </c>
      <c r="AK67" s="79">
        <f t="shared" si="91"/>
        <v>2.6523352383556626</v>
      </c>
      <c r="AL67" s="79">
        <f t="shared" si="91"/>
        <v>2.7319052955063321</v>
      </c>
      <c r="AM67" s="79">
        <f t="shared" si="91"/>
        <v>2.8138624543715225</v>
      </c>
      <c r="AN67" s="79">
        <f t="shared" si="91"/>
        <v>2.898278328002668</v>
      </c>
      <c r="AO67" s="79">
        <f t="shared" si="91"/>
        <v>2.9852266778427476</v>
      </c>
      <c r="AP67" s="79">
        <f t="shared" si="91"/>
        <v>3.0747834781780301</v>
      </c>
      <c r="AQ67" s="79">
        <f t="shared" si="91"/>
        <v>3.1670269825233714</v>
      </c>
      <c r="AR67" s="79">
        <f t="shared" si="91"/>
        <v>3.262037791999072</v>
      </c>
      <c r="AS67" s="79">
        <f t="shared" si="91"/>
        <v>3.3598989257590444</v>
      </c>
      <c r="AT67" s="79">
        <f t="shared" si="91"/>
        <v>3.4606958935318159</v>
      </c>
      <c r="AU67" s="79">
        <f t="shared" si="91"/>
        <v>3.5645167703377703</v>
      </c>
      <c r="AV67" s="79">
        <f t="shared" si="91"/>
        <v>3.6714522734479029</v>
      </c>
      <c r="AW67" s="79">
        <f t="shared" si="91"/>
        <v>3.78159584165134</v>
      </c>
      <c r="AX67" s="79">
        <f t="shared" si="91"/>
        <v>3.8950437169008802</v>
      </c>
      <c r="AY67" s="79">
        <f t="shared" si="91"/>
        <v>4.0118950284079071</v>
      </c>
      <c r="AZ67" s="79">
        <f t="shared" si="91"/>
        <v>4.1322518792601439</v>
      </c>
      <c r="BA67" s="79">
        <f t="shared" si="91"/>
        <v>4.2562194356379477</v>
      </c>
      <c r="BB67" s="79">
        <f t="shared" si="91"/>
        <v>4.3839060187070862</v>
      </c>
    </row>
    <row r="68" spans="1:54" x14ac:dyDescent="0.25">
      <c r="A68" s="180"/>
      <c r="B68" s="76" t="s">
        <v>360</v>
      </c>
      <c r="C68" s="77" t="s">
        <v>362</v>
      </c>
      <c r="D68" s="76">
        <f>D66/D67</f>
        <v>-8397.5249999999996</v>
      </c>
      <c r="E68" s="78">
        <f>E66/E67</f>
        <v>393.58747334358748</v>
      </c>
      <c r="F68" s="78">
        <f>F66/F67</f>
        <v>389.76623573830994</v>
      </c>
      <c r="G68" s="78">
        <f t="shared" ref="G68:BB68" si="92">G66/G67</f>
        <v>385.98209752725836</v>
      </c>
      <c r="H68" s="78">
        <f t="shared" si="92"/>
        <v>382.23469852213941</v>
      </c>
      <c r="I68" s="78">
        <f t="shared" si="92"/>
        <v>378.5236820316332</v>
      </c>
      <c r="J68" s="78">
        <f t="shared" si="92"/>
        <v>374.84869482744261</v>
      </c>
      <c r="K68" s="78">
        <f t="shared" si="92"/>
        <v>371.20938711067123</v>
      </c>
      <c r="L68" s="78">
        <f t="shared" si="92"/>
        <v>367.60541247852888</v>
      </c>
      <c r="M68" s="78">
        <f t="shared" si="92"/>
        <v>364.03642789135864</v>
      </c>
      <c r="N68" s="78">
        <f t="shared" si="92"/>
        <v>-4510.9276402780852</v>
      </c>
      <c r="O68" s="78">
        <f t="shared" si="92"/>
        <v>357.00207331338441</v>
      </c>
      <c r="P68" s="78">
        <f t="shared" si="92"/>
        <v>353.53603376665262</v>
      </c>
      <c r="Q68" s="78">
        <f t="shared" si="92"/>
        <v>350.1036450893065</v>
      </c>
      <c r="R68" s="78">
        <f t="shared" si="92"/>
        <v>346.70458057387629</v>
      </c>
      <c r="S68" s="78">
        <f t="shared" si="92"/>
        <v>343.33851668480941</v>
      </c>
      <c r="T68" s="78">
        <f t="shared" si="92"/>
        <v>340.00513302767547</v>
      </c>
      <c r="U68" s="78">
        <f t="shared" si="92"/>
        <v>336.70411231866893</v>
      </c>
      <c r="V68" s="78">
        <f t="shared" si="92"/>
        <v>333.43514035440995</v>
      </c>
      <c r="W68" s="78">
        <f t="shared" si="92"/>
        <v>330.19790598203701</v>
      </c>
      <c r="X68" s="78">
        <f t="shared" si="92"/>
        <v>-4091.6203619623329</v>
      </c>
      <c r="Y68" s="78">
        <f t="shared" si="92"/>
        <v>323.81742047668155</v>
      </c>
      <c r="Z68" s="78">
        <f t="shared" si="92"/>
        <v>320.67356202545159</v>
      </c>
      <c r="AA68" s="78">
        <f t="shared" si="92"/>
        <v>317.56022647180635</v>
      </c>
      <c r="AB68" s="78">
        <f t="shared" si="92"/>
        <v>314.4771174769345</v>
      </c>
      <c r="AC68" s="78">
        <f t="shared" si="92"/>
        <v>-938.83521766793478</v>
      </c>
      <c r="AD68" s="78">
        <f t="shared" si="92"/>
        <v>308.40040816571081</v>
      </c>
      <c r="AE68" s="78">
        <f t="shared" si="92"/>
        <v>305.40622944565541</v>
      </c>
      <c r="AF68" s="78">
        <f t="shared" si="92"/>
        <v>302.44112042191119</v>
      </c>
      <c r="AG68" s="78">
        <f t="shared" si="92"/>
        <v>299.50479886441695</v>
      </c>
      <c r="AH68" s="78">
        <f t="shared" si="92"/>
        <v>-3711.2892339351993</v>
      </c>
      <c r="AI68" s="78">
        <f t="shared" si="92"/>
        <v>293.7174029018185</v>
      </c>
      <c r="AJ68" s="78">
        <f t="shared" si="92"/>
        <v>290.8657776309272</v>
      </c>
      <c r="AK68" s="78">
        <f t="shared" si="92"/>
        <v>288.04183804227745</v>
      </c>
      <c r="AL68" s="78">
        <f t="shared" si="92"/>
        <v>285.2453153428379</v>
      </c>
      <c r="AM68" s="78">
        <f t="shared" si="92"/>
        <v>282.47594334921803</v>
      </c>
      <c r="AN68" s="78">
        <f t="shared" si="92"/>
        <v>279.73345846233241</v>
      </c>
      <c r="AO68" s="78">
        <f t="shared" si="92"/>
        <v>277.01759964230985</v>
      </c>
      <c r="AP68" s="78">
        <f t="shared" si="92"/>
        <v>274.32810838364668</v>
      </c>
      <c r="AQ68" s="78">
        <f t="shared" si="92"/>
        <v>271.66472869060141</v>
      </c>
      <c r="AR68" s="78">
        <f t="shared" si="92"/>
        <v>-3366.3112799931164</v>
      </c>
      <c r="AS68" s="78">
        <f t="shared" si="92"/>
        <v>266.41529242124784</v>
      </c>
      <c r="AT68" s="78">
        <f t="shared" si="92"/>
        <v>263.82873618414828</v>
      </c>
      <c r="AU68" s="78">
        <f t="shared" si="92"/>
        <v>261.26729214352548</v>
      </c>
      <c r="AV68" s="78">
        <f t="shared" si="92"/>
        <v>258.73071649164666</v>
      </c>
      <c r="AW68" s="78">
        <f t="shared" si="92"/>
        <v>256.21876778784429</v>
      </c>
      <c r="AX68" s="78">
        <f t="shared" si="92"/>
        <v>253.73120693553511</v>
      </c>
      <c r="AY68" s="78">
        <f t="shared" si="92"/>
        <v>251.26779715946185</v>
      </c>
      <c r="AZ68" s="78">
        <f t="shared" si="92"/>
        <v>248.82830398315647</v>
      </c>
      <c r="BA68" s="78">
        <f t="shared" si="92"/>
        <v>246.41249520662097</v>
      </c>
      <c r="BB68" s="78">
        <f t="shared" si="92"/>
        <v>244.02014088422663</v>
      </c>
    </row>
    <row r="69" spans="1:54" x14ac:dyDescent="0.25">
      <c r="A69" s="180"/>
      <c r="B69" s="76" t="s">
        <v>645</v>
      </c>
      <c r="C69" s="77" t="s">
        <v>362</v>
      </c>
      <c r="D69" s="76">
        <f>D68</f>
        <v>-8397.5249999999996</v>
      </c>
      <c r="E69" s="78">
        <f>E68+D69</f>
        <v>-8003.937526656412</v>
      </c>
      <c r="F69" s="78">
        <f t="shared" ref="F69:BB69" si="93">F68+E69</f>
        <v>-7614.1712909181024</v>
      </c>
      <c r="G69" s="78">
        <f t="shared" si="93"/>
        <v>-7228.1891933908437</v>
      </c>
      <c r="H69" s="78">
        <f t="shared" si="93"/>
        <v>-6845.9544948687044</v>
      </c>
      <c r="I69" s="78">
        <f t="shared" si="93"/>
        <v>-6467.4308128370712</v>
      </c>
      <c r="J69" s="78">
        <f t="shared" si="93"/>
        <v>-6092.5821180096282</v>
      </c>
      <c r="K69" s="78">
        <f t="shared" si="93"/>
        <v>-5721.3727308989573</v>
      </c>
      <c r="L69" s="78">
        <f t="shared" si="93"/>
        <v>-5353.7673184204286</v>
      </c>
      <c r="M69" s="78">
        <f t="shared" si="93"/>
        <v>-4989.7308905290702</v>
      </c>
      <c r="N69" s="78">
        <f t="shared" si="93"/>
        <v>-9500.6585308071553</v>
      </c>
      <c r="O69" s="78">
        <f t="shared" si="93"/>
        <v>-9143.6564574937711</v>
      </c>
      <c r="P69" s="78">
        <f t="shared" si="93"/>
        <v>-8790.1204237271177</v>
      </c>
      <c r="Q69" s="78">
        <f t="shared" si="93"/>
        <v>-8440.0167786378115</v>
      </c>
      <c r="R69" s="78">
        <f t="shared" si="93"/>
        <v>-8093.3121980639353</v>
      </c>
      <c r="S69" s="78">
        <f t="shared" si="93"/>
        <v>-7749.973681379126</v>
      </c>
      <c r="T69" s="78">
        <f t="shared" si="93"/>
        <v>-7409.9685483514504</v>
      </c>
      <c r="U69" s="78">
        <f t="shared" si="93"/>
        <v>-7073.2644360327813</v>
      </c>
      <c r="V69" s="78">
        <f t="shared" si="93"/>
        <v>-6739.8292956783716</v>
      </c>
      <c r="W69" s="78">
        <f t="shared" si="93"/>
        <v>-6409.6313896963347</v>
      </c>
      <c r="X69" s="78">
        <f t="shared" si="93"/>
        <v>-10501.251751658667</v>
      </c>
      <c r="Y69" s="78">
        <f t="shared" si="93"/>
        <v>-10177.434331181985</v>
      </c>
      <c r="Z69" s="78">
        <f t="shared" si="93"/>
        <v>-9856.7607691565336</v>
      </c>
      <c r="AA69" s="78">
        <f t="shared" si="93"/>
        <v>-9539.2005426847281</v>
      </c>
      <c r="AB69" s="78">
        <f t="shared" si="93"/>
        <v>-9224.7234252077942</v>
      </c>
      <c r="AC69" s="78">
        <f t="shared" si="93"/>
        <v>-10163.558642875729</v>
      </c>
      <c r="AD69" s="78">
        <f t="shared" si="93"/>
        <v>-9855.1582347100175</v>
      </c>
      <c r="AE69" s="78">
        <f t="shared" si="93"/>
        <v>-9549.7520052643613</v>
      </c>
      <c r="AF69" s="78">
        <f t="shared" si="93"/>
        <v>-9247.3108848424508</v>
      </c>
      <c r="AG69" s="78">
        <f t="shared" si="93"/>
        <v>-8947.8060859780344</v>
      </c>
      <c r="AH69" s="78">
        <f t="shared" si="93"/>
        <v>-12659.095319913235</v>
      </c>
      <c r="AI69" s="78">
        <f t="shared" si="93"/>
        <v>-12365.377917011416</v>
      </c>
      <c r="AJ69" s="78">
        <f t="shared" si="93"/>
        <v>-12074.512139380489</v>
      </c>
      <c r="AK69" s="78">
        <f t="shared" si="93"/>
        <v>-11786.470301338211</v>
      </c>
      <c r="AL69" s="78">
        <f t="shared" si="93"/>
        <v>-11501.224985995374</v>
      </c>
      <c r="AM69" s="78">
        <f t="shared" si="93"/>
        <v>-11218.749042646155</v>
      </c>
      <c r="AN69" s="78">
        <f t="shared" si="93"/>
        <v>-10939.015584183822</v>
      </c>
      <c r="AO69" s="78">
        <f t="shared" si="93"/>
        <v>-10661.997984541513</v>
      </c>
      <c r="AP69" s="78">
        <f t="shared" si="93"/>
        <v>-10387.669876157866</v>
      </c>
      <c r="AQ69" s="78">
        <f t="shared" si="93"/>
        <v>-10116.005147467265</v>
      </c>
      <c r="AR69" s="78">
        <f t="shared" si="93"/>
        <v>-13482.316427460382</v>
      </c>
      <c r="AS69" s="78">
        <f t="shared" si="93"/>
        <v>-13215.901135039134</v>
      </c>
      <c r="AT69" s="78">
        <f t="shared" si="93"/>
        <v>-12952.072398854985</v>
      </c>
      <c r="AU69" s="78">
        <f t="shared" si="93"/>
        <v>-12690.805106711459</v>
      </c>
      <c r="AV69" s="78">
        <f t="shared" si="93"/>
        <v>-12432.074390219812</v>
      </c>
      <c r="AW69" s="78">
        <f t="shared" si="93"/>
        <v>-12175.855622431967</v>
      </c>
      <c r="AX69" s="78">
        <f t="shared" si="93"/>
        <v>-11922.124415496432</v>
      </c>
      <c r="AY69" s="78">
        <f t="shared" si="93"/>
        <v>-11670.856618336969</v>
      </c>
      <c r="AZ69" s="78">
        <f t="shared" si="93"/>
        <v>-11422.028314353813</v>
      </c>
      <c r="BA69" s="78">
        <f t="shared" si="93"/>
        <v>-11175.615819147191</v>
      </c>
      <c r="BB69" s="78">
        <f t="shared" si="93"/>
        <v>-10931.595678262966</v>
      </c>
    </row>
    <row r="70" spans="1:54" x14ac:dyDescent="0.25">
      <c r="A70" s="180"/>
      <c r="B70" s="80" t="s">
        <v>361</v>
      </c>
      <c r="C70" s="81" t="s">
        <v>362</v>
      </c>
      <c r="D70" s="92">
        <f>SUM(D68:BB68)</f>
        <v>-10931.595678262966</v>
      </c>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row>
    <row r="71" spans="1:54" x14ac:dyDescent="0.25">
      <c r="A71" s="177" t="s">
        <v>716</v>
      </c>
      <c r="B71" t="s">
        <v>363</v>
      </c>
      <c r="C71" s="72" t="s">
        <v>362</v>
      </c>
      <c r="D71">
        <f>-(PV!$B$56*PV!$B$60)/South_Facade_PV_10S!$B$7</f>
        <v>-4198.7624999999998</v>
      </c>
      <c r="E71">
        <v>0</v>
      </c>
      <c r="F71">
        <v>0</v>
      </c>
      <c r="G71">
        <v>0</v>
      </c>
      <c r="H71">
        <v>0</v>
      </c>
      <c r="I71">
        <v>0</v>
      </c>
      <c r="J71">
        <v>0</v>
      </c>
      <c r="K71">
        <v>0</v>
      </c>
      <c r="L71">
        <v>0</v>
      </c>
      <c r="M71">
        <v>0</v>
      </c>
      <c r="N71">
        <f>-((PV!$B$78*PV!$B$56)/South_Facade_PV_10S!$B$7)*(1+$C$1)^N$168</f>
        <v>-3273.3971051182366</v>
      </c>
      <c r="O71">
        <v>0</v>
      </c>
      <c r="P71">
        <v>0</v>
      </c>
      <c r="Q71">
        <v>0</v>
      </c>
      <c r="R71">
        <v>0</v>
      </c>
      <c r="S71">
        <v>0</v>
      </c>
      <c r="T71">
        <v>0</v>
      </c>
      <c r="U71">
        <v>0</v>
      </c>
      <c r="V71">
        <v>0</v>
      </c>
      <c r="W71">
        <v>0</v>
      </c>
      <c r="X71">
        <f>-((PV!$B$78*PV!$B$56)/South_Facade_PV_10S!$B$7)*(1+$C$1)^X$168</f>
        <v>-3990.2528055661219</v>
      </c>
      <c r="Y71">
        <v>0</v>
      </c>
      <c r="Z71">
        <v>0</v>
      </c>
      <c r="AA71">
        <v>0</v>
      </c>
      <c r="AB71">
        <v>0</v>
      </c>
      <c r="AC71">
        <f>-(PV!$B$80*PV!$B$56/South_Facade_PV_10S!$B$7)*(1+$C$1)^AC$168</f>
        <v>-1308.8825169897375</v>
      </c>
      <c r="AD71">
        <v>0</v>
      </c>
      <c r="AE71">
        <v>0</v>
      </c>
      <c r="AF71">
        <v>0</v>
      </c>
      <c r="AG71">
        <v>0</v>
      </c>
      <c r="AH71">
        <f>-((PV!$B$78*PV!$B$56)/South_Facade_PV_10S!$B$7)*(1+$C$1)^AH$168</f>
        <v>-4864.0959043535267</v>
      </c>
      <c r="AI71">
        <v>0</v>
      </c>
      <c r="AJ71">
        <v>0</v>
      </c>
      <c r="AK71">
        <v>0</v>
      </c>
      <c r="AL71">
        <v>0</v>
      </c>
      <c r="AM71">
        <v>0</v>
      </c>
      <c r="AN71">
        <v>0</v>
      </c>
      <c r="AO71">
        <v>0</v>
      </c>
      <c r="AP71">
        <v>0</v>
      </c>
      <c r="AQ71">
        <v>0</v>
      </c>
      <c r="AR71">
        <f>-((PV!$B$78*PV!$B$56)/South_Facade_PV_10S!$B$7)*(1+$C$1)^AR$168</f>
        <v>-5929.3057657263007</v>
      </c>
      <c r="AS71">
        <v>0</v>
      </c>
      <c r="AT71">
        <v>0</v>
      </c>
      <c r="AU71">
        <v>0</v>
      </c>
      <c r="AV71">
        <v>0</v>
      </c>
      <c r="AW71">
        <v>0</v>
      </c>
      <c r="AX71">
        <v>0</v>
      </c>
      <c r="AY71">
        <v>0</v>
      </c>
      <c r="AZ71">
        <v>0</v>
      </c>
      <c r="BA71">
        <v>0</v>
      </c>
      <c r="BB71">
        <v>0</v>
      </c>
    </row>
    <row r="72" spans="1:54" x14ac:dyDescent="0.25">
      <c r="A72" s="177"/>
      <c r="B72" t="s">
        <v>356</v>
      </c>
      <c r="C72" s="72" t="s">
        <v>362</v>
      </c>
      <c r="D72">
        <v>0</v>
      </c>
      <c r="E72" s="18">
        <f>ABS('Annual Calculations'!$Q$13)*(1+$C$3)^E$168</f>
        <v>216.89717993702587</v>
      </c>
      <c r="F72" s="18">
        <f>ABS('Annual Calculations'!$Q$13)*(1+$C$3)^F$168</f>
        <v>221.23512353576641</v>
      </c>
      <c r="G72" s="18">
        <f>ABS('Annual Calculations'!$Q$13)*(1+$C$3)^G$168</f>
        <v>225.65982600648169</v>
      </c>
      <c r="H72" s="18">
        <f>ABS('Annual Calculations'!$Q$13)*(1+$C$3)^H$168</f>
        <v>230.17302252661136</v>
      </c>
      <c r="I72" s="18">
        <f>ABS('Annual Calculations'!$Q$13)*(1+$C$3)^I$168</f>
        <v>234.77648297714359</v>
      </c>
      <c r="J72" s="18">
        <f>ABS('Annual Calculations'!$Q$13)*(1+$C$3)^J$168</f>
        <v>239.47201263668646</v>
      </c>
      <c r="K72" s="18">
        <f>ABS('Annual Calculations'!$Q$13)*(1+$C$3)^K$168</f>
        <v>244.26145288942016</v>
      </c>
      <c r="L72" s="18">
        <f>ABS('Annual Calculations'!$Q$13)*(1+$C$3)^L$168</f>
        <v>249.14668194720858</v>
      </c>
      <c r="M72" s="18">
        <f>ABS('Annual Calculations'!$Q$13)*(1+$C$3)^M$168</f>
        <v>254.12961558615274</v>
      </c>
      <c r="N72" s="18">
        <f>ABS('Annual Calculations'!$Q$13)*(1+$C$3)^N$168</f>
        <v>259.21220789787583</v>
      </c>
      <c r="O72" s="18">
        <f>ABS('Annual Calculations'!$Q$13)*(1+$C$3)^O$168</f>
        <v>264.39645205583327</v>
      </c>
      <c r="P72" s="18">
        <f>ABS('Annual Calculations'!$Q$13)*(1+$C$3)^P$168</f>
        <v>269.68438109695001</v>
      </c>
      <c r="Q72" s="18">
        <f>ABS('Annual Calculations'!$Q$13)*(1+$C$3)^Q$168</f>
        <v>275.07806871888897</v>
      </c>
      <c r="R72" s="18">
        <f>ABS('Annual Calculations'!$Q$13)*(1+$C$3)^R$168</f>
        <v>280.57963009326676</v>
      </c>
      <c r="S72" s="18">
        <f>ABS('Annual Calculations'!$Q$13)*(1+$C$3)^S$168</f>
        <v>286.19122269513201</v>
      </c>
      <c r="T72" s="18">
        <f>ABS('Annual Calculations'!$Q$13)*(1+$C$3)^T$168</f>
        <v>291.91504714903471</v>
      </c>
      <c r="U72" s="18">
        <f>ABS('Annual Calculations'!$Q$13)*(1+$C$3)^U$168</f>
        <v>297.75334809201547</v>
      </c>
      <c r="V72" s="18">
        <f>ABS('Annual Calculations'!$Q$13)*(1+$C$3)^V$168</f>
        <v>303.70841505385573</v>
      </c>
      <c r="W72" s="18">
        <f>ABS('Annual Calculations'!$Q$13)*(1+$C$3)^W$168</f>
        <v>309.7825833549328</v>
      </c>
      <c r="X72" s="18">
        <f>ABS('Annual Calculations'!$Q$13)*(1+$C$3)^X$168</f>
        <v>315.97823502203153</v>
      </c>
      <c r="Y72" s="18">
        <f>ABS('Annual Calculations'!$Q$13)*(1+$C$3)^Y$168</f>
        <v>322.29779972247212</v>
      </c>
      <c r="Z72" s="18">
        <f>ABS('Annual Calculations'!$Q$13)*(1+$C$3)^Z$168</f>
        <v>328.74375571692156</v>
      </c>
      <c r="AA72" s="18">
        <f>ABS('Annual Calculations'!$Q$13)*(1+$C$3)^AA$168</f>
        <v>335.31863083125995</v>
      </c>
      <c r="AB72" s="18">
        <f>ABS('Annual Calculations'!$Q$13)*(1+$C$3)^AB$168</f>
        <v>342.02500344788518</v>
      </c>
      <c r="AC72" s="18">
        <f>ABS('Annual Calculations'!$Q$13)*(1+$C$3)^AC$168</f>
        <v>348.86550351684286</v>
      </c>
      <c r="AD72" s="18">
        <f>ABS('Annual Calculations'!$Q$13)*(1+$C$3)^AD$168</f>
        <v>355.84281358717976</v>
      </c>
      <c r="AE72" s="18">
        <f>ABS('Annual Calculations'!$Q$13)*(1+$C$3)^AE$168</f>
        <v>362.95966985892329</v>
      </c>
      <c r="AF72" s="18">
        <f>ABS('Annual Calculations'!$Q$13)*(1+$C$3)^AF$168</f>
        <v>370.21886325610183</v>
      </c>
      <c r="AG72" s="18">
        <f>ABS('Annual Calculations'!$Q$13)*(1+$C$3)^AG$168</f>
        <v>377.62324052122381</v>
      </c>
      <c r="AH72" s="18">
        <f>ABS('Annual Calculations'!$Q$13)*(1+$C$3)^AH$168</f>
        <v>385.17570533164832</v>
      </c>
      <c r="AI72" s="18">
        <f>ABS('Annual Calculations'!$Q$13)*(1+$C$3)^AI$168</f>
        <v>392.87921943828121</v>
      </c>
      <c r="AJ72" s="18">
        <f>ABS('Annual Calculations'!$Q$13)*(1+$C$3)^AJ$168</f>
        <v>400.73680382704691</v>
      </c>
      <c r="AK72" s="18">
        <f>ABS('Annual Calculations'!$Q$13)*(1+$C$3)^AK$168</f>
        <v>408.75153990358785</v>
      </c>
      <c r="AL72" s="18">
        <f>ABS('Annual Calculations'!$Q$13)*(1+$C$3)^AL$168</f>
        <v>416.92657070165961</v>
      </c>
      <c r="AM72" s="18">
        <f>ABS('Annual Calculations'!$Q$13)*(1+$C$3)^AM$168</f>
        <v>425.2651021156928</v>
      </c>
      <c r="AN72" s="18">
        <f>ABS('Annual Calculations'!$Q$13)*(1+$C$3)^AN$168</f>
        <v>433.77040415800661</v>
      </c>
      <c r="AO72" s="18">
        <f>ABS('Annual Calculations'!$Q$13)*(1+$C$3)^AO$168</f>
        <v>442.44581224116678</v>
      </c>
      <c r="AP72" s="18">
        <f>ABS('Annual Calculations'!$Q$13)*(1+$C$3)^AP$168</f>
        <v>451.29472848599016</v>
      </c>
      <c r="AQ72" s="18">
        <f>ABS('Annual Calculations'!$Q$13)*(1+$C$3)^AQ$168</f>
        <v>460.3206230557098</v>
      </c>
      <c r="AR72" s="18">
        <f>ABS('Annual Calculations'!$Q$13)*(1+$C$3)^AR$168</f>
        <v>469.52703551682413</v>
      </c>
      <c r="AS72" s="18">
        <f>ABS('Annual Calculations'!$Q$13)*(1+$C$3)^AS$168</f>
        <v>478.91757622716057</v>
      </c>
      <c r="AT72" s="18">
        <f>ABS('Annual Calculations'!$Q$13)*(1+$C$3)^AT$168</f>
        <v>488.49592775170379</v>
      </c>
      <c r="AU72" s="18">
        <f>ABS('Annual Calculations'!$Q$13)*(1+$C$3)^AU$168</f>
        <v>498.26584630673779</v>
      </c>
      <c r="AV72" s="18">
        <f>ABS('Annual Calculations'!$Q$13)*(1+$C$3)^AV$168</f>
        <v>508.23116323287263</v>
      </c>
      <c r="AW72" s="18">
        <f>ABS('Annual Calculations'!$Q$13)*(1+$C$3)^AW$168</f>
        <v>518.39578649753003</v>
      </c>
      <c r="AX72" s="18">
        <f>ABS('Annual Calculations'!$Q$13)*(1+$C$3)^AX$168</f>
        <v>528.76370222748074</v>
      </c>
      <c r="AY72" s="18">
        <f>ABS('Annual Calculations'!$Q$13)*(1+$C$3)^AY$168</f>
        <v>539.33897627203021</v>
      </c>
      <c r="AZ72" s="18">
        <f>ABS('Annual Calculations'!$Q$13)*(1+$C$3)^AZ$168</f>
        <v>550.1257557974709</v>
      </c>
      <c r="BA72" s="18">
        <f>ABS('Annual Calculations'!$Q$13)*(1+$C$3)^BA$168</f>
        <v>561.12827091342035</v>
      </c>
      <c r="BB72" s="18">
        <f>ABS('Annual Calculations'!$Q$13)*(1+$C$3)^BB$168</f>
        <v>572.3508363316887</v>
      </c>
    </row>
    <row r="73" spans="1:54" x14ac:dyDescent="0.25">
      <c r="A73" s="177"/>
      <c r="B73" t="s">
        <v>357</v>
      </c>
      <c r="C73" s="72" t="s">
        <v>362</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row>
    <row r="74" spans="1:54" x14ac:dyDescent="0.25">
      <c r="A74" s="177"/>
      <c r="B74" t="s">
        <v>358</v>
      </c>
      <c r="C74" s="72" t="s">
        <v>362</v>
      </c>
      <c r="D74">
        <f>SUM(D71:D73)</f>
        <v>-4198.7624999999998</v>
      </c>
      <c r="E74" s="18">
        <f t="shared" ref="E74:BB74" si="94">SUM(E71:E73)</f>
        <v>216.89717993702587</v>
      </c>
      <c r="F74" s="18">
        <f t="shared" si="94"/>
        <v>221.23512353576641</v>
      </c>
      <c r="G74" s="18">
        <f t="shared" si="94"/>
        <v>225.65982600648169</v>
      </c>
      <c r="H74" s="18">
        <f t="shared" si="94"/>
        <v>230.17302252661136</v>
      </c>
      <c r="I74" s="18">
        <f t="shared" si="94"/>
        <v>234.77648297714359</v>
      </c>
      <c r="J74" s="18">
        <f t="shared" si="94"/>
        <v>239.47201263668646</v>
      </c>
      <c r="K74" s="18">
        <f t="shared" si="94"/>
        <v>244.26145288942016</v>
      </c>
      <c r="L74" s="18">
        <f t="shared" si="94"/>
        <v>249.14668194720858</v>
      </c>
      <c r="M74" s="18">
        <f t="shared" si="94"/>
        <v>254.12961558615274</v>
      </c>
      <c r="N74" s="18">
        <f t="shared" si="94"/>
        <v>-3014.1848972203607</v>
      </c>
      <c r="O74" s="18">
        <f t="shared" si="94"/>
        <v>264.39645205583327</v>
      </c>
      <c r="P74" s="18">
        <f t="shared" si="94"/>
        <v>269.68438109695001</v>
      </c>
      <c r="Q74" s="18">
        <f t="shared" si="94"/>
        <v>275.07806871888897</v>
      </c>
      <c r="R74" s="18">
        <f t="shared" si="94"/>
        <v>280.57963009326676</v>
      </c>
      <c r="S74" s="18">
        <f t="shared" si="94"/>
        <v>286.19122269513201</v>
      </c>
      <c r="T74" s="18">
        <f t="shared" si="94"/>
        <v>291.91504714903471</v>
      </c>
      <c r="U74" s="18">
        <f t="shared" si="94"/>
        <v>297.75334809201547</v>
      </c>
      <c r="V74" s="18">
        <f t="shared" si="94"/>
        <v>303.70841505385573</v>
      </c>
      <c r="W74" s="18">
        <f t="shared" si="94"/>
        <v>309.7825833549328</v>
      </c>
      <c r="X74" s="18">
        <f t="shared" si="94"/>
        <v>-3674.2745705440902</v>
      </c>
      <c r="Y74" s="18">
        <f t="shared" si="94"/>
        <v>322.29779972247212</v>
      </c>
      <c r="Z74" s="18">
        <f t="shared" si="94"/>
        <v>328.74375571692156</v>
      </c>
      <c r="AA74" s="18">
        <f t="shared" si="94"/>
        <v>335.31863083125995</v>
      </c>
      <c r="AB74" s="18">
        <f t="shared" si="94"/>
        <v>342.02500344788518</v>
      </c>
      <c r="AC74" s="18">
        <f t="shared" si="94"/>
        <v>-960.01701347289463</v>
      </c>
      <c r="AD74" s="18">
        <f t="shared" si="94"/>
        <v>355.84281358717976</v>
      </c>
      <c r="AE74" s="18">
        <f t="shared" si="94"/>
        <v>362.95966985892329</v>
      </c>
      <c r="AF74" s="18">
        <f t="shared" si="94"/>
        <v>370.21886325610183</v>
      </c>
      <c r="AG74" s="18">
        <f t="shared" si="94"/>
        <v>377.62324052122381</v>
      </c>
      <c r="AH74" s="18">
        <f t="shared" si="94"/>
        <v>-4478.920199021878</v>
      </c>
      <c r="AI74" s="18">
        <f t="shared" si="94"/>
        <v>392.87921943828121</v>
      </c>
      <c r="AJ74" s="18">
        <f t="shared" si="94"/>
        <v>400.73680382704691</v>
      </c>
      <c r="AK74" s="18">
        <f t="shared" si="94"/>
        <v>408.75153990358785</v>
      </c>
      <c r="AL74" s="18">
        <f t="shared" si="94"/>
        <v>416.92657070165961</v>
      </c>
      <c r="AM74" s="18">
        <f t="shared" si="94"/>
        <v>425.2651021156928</v>
      </c>
      <c r="AN74" s="18">
        <f t="shared" si="94"/>
        <v>433.77040415800661</v>
      </c>
      <c r="AO74" s="18">
        <f t="shared" si="94"/>
        <v>442.44581224116678</v>
      </c>
      <c r="AP74" s="18">
        <f t="shared" si="94"/>
        <v>451.29472848599016</v>
      </c>
      <c r="AQ74" s="18">
        <f t="shared" si="94"/>
        <v>460.3206230557098</v>
      </c>
      <c r="AR74" s="18">
        <f t="shared" si="94"/>
        <v>-5459.7787302094766</v>
      </c>
      <c r="AS74" s="18">
        <f t="shared" si="94"/>
        <v>478.91757622716057</v>
      </c>
      <c r="AT74" s="18">
        <f t="shared" si="94"/>
        <v>488.49592775170379</v>
      </c>
      <c r="AU74" s="18">
        <f t="shared" si="94"/>
        <v>498.26584630673779</v>
      </c>
      <c r="AV74" s="18">
        <f t="shared" si="94"/>
        <v>508.23116323287263</v>
      </c>
      <c r="AW74" s="18">
        <f t="shared" si="94"/>
        <v>518.39578649753003</v>
      </c>
      <c r="AX74" s="18">
        <f t="shared" si="94"/>
        <v>528.76370222748074</v>
      </c>
      <c r="AY74" s="18">
        <f t="shared" si="94"/>
        <v>539.33897627203021</v>
      </c>
      <c r="AZ74" s="18">
        <f t="shared" si="94"/>
        <v>550.1257557974709</v>
      </c>
      <c r="BA74" s="18">
        <f t="shared" si="94"/>
        <v>561.12827091342035</v>
      </c>
      <c r="BB74" s="18">
        <f t="shared" si="94"/>
        <v>572.3508363316887</v>
      </c>
    </row>
    <row r="75" spans="1:54" x14ac:dyDescent="0.25">
      <c r="A75" s="177"/>
      <c r="B75" t="s">
        <v>359</v>
      </c>
      <c r="C75" s="72"/>
      <c r="D75">
        <f t="shared" ref="D75:AI75" si="95">(1+$C$2)^D$168</f>
        <v>1</v>
      </c>
      <c r="E75" s="40">
        <f t="shared" si="95"/>
        <v>1.03</v>
      </c>
      <c r="F75" s="40">
        <f t="shared" si="95"/>
        <v>1.0609</v>
      </c>
      <c r="G75" s="40">
        <f t="shared" si="95"/>
        <v>1.092727</v>
      </c>
      <c r="H75" s="40">
        <f t="shared" si="95"/>
        <v>1.1255088099999999</v>
      </c>
      <c r="I75" s="40">
        <f t="shared" si="95"/>
        <v>1.1592740742999998</v>
      </c>
      <c r="J75" s="40">
        <f t="shared" si="95"/>
        <v>1.1940522965289999</v>
      </c>
      <c r="K75" s="40">
        <f t="shared" si="95"/>
        <v>1.22987386542487</v>
      </c>
      <c r="L75" s="40">
        <f t="shared" si="95"/>
        <v>1.2667700813876159</v>
      </c>
      <c r="M75" s="40">
        <f t="shared" si="95"/>
        <v>1.3047731838292445</v>
      </c>
      <c r="N75" s="40">
        <f t="shared" si="95"/>
        <v>1.3439163793441218</v>
      </c>
      <c r="O75" s="40">
        <f t="shared" si="95"/>
        <v>1.3842338707244455</v>
      </c>
      <c r="P75" s="40">
        <f t="shared" si="95"/>
        <v>1.4257608868461786</v>
      </c>
      <c r="Q75" s="40">
        <f t="shared" si="95"/>
        <v>1.4685337134515639</v>
      </c>
      <c r="R75" s="40">
        <f t="shared" si="95"/>
        <v>1.512589724855111</v>
      </c>
      <c r="S75" s="40">
        <f t="shared" si="95"/>
        <v>1.5579674166007644</v>
      </c>
      <c r="T75" s="40">
        <f t="shared" si="95"/>
        <v>1.6047064390987871</v>
      </c>
      <c r="U75" s="40">
        <f t="shared" si="95"/>
        <v>1.6528476322717507</v>
      </c>
      <c r="V75" s="40">
        <f t="shared" si="95"/>
        <v>1.7024330612399032</v>
      </c>
      <c r="W75" s="40">
        <f t="shared" si="95"/>
        <v>1.7535060530771003</v>
      </c>
      <c r="X75" s="40">
        <f t="shared" si="95"/>
        <v>1.8061112346694133</v>
      </c>
      <c r="Y75" s="40">
        <f t="shared" si="95"/>
        <v>1.8602945717094954</v>
      </c>
      <c r="Z75" s="40">
        <f t="shared" si="95"/>
        <v>1.9161034088607805</v>
      </c>
      <c r="AA75" s="40">
        <f t="shared" si="95"/>
        <v>1.973586511126604</v>
      </c>
      <c r="AB75" s="40">
        <f t="shared" si="95"/>
        <v>2.0327941064604018</v>
      </c>
      <c r="AC75" s="40">
        <f t="shared" si="95"/>
        <v>2.0937779296542138</v>
      </c>
      <c r="AD75" s="40">
        <f t="shared" si="95"/>
        <v>2.1565912675438406</v>
      </c>
      <c r="AE75" s="40">
        <f t="shared" si="95"/>
        <v>2.2212890055701555</v>
      </c>
      <c r="AF75" s="40">
        <f t="shared" si="95"/>
        <v>2.2879276757372602</v>
      </c>
      <c r="AG75" s="40">
        <f t="shared" si="95"/>
        <v>2.3565655060093778</v>
      </c>
      <c r="AH75" s="40">
        <f t="shared" si="95"/>
        <v>2.4272624711896591</v>
      </c>
      <c r="AI75" s="40">
        <f t="shared" si="95"/>
        <v>2.5000803453253493</v>
      </c>
      <c r="AJ75" s="40">
        <f t="shared" ref="AJ75:BB75" si="96">(1+$C$2)^AJ$168</f>
        <v>2.5750827556851092</v>
      </c>
      <c r="AK75" s="40">
        <f t="shared" si="96"/>
        <v>2.6523352383556626</v>
      </c>
      <c r="AL75" s="40">
        <f t="shared" si="96"/>
        <v>2.7319052955063321</v>
      </c>
      <c r="AM75" s="40">
        <f t="shared" si="96"/>
        <v>2.8138624543715225</v>
      </c>
      <c r="AN75" s="40">
        <f t="shared" si="96"/>
        <v>2.898278328002668</v>
      </c>
      <c r="AO75" s="40">
        <f t="shared" si="96"/>
        <v>2.9852266778427476</v>
      </c>
      <c r="AP75" s="40">
        <f t="shared" si="96"/>
        <v>3.0747834781780301</v>
      </c>
      <c r="AQ75" s="40">
        <f t="shared" si="96"/>
        <v>3.1670269825233714</v>
      </c>
      <c r="AR75" s="40">
        <f t="shared" si="96"/>
        <v>3.262037791999072</v>
      </c>
      <c r="AS75" s="40">
        <f t="shared" si="96"/>
        <v>3.3598989257590444</v>
      </c>
      <c r="AT75" s="40">
        <f t="shared" si="96"/>
        <v>3.4606958935318159</v>
      </c>
      <c r="AU75" s="40">
        <f t="shared" si="96"/>
        <v>3.5645167703377703</v>
      </c>
      <c r="AV75" s="40">
        <f t="shared" si="96"/>
        <v>3.6714522734479029</v>
      </c>
      <c r="AW75" s="40">
        <f t="shared" si="96"/>
        <v>3.78159584165134</v>
      </c>
      <c r="AX75" s="40">
        <f t="shared" si="96"/>
        <v>3.8950437169008802</v>
      </c>
      <c r="AY75" s="40">
        <f t="shared" si="96"/>
        <v>4.0118950284079071</v>
      </c>
      <c r="AZ75" s="40">
        <f t="shared" si="96"/>
        <v>4.1322518792601439</v>
      </c>
      <c r="BA75" s="40">
        <f t="shared" si="96"/>
        <v>4.2562194356379477</v>
      </c>
      <c r="BB75" s="40">
        <f t="shared" si="96"/>
        <v>4.3839060187070862</v>
      </c>
    </row>
    <row r="76" spans="1:54" x14ac:dyDescent="0.25">
      <c r="A76" s="177"/>
      <c r="B76" t="s">
        <v>360</v>
      </c>
      <c r="C76" s="72" t="s">
        <v>362</v>
      </c>
      <c r="D76">
        <f>D74/D75</f>
        <v>-4198.7624999999998</v>
      </c>
      <c r="E76" s="18">
        <f>E74/E75</f>
        <v>210.57978634662706</v>
      </c>
      <c r="F76" s="18">
        <f>F74/F75</f>
        <v>208.53532240151421</v>
      </c>
      <c r="G76" s="18">
        <f t="shared" ref="G76:BB76" si="97">G74/G75</f>
        <v>206.51070762091692</v>
      </c>
      <c r="H76" s="18">
        <f t="shared" si="97"/>
        <v>204.5057492945003</v>
      </c>
      <c r="I76" s="18">
        <f t="shared" si="97"/>
        <v>202.52025658290322</v>
      </c>
      <c r="J76" s="18">
        <f t="shared" si="97"/>
        <v>200.55404049957406</v>
      </c>
      <c r="K76" s="18">
        <f t="shared" si="97"/>
        <v>198.60691389278205</v>
      </c>
      <c r="L76" s="18">
        <f t="shared" si="97"/>
        <v>196.67869142780361</v>
      </c>
      <c r="M76" s="18">
        <f t="shared" si="97"/>
        <v>194.76918956928122</v>
      </c>
      <c r="N76" s="18">
        <f t="shared" si="97"/>
        <v>-2242.8366403952814</v>
      </c>
      <c r="O76" s="18">
        <f t="shared" si="97"/>
        <v>191.00562242235853</v>
      </c>
      <c r="P76" s="18">
        <f t="shared" si="97"/>
        <v>189.15119890369493</v>
      </c>
      <c r="Q76" s="18">
        <f t="shared" si="97"/>
        <v>187.31477949686291</v>
      </c>
      <c r="R76" s="18">
        <f t="shared" si="97"/>
        <v>185.49618940466036</v>
      </c>
      <c r="S76" s="18">
        <f t="shared" si="97"/>
        <v>183.69525552694515</v>
      </c>
      <c r="T76" s="18">
        <f t="shared" si="97"/>
        <v>181.91180644415934</v>
      </c>
      <c r="U76" s="18">
        <f t="shared" si="97"/>
        <v>180.14567240101221</v>
      </c>
      <c r="V76" s="18">
        <f t="shared" si="97"/>
        <v>178.39668529032272</v>
      </c>
      <c r="W76" s="18">
        <f t="shared" si="97"/>
        <v>176.6646786370186</v>
      </c>
      <c r="X76" s="18">
        <f t="shared" si="97"/>
        <v>-2034.3567439336712</v>
      </c>
      <c r="Y76" s="18">
        <f t="shared" si="97"/>
        <v>173.25094886789915</v>
      </c>
      <c r="Z76" s="18">
        <f t="shared" si="97"/>
        <v>171.56890082063796</v>
      </c>
      <c r="AA76" s="18">
        <f t="shared" si="97"/>
        <v>169.90318333694242</v>
      </c>
      <c r="AB76" s="18">
        <f t="shared" si="97"/>
        <v>168.25363786765175</v>
      </c>
      <c r="AC76" s="18">
        <f t="shared" si="97"/>
        <v>-458.50947222060023</v>
      </c>
      <c r="AD76" s="18">
        <f t="shared" si="97"/>
        <v>165.00243645725786</v>
      </c>
      <c r="AE76" s="18">
        <f t="shared" si="97"/>
        <v>163.4004710547602</v>
      </c>
      <c r="AF76" s="18">
        <f t="shared" si="97"/>
        <v>161.81405871442277</v>
      </c>
      <c r="AG76" s="18">
        <f t="shared" si="97"/>
        <v>160.24304843564195</v>
      </c>
      <c r="AH76" s="18">
        <f t="shared" si="97"/>
        <v>-1845.2558189253643</v>
      </c>
      <c r="AI76" s="18">
        <f t="shared" si="97"/>
        <v>157.14663737622948</v>
      </c>
      <c r="AJ76" s="18">
        <f t="shared" si="97"/>
        <v>155.62094186772245</v>
      </c>
      <c r="AK76" s="18">
        <f t="shared" si="97"/>
        <v>154.11005893696785</v>
      </c>
      <c r="AL76" s="18">
        <f t="shared" si="97"/>
        <v>152.61384477253131</v>
      </c>
      <c r="AM76" s="18">
        <f t="shared" si="97"/>
        <v>151.13215695920573</v>
      </c>
      <c r="AN76" s="18">
        <f t="shared" si="97"/>
        <v>149.66485446445614</v>
      </c>
      <c r="AO76" s="18">
        <f t="shared" si="97"/>
        <v>148.21179762499546</v>
      </c>
      <c r="AP76" s="18">
        <f t="shared" si="97"/>
        <v>146.77284813349064</v>
      </c>
      <c r="AQ76" s="18">
        <f t="shared" si="97"/>
        <v>145.34786902539844</v>
      </c>
      <c r="AR76" s="18">
        <f t="shared" si="97"/>
        <v>-1673.7325188570439</v>
      </c>
      <c r="AS76" s="18">
        <f t="shared" si="97"/>
        <v>142.53928073713317</v>
      </c>
      <c r="AT76" s="18">
        <f t="shared" si="97"/>
        <v>141.15540422512217</v>
      </c>
      <c r="AU76" s="18">
        <f t="shared" si="97"/>
        <v>139.7849634074025</v>
      </c>
      <c r="AV76" s="18">
        <f t="shared" si="97"/>
        <v>138.4278278403404</v>
      </c>
      <c r="AW76" s="18">
        <f t="shared" si="97"/>
        <v>137.08386834674485</v>
      </c>
      <c r="AX76" s="18">
        <f t="shared" si="97"/>
        <v>135.75295700357259</v>
      </c>
      <c r="AY76" s="18">
        <f t="shared" si="97"/>
        <v>134.43496712975144</v>
      </c>
      <c r="AZ76" s="18">
        <f t="shared" si="97"/>
        <v>133.12977327412281</v>
      </c>
      <c r="BA76" s="18">
        <f t="shared" si="97"/>
        <v>131.8372512035003</v>
      </c>
      <c r="BB76" s="18">
        <f t="shared" si="97"/>
        <v>130.55727789084494</v>
      </c>
    </row>
    <row r="77" spans="1:54" x14ac:dyDescent="0.25">
      <c r="A77" s="177"/>
      <c r="B77" s="76" t="s">
        <v>645</v>
      </c>
      <c r="C77" s="77" t="s">
        <v>362</v>
      </c>
      <c r="D77" s="76">
        <f>D76</f>
        <v>-4198.7624999999998</v>
      </c>
      <c r="E77" s="78">
        <f>E76+D77</f>
        <v>-3988.182713653373</v>
      </c>
      <c r="F77" s="78">
        <f t="shared" ref="F77:BB77" si="98">F76+E77</f>
        <v>-3779.6473912518586</v>
      </c>
      <c r="G77" s="78">
        <f t="shared" si="98"/>
        <v>-3573.1366836309417</v>
      </c>
      <c r="H77" s="78">
        <f t="shared" si="98"/>
        <v>-3368.6309343364414</v>
      </c>
      <c r="I77" s="78">
        <f t="shared" si="98"/>
        <v>-3166.1106777535383</v>
      </c>
      <c r="J77" s="78">
        <f t="shared" si="98"/>
        <v>-2965.5566372539643</v>
      </c>
      <c r="K77" s="78">
        <f t="shared" si="98"/>
        <v>-2766.9497233611824</v>
      </c>
      <c r="L77" s="78">
        <f t="shared" si="98"/>
        <v>-2570.2710319333787</v>
      </c>
      <c r="M77" s="78">
        <f t="shared" si="98"/>
        <v>-2375.5018423640977</v>
      </c>
      <c r="N77" s="78">
        <f t="shared" si="98"/>
        <v>-4618.3384827593791</v>
      </c>
      <c r="O77" s="78">
        <f t="shared" si="98"/>
        <v>-4427.332860337021</v>
      </c>
      <c r="P77" s="78">
        <f t="shared" si="98"/>
        <v>-4238.1816614333256</v>
      </c>
      <c r="Q77" s="78">
        <f t="shared" si="98"/>
        <v>-4050.866881936463</v>
      </c>
      <c r="R77" s="78">
        <f t="shared" si="98"/>
        <v>-3865.3706925318024</v>
      </c>
      <c r="S77" s="78">
        <f t="shared" si="98"/>
        <v>-3681.6754370048575</v>
      </c>
      <c r="T77" s="78">
        <f t="shared" si="98"/>
        <v>-3499.7636305606979</v>
      </c>
      <c r="U77" s="78">
        <f t="shared" si="98"/>
        <v>-3319.6179581596857</v>
      </c>
      <c r="V77" s="78">
        <f t="shared" si="98"/>
        <v>-3141.221272869363</v>
      </c>
      <c r="W77" s="78">
        <f t="shared" si="98"/>
        <v>-2964.5565942323447</v>
      </c>
      <c r="X77" s="78">
        <f t="shared" si="98"/>
        <v>-4998.9133381660158</v>
      </c>
      <c r="Y77" s="78">
        <f t="shared" si="98"/>
        <v>-4825.662389298117</v>
      </c>
      <c r="Z77" s="78">
        <f t="shared" si="98"/>
        <v>-4654.0934884774788</v>
      </c>
      <c r="AA77" s="78">
        <f t="shared" si="98"/>
        <v>-4484.1903051405361</v>
      </c>
      <c r="AB77" s="78">
        <f t="shared" si="98"/>
        <v>-4315.9366672728847</v>
      </c>
      <c r="AC77" s="78">
        <f t="shared" si="98"/>
        <v>-4774.4461394934851</v>
      </c>
      <c r="AD77" s="78">
        <f t="shared" si="98"/>
        <v>-4609.4437030362269</v>
      </c>
      <c r="AE77" s="78">
        <f t="shared" si="98"/>
        <v>-4446.0432319814663</v>
      </c>
      <c r="AF77" s="78">
        <f t="shared" si="98"/>
        <v>-4284.2291732670437</v>
      </c>
      <c r="AG77" s="78">
        <f t="shared" si="98"/>
        <v>-4123.9861248314019</v>
      </c>
      <c r="AH77" s="78">
        <f t="shared" si="98"/>
        <v>-5969.241943756766</v>
      </c>
      <c r="AI77" s="78">
        <f t="shared" si="98"/>
        <v>-5812.0953063805364</v>
      </c>
      <c r="AJ77" s="78">
        <f t="shared" si="98"/>
        <v>-5656.4743645128137</v>
      </c>
      <c r="AK77" s="78">
        <f t="shared" si="98"/>
        <v>-5502.3643055758457</v>
      </c>
      <c r="AL77" s="78">
        <f t="shared" si="98"/>
        <v>-5349.7504608033141</v>
      </c>
      <c r="AM77" s="78">
        <f t="shared" si="98"/>
        <v>-5198.6183038441086</v>
      </c>
      <c r="AN77" s="78">
        <f t="shared" si="98"/>
        <v>-5048.9534493796527</v>
      </c>
      <c r="AO77" s="78">
        <f t="shared" si="98"/>
        <v>-4900.7416517546571</v>
      </c>
      <c r="AP77" s="78">
        <f t="shared" si="98"/>
        <v>-4753.9688036211664</v>
      </c>
      <c r="AQ77" s="78">
        <f t="shared" si="98"/>
        <v>-4608.6209345957677</v>
      </c>
      <c r="AR77" s="78">
        <f t="shared" si="98"/>
        <v>-6282.3534534528117</v>
      </c>
      <c r="AS77" s="78">
        <f t="shared" si="98"/>
        <v>-6139.8141727156781</v>
      </c>
      <c r="AT77" s="78">
        <f t="shared" si="98"/>
        <v>-5998.6587684905562</v>
      </c>
      <c r="AU77" s="78">
        <f t="shared" si="98"/>
        <v>-5858.8738050831535</v>
      </c>
      <c r="AV77" s="78">
        <f t="shared" si="98"/>
        <v>-5720.4459772428127</v>
      </c>
      <c r="AW77" s="78">
        <f t="shared" si="98"/>
        <v>-5583.3621088960681</v>
      </c>
      <c r="AX77" s="78">
        <f t="shared" si="98"/>
        <v>-5447.6091518924959</v>
      </c>
      <c r="AY77" s="78">
        <f t="shared" si="98"/>
        <v>-5313.1741847627445</v>
      </c>
      <c r="AZ77" s="78">
        <f t="shared" si="98"/>
        <v>-5180.0444114886213</v>
      </c>
      <c r="BA77" s="78">
        <f t="shared" si="98"/>
        <v>-5048.2071602851211</v>
      </c>
      <c r="BB77" s="78">
        <f t="shared" si="98"/>
        <v>-4917.6498823942766</v>
      </c>
    </row>
    <row r="78" spans="1:54" x14ac:dyDescent="0.25">
      <c r="A78" s="177"/>
      <c r="B78" s="22" t="s">
        <v>361</v>
      </c>
      <c r="C78" s="75" t="s">
        <v>362</v>
      </c>
      <c r="D78" s="93">
        <f>SUM(D76:BB76)</f>
        <v>-4917.6498823942766</v>
      </c>
    </row>
    <row r="79" spans="1:54" x14ac:dyDescent="0.25">
      <c r="A79" s="180" t="s">
        <v>537</v>
      </c>
      <c r="B79" s="76" t="s">
        <v>363</v>
      </c>
      <c r="C79" s="77" t="s">
        <v>362</v>
      </c>
      <c r="D79" s="78">
        <f>-South_Facade_PV!$B$23/South_Facade_PV!$B$7</f>
        <v>-3159.7999999999997</v>
      </c>
      <c r="E79" s="76">
        <v>0</v>
      </c>
      <c r="F79" s="76">
        <v>0</v>
      </c>
      <c r="G79" s="76">
        <v>0</v>
      </c>
      <c r="H79" s="76">
        <v>0</v>
      </c>
      <c r="I79" s="76">
        <v>0</v>
      </c>
      <c r="J79" s="76">
        <v>0</v>
      </c>
      <c r="K79" s="76">
        <v>0</v>
      </c>
      <c r="L79" s="76">
        <v>0</v>
      </c>
      <c r="M79" s="76">
        <v>0</v>
      </c>
      <c r="N79" s="76">
        <f>-((South_Facade_PV!$B$33*South_Facade_PV!$B$19)/South_Facade_PV!$B$7)*(1+$C$1)^N$168</f>
        <v>-3625.2650251760078</v>
      </c>
      <c r="O79" s="76">
        <v>0</v>
      </c>
      <c r="P79" s="76">
        <v>0</v>
      </c>
      <c r="Q79" s="76">
        <v>0</v>
      </c>
      <c r="R79" s="76">
        <v>0</v>
      </c>
      <c r="S79" s="76">
        <v>0</v>
      </c>
      <c r="T79" s="76">
        <v>0</v>
      </c>
      <c r="U79" s="76">
        <v>0</v>
      </c>
      <c r="V79" s="76">
        <v>0</v>
      </c>
      <c r="W79" s="76">
        <v>0</v>
      </c>
      <c r="X79" s="76">
        <f>-((South_Facade_PV!$B$33*South_Facade_PV!$B$19)/South_Facade_PV!$B$7)*(1+$C$1)^X$168</f>
        <v>-4419.177836691706</v>
      </c>
      <c r="Y79" s="76">
        <v>0</v>
      </c>
      <c r="Z79" s="76">
        <v>0</v>
      </c>
      <c r="AA79" s="76">
        <v>0</v>
      </c>
      <c r="AB79" s="76">
        <v>0</v>
      </c>
      <c r="AC79" s="76">
        <f>-(South_Facade_PV!$B$35*South_Facade_PV!$B$19/South_Facade_PV!$B$7)*(1+$C$1)^X$168</f>
        <v>-998.31176596659679</v>
      </c>
      <c r="AD79" s="76">
        <v>0</v>
      </c>
      <c r="AE79" s="76">
        <v>0</v>
      </c>
      <c r="AF79" s="76">
        <v>0</v>
      </c>
      <c r="AG79" s="76">
        <v>0</v>
      </c>
      <c r="AH79" s="76">
        <f>-((South_Facade_PV!$B$33*South_Facade_PV!$B$19)/South_Facade_PV!$B$7)*(1+$C$1)^AH$168</f>
        <v>-5386.9531238916916</v>
      </c>
      <c r="AI79" s="76">
        <v>0</v>
      </c>
      <c r="AJ79" s="76">
        <v>0</v>
      </c>
      <c r="AK79" s="76">
        <v>0</v>
      </c>
      <c r="AL79" s="76">
        <v>0</v>
      </c>
      <c r="AM79" s="76">
        <v>0</v>
      </c>
      <c r="AN79" s="76">
        <v>0</v>
      </c>
      <c r="AO79" s="76">
        <v>0</v>
      </c>
      <c r="AP79" s="76">
        <v>0</v>
      </c>
      <c r="AQ79" s="76">
        <v>0</v>
      </c>
      <c r="AR79" s="76">
        <f>-((South_Facade_PV!$B$33*South_Facade_PV!$B$19)/South_Facade_PV!$B$7)*(1+$C$1)^AR$168</f>
        <v>-6566.6657987972967</v>
      </c>
      <c r="AS79" s="76">
        <v>0</v>
      </c>
      <c r="AT79" s="76">
        <v>0</v>
      </c>
      <c r="AU79" s="76">
        <v>0</v>
      </c>
      <c r="AV79" s="76">
        <v>0</v>
      </c>
      <c r="AW79" s="76">
        <v>0</v>
      </c>
      <c r="AX79" s="76">
        <v>0</v>
      </c>
      <c r="AY79" s="76">
        <v>0</v>
      </c>
      <c r="AZ79" s="76">
        <v>0</v>
      </c>
      <c r="BA79" s="76">
        <v>0</v>
      </c>
      <c r="BB79" s="76">
        <v>0</v>
      </c>
    </row>
    <row r="80" spans="1:54" x14ac:dyDescent="0.25">
      <c r="A80" s="180"/>
      <c r="B80" s="76" t="s">
        <v>356</v>
      </c>
      <c r="C80" s="77" t="s">
        <v>362</v>
      </c>
      <c r="D80" s="76">
        <v>0</v>
      </c>
      <c r="E80" s="78">
        <f>ABS('Annual Calculations'!$Q$14)*(1+$C$3)^E$168</f>
        <v>119.71248485580752</v>
      </c>
      <c r="F80" s="78">
        <f>ABS('Annual Calculations'!$Q$14)*(1+$C$3)^F$168</f>
        <v>122.10673455292367</v>
      </c>
      <c r="G80" s="78">
        <f>ABS('Annual Calculations'!$Q$14)*(1+$C$3)^G$168</f>
        <v>124.54886924398212</v>
      </c>
      <c r="H80" s="78">
        <f>ABS('Annual Calculations'!$Q$14)*(1+$C$3)^H$168</f>
        <v>127.03984662886178</v>
      </c>
      <c r="I80" s="78">
        <f>ABS('Annual Calculations'!$Q$14)*(1+$C$3)^I$168</f>
        <v>129.58064356143902</v>
      </c>
      <c r="J80" s="78">
        <f>ABS('Annual Calculations'!$Q$14)*(1+$C$3)^J$168</f>
        <v>132.17225643266781</v>
      </c>
      <c r="K80" s="78">
        <f>ABS('Annual Calculations'!$Q$14)*(1+$C$3)^K$168</f>
        <v>134.81570156132113</v>
      </c>
      <c r="L80" s="78">
        <f>ABS('Annual Calculations'!$Q$14)*(1+$C$3)^L$168</f>
        <v>137.51201559254756</v>
      </c>
      <c r="M80" s="78">
        <f>ABS('Annual Calculations'!$Q$14)*(1+$C$3)^M$168</f>
        <v>140.26225590439853</v>
      </c>
      <c r="N80" s="78">
        <f>ABS('Annual Calculations'!$Q$14)*(1+$C$3)^N$168</f>
        <v>143.06750102248651</v>
      </c>
      <c r="O80" s="78">
        <f>ABS('Annual Calculations'!$Q$14)*(1+$C$3)^O$168</f>
        <v>145.9288510429362</v>
      </c>
      <c r="P80" s="78">
        <f>ABS('Annual Calculations'!$Q$14)*(1+$C$3)^P$168</f>
        <v>148.84742806379495</v>
      </c>
      <c r="Q80" s="78">
        <f>ABS('Annual Calculations'!$Q$14)*(1+$C$3)^Q$168</f>
        <v>151.82437662507084</v>
      </c>
      <c r="R80" s="78">
        <f>ABS('Annual Calculations'!$Q$14)*(1+$C$3)^R$168</f>
        <v>154.86086415757228</v>
      </c>
      <c r="S80" s="78">
        <f>ABS('Annual Calculations'!$Q$14)*(1+$C$3)^S$168</f>
        <v>157.95808144072367</v>
      </c>
      <c r="T80" s="78">
        <f>ABS('Annual Calculations'!$Q$14)*(1+$C$3)^T$168</f>
        <v>161.11724306953818</v>
      </c>
      <c r="U80" s="78">
        <f>ABS('Annual Calculations'!$Q$14)*(1+$C$3)^U$168</f>
        <v>164.33958793092896</v>
      </c>
      <c r="V80" s="78">
        <f>ABS('Annual Calculations'!$Q$14)*(1+$C$3)^V$168</f>
        <v>167.62637968954752</v>
      </c>
      <c r="W80" s="78">
        <f>ABS('Annual Calculations'!$Q$14)*(1+$C$3)^W$168</f>
        <v>170.97890728333846</v>
      </c>
      <c r="X80" s="78">
        <f>ABS('Annual Calculations'!$Q$14)*(1+$C$3)^X$168</f>
        <v>174.39848542900523</v>
      </c>
      <c r="Y80" s="78">
        <f>ABS('Annual Calculations'!$Q$14)*(1+$C$3)^Y$168</f>
        <v>177.88645513758533</v>
      </c>
      <c r="Z80" s="78">
        <f>ABS('Annual Calculations'!$Q$14)*(1+$C$3)^Z$168</f>
        <v>181.44418424033705</v>
      </c>
      <c r="AA80" s="78">
        <f>ABS('Annual Calculations'!$Q$14)*(1+$C$3)^AA$168</f>
        <v>185.07306792514376</v>
      </c>
      <c r="AB80" s="78">
        <f>ABS('Annual Calculations'!$Q$14)*(1+$C$3)^AB$168</f>
        <v>188.77452928364664</v>
      </c>
      <c r="AC80" s="78">
        <f>ABS('Annual Calculations'!$Q$14)*(1+$C$3)^AC$168</f>
        <v>192.55001986931958</v>
      </c>
      <c r="AD80" s="78">
        <f>ABS('Annual Calculations'!$Q$14)*(1+$C$3)^AD$168</f>
        <v>196.40102026670598</v>
      </c>
      <c r="AE80" s="78">
        <f>ABS('Annual Calculations'!$Q$14)*(1+$C$3)^AE$168</f>
        <v>200.32904067204007</v>
      </c>
      <c r="AF80" s="78">
        <f>ABS('Annual Calculations'!$Q$14)*(1+$C$3)^AF$168</f>
        <v>204.33562148548091</v>
      </c>
      <c r="AG80" s="78">
        <f>ABS('Annual Calculations'!$Q$14)*(1+$C$3)^AG$168</f>
        <v>208.42233391519051</v>
      </c>
      <c r="AH80" s="78">
        <f>ABS('Annual Calculations'!$Q$14)*(1+$C$3)^AH$168</f>
        <v>212.59078059349432</v>
      </c>
      <c r="AI80" s="78">
        <f>ABS('Annual Calculations'!$Q$14)*(1+$C$3)^AI$168</f>
        <v>216.84259620536417</v>
      </c>
      <c r="AJ80" s="78">
        <f>ABS('Annual Calculations'!$Q$14)*(1+$C$3)^AJ$168</f>
        <v>221.1794481294715</v>
      </c>
      <c r="AK80" s="78">
        <f>ABS('Annual Calculations'!$Q$14)*(1+$C$3)^AK$168</f>
        <v>225.60303709206093</v>
      </c>
      <c r="AL80" s="78">
        <f>ABS('Annual Calculations'!$Q$14)*(1+$C$3)^AL$168</f>
        <v>230.11509783390213</v>
      </c>
      <c r="AM80" s="78">
        <f>ABS('Annual Calculations'!$Q$14)*(1+$C$3)^AM$168</f>
        <v>234.71739979058017</v>
      </c>
      <c r="AN80" s="78">
        <f>ABS('Annual Calculations'!$Q$14)*(1+$C$3)^AN$168</f>
        <v>239.41174778639177</v>
      </c>
      <c r="AO80" s="78">
        <f>ABS('Annual Calculations'!$Q$14)*(1+$C$3)^AO$168</f>
        <v>244.19998274211963</v>
      </c>
      <c r="AP80" s="78">
        <f>ABS('Annual Calculations'!$Q$14)*(1+$C$3)^AP$168</f>
        <v>249.08398239696206</v>
      </c>
      <c r="AQ80" s="78">
        <f>ABS('Annual Calculations'!$Q$14)*(1+$C$3)^AQ$168</f>
        <v>254.06566204490119</v>
      </c>
      <c r="AR80" s="78">
        <f>ABS('Annual Calculations'!$Q$14)*(1+$C$3)^AR$168</f>
        <v>259.14697528579927</v>
      </c>
      <c r="AS80" s="78">
        <f>ABS('Annual Calculations'!$Q$14)*(1+$C$3)^AS$168</f>
        <v>264.32991479151525</v>
      </c>
      <c r="AT80" s="78">
        <f>ABS('Annual Calculations'!$Q$14)*(1+$C$3)^AT$168</f>
        <v>269.61651308734554</v>
      </c>
      <c r="AU80" s="78">
        <f>ABS('Annual Calculations'!$Q$14)*(1+$C$3)^AU$168</f>
        <v>275.00884334909244</v>
      </c>
      <c r="AV80" s="78">
        <f>ABS('Annual Calculations'!$Q$14)*(1+$C$3)^AV$168</f>
        <v>280.50902021607436</v>
      </c>
      <c r="AW80" s="78">
        <f>ABS('Annual Calculations'!$Q$14)*(1+$C$3)^AW$168</f>
        <v>286.11920062039582</v>
      </c>
      <c r="AX80" s="78">
        <f>ABS('Annual Calculations'!$Q$14)*(1+$C$3)^AX$168</f>
        <v>291.84158463280374</v>
      </c>
      <c r="AY80" s="78">
        <f>ABS('Annual Calculations'!$Q$14)*(1+$C$3)^AY$168</f>
        <v>297.67841632545975</v>
      </c>
      <c r="AZ80" s="78">
        <f>ABS('Annual Calculations'!$Q$14)*(1+$C$3)^AZ$168</f>
        <v>303.63198465196899</v>
      </c>
      <c r="BA80" s="78">
        <f>ABS('Annual Calculations'!$Q$14)*(1+$C$3)^BA$168</f>
        <v>309.70462434500837</v>
      </c>
      <c r="BB80" s="78">
        <f>ABS('Annual Calculations'!$Q$14)*(1+$C$3)^BB$168</f>
        <v>315.89871683190853</v>
      </c>
    </row>
    <row r="81" spans="1:54" x14ac:dyDescent="0.25">
      <c r="A81" s="180"/>
      <c r="B81" s="76" t="s">
        <v>357</v>
      </c>
      <c r="C81" s="77" t="s">
        <v>362</v>
      </c>
      <c r="D81" s="76">
        <v>0</v>
      </c>
      <c r="E81" s="76">
        <v>0</v>
      </c>
      <c r="F81" s="76">
        <v>0</v>
      </c>
      <c r="G81" s="76">
        <v>0</v>
      </c>
      <c r="H81" s="76">
        <v>0</v>
      </c>
      <c r="I81" s="76">
        <v>0</v>
      </c>
      <c r="J81" s="76">
        <v>0</v>
      </c>
      <c r="K81" s="76">
        <v>0</v>
      </c>
      <c r="L81" s="76">
        <v>0</v>
      </c>
      <c r="M81" s="76">
        <v>0</v>
      </c>
      <c r="N81" s="76">
        <v>0</v>
      </c>
      <c r="O81" s="76">
        <v>0</v>
      </c>
      <c r="P81" s="76">
        <v>0</v>
      </c>
      <c r="Q81" s="76">
        <v>0</v>
      </c>
      <c r="R81" s="76">
        <v>0</v>
      </c>
      <c r="S81" s="76">
        <v>0</v>
      </c>
      <c r="T81" s="76">
        <v>0</v>
      </c>
      <c r="U81" s="76">
        <v>0</v>
      </c>
      <c r="V81" s="76">
        <v>0</v>
      </c>
      <c r="W81" s="76">
        <v>0</v>
      </c>
      <c r="X81" s="76">
        <v>0</v>
      </c>
      <c r="Y81" s="76">
        <v>0</v>
      </c>
      <c r="Z81" s="76">
        <v>0</v>
      </c>
      <c r="AA81" s="76">
        <v>0</v>
      </c>
      <c r="AB81" s="76">
        <v>0</v>
      </c>
      <c r="AC81" s="76">
        <v>0</v>
      </c>
      <c r="AD81" s="76">
        <v>0</v>
      </c>
      <c r="AE81" s="76">
        <v>0</v>
      </c>
      <c r="AF81" s="76">
        <v>0</v>
      </c>
      <c r="AG81" s="76">
        <v>0</v>
      </c>
      <c r="AH81" s="76">
        <v>0</v>
      </c>
      <c r="AI81" s="76">
        <v>0</v>
      </c>
      <c r="AJ81" s="76">
        <v>0</v>
      </c>
      <c r="AK81" s="76">
        <v>0</v>
      </c>
      <c r="AL81" s="76">
        <v>0</v>
      </c>
      <c r="AM81" s="76">
        <v>0</v>
      </c>
      <c r="AN81" s="76">
        <v>0</v>
      </c>
      <c r="AO81" s="76">
        <v>0</v>
      </c>
      <c r="AP81" s="76">
        <v>0</v>
      </c>
      <c r="AQ81" s="76">
        <v>0</v>
      </c>
      <c r="AR81" s="76">
        <v>0</v>
      </c>
      <c r="AS81" s="76">
        <v>0</v>
      </c>
      <c r="AT81" s="76">
        <v>0</v>
      </c>
      <c r="AU81" s="76">
        <v>0</v>
      </c>
      <c r="AV81" s="76">
        <v>0</v>
      </c>
      <c r="AW81" s="76">
        <v>0</v>
      </c>
      <c r="AX81" s="76">
        <v>0</v>
      </c>
      <c r="AY81" s="76">
        <v>0</v>
      </c>
      <c r="AZ81" s="76">
        <v>0</v>
      </c>
      <c r="BA81" s="76">
        <v>0</v>
      </c>
      <c r="BB81" s="76">
        <v>0</v>
      </c>
    </row>
    <row r="82" spans="1:54" x14ac:dyDescent="0.25">
      <c r="A82" s="180"/>
      <c r="B82" s="76" t="s">
        <v>358</v>
      </c>
      <c r="C82" s="77" t="s">
        <v>362</v>
      </c>
      <c r="D82" s="76">
        <f>SUM(D79:D81)</f>
        <v>-3159.7999999999997</v>
      </c>
      <c r="E82" s="78">
        <f t="shared" ref="E82:BB82" si="99">SUM(E79:E81)</f>
        <v>119.71248485580752</v>
      </c>
      <c r="F82" s="78">
        <f t="shared" si="99"/>
        <v>122.10673455292367</v>
      </c>
      <c r="G82" s="78">
        <f t="shared" si="99"/>
        <v>124.54886924398212</v>
      </c>
      <c r="H82" s="78">
        <f t="shared" si="99"/>
        <v>127.03984662886178</v>
      </c>
      <c r="I82" s="78">
        <f t="shared" si="99"/>
        <v>129.58064356143902</v>
      </c>
      <c r="J82" s="78">
        <f t="shared" si="99"/>
        <v>132.17225643266781</v>
      </c>
      <c r="K82" s="78">
        <f t="shared" si="99"/>
        <v>134.81570156132113</v>
      </c>
      <c r="L82" s="78">
        <f t="shared" si="99"/>
        <v>137.51201559254756</v>
      </c>
      <c r="M82" s="78">
        <f t="shared" si="99"/>
        <v>140.26225590439853</v>
      </c>
      <c r="N82" s="78">
        <f t="shared" si="99"/>
        <v>-3482.1975241535215</v>
      </c>
      <c r="O82" s="78">
        <f t="shared" si="99"/>
        <v>145.9288510429362</v>
      </c>
      <c r="P82" s="78">
        <f t="shared" si="99"/>
        <v>148.84742806379495</v>
      </c>
      <c r="Q82" s="78">
        <f t="shared" si="99"/>
        <v>151.82437662507084</v>
      </c>
      <c r="R82" s="78">
        <f t="shared" si="99"/>
        <v>154.86086415757228</v>
      </c>
      <c r="S82" s="78">
        <f t="shared" si="99"/>
        <v>157.95808144072367</v>
      </c>
      <c r="T82" s="78">
        <f t="shared" si="99"/>
        <v>161.11724306953818</v>
      </c>
      <c r="U82" s="78">
        <f t="shared" si="99"/>
        <v>164.33958793092896</v>
      </c>
      <c r="V82" s="78">
        <f t="shared" si="99"/>
        <v>167.62637968954752</v>
      </c>
      <c r="W82" s="78">
        <f t="shared" si="99"/>
        <v>170.97890728333846</v>
      </c>
      <c r="X82" s="78">
        <f t="shared" si="99"/>
        <v>-4244.7793512627004</v>
      </c>
      <c r="Y82" s="78">
        <f t="shared" si="99"/>
        <v>177.88645513758533</v>
      </c>
      <c r="Z82" s="78">
        <f t="shared" si="99"/>
        <v>181.44418424033705</v>
      </c>
      <c r="AA82" s="78">
        <f t="shared" si="99"/>
        <v>185.07306792514376</v>
      </c>
      <c r="AB82" s="78">
        <f t="shared" si="99"/>
        <v>188.77452928364664</v>
      </c>
      <c r="AC82" s="78">
        <f t="shared" si="99"/>
        <v>-805.76174609727718</v>
      </c>
      <c r="AD82" s="78">
        <f t="shared" si="99"/>
        <v>196.40102026670598</v>
      </c>
      <c r="AE82" s="78">
        <f t="shared" si="99"/>
        <v>200.32904067204007</v>
      </c>
      <c r="AF82" s="78">
        <f t="shared" si="99"/>
        <v>204.33562148548091</v>
      </c>
      <c r="AG82" s="78">
        <f t="shared" si="99"/>
        <v>208.42233391519051</v>
      </c>
      <c r="AH82" s="78">
        <f t="shared" si="99"/>
        <v>-5174.3623432981976</v>
      </c>
      <c r="AI82" s="78">
        <f t="shared" si="99"/>
        <v>216.84259620536417</v>
      </c>
      <c r="AJ82" s="78">
        <f t="shared" si="99"/>
        <v>221.1794481294715</v>
      </c>
      <c r="AK82" s="78">
        <f t="shared" si="99"/>
        <v>225.60303709206093</v>
      </c>
      <c r="AL82" s="78">
        <f t="shared" si="99"/>
        <v>230.11509783390213</v>
      </c>
      <c r="AM82" s="78">
        <f t="shared" si="99"/>
        <v>234.71739979058017</v>
      </c>
      <c r="AN82" s="78">
        <f t="shared" si="99"/>
        <v>239.41174778639177</v>
      </c>
      <c r="AO82" s="78">
        <f t="shared" si="99"/>
        <v>244.19998274211963</v>
      </c>
      <c r="AP82" s="78">
        <f t="shared" si="99"/>
        <v>249.08398239696206</v>
      </c>
      <c r="AQ82" s="78">
        <f t="shared" si="99"/>
        <v>254.06566204490119</v>
      </c>
      <c r="AR82" s="78">
        <f t="shared" si="99"/>
        <v>-6307.5188235114974</v>
      </c>
      <c r="AS82" s="78">
        <f t="shared" si="99"/>
        <v>264.32991479151525</v>
      </c>
      <c r="AT82" s="78">
        <f t="shared" si="99"/>
        <v>269.61651308734554</v>
      </c>
      <c r="AU82" s="78">
        <f t="shared" si="99"/>
        <v>275.00884334909244</v>
      </c>
      <c r="AV82" s="78">
        <f t="shared" si="99"/>
        <v>280.50902021607436</v>
      </c>
      <c r="AW82" s="78">
        <f t="shared" si="99"/>
        <v>286.11920062039582</v>
      </c>
      <c r="AX82" s="78">
        <f t="shared" si="99"/>
        <v>291.84158463280374</v>
      </c>
      <c r="AY82" s="78">
        <f t="shared" si="99"/>
        <v>297.67841632545975</v>
      </c>
      <c r="AZ82" s="78">
        <f t="shared" si="99"/>
        <v>303.63198465196899</v>
      </c>
      <c r="BA82" s="78">
        <f t="shared" si="99"/>
        <v>309.70462434500837</v>
      </c>
      <c r="BB82" s="78">
        <f t="shared" si="99"/>
        <v>315.89871683190853</v>
      </c>
    </row>
    <row r="83" spans="1:54" x14ac:dyDescent="0.25">
      <c r="A83" s="180"/>
      <c r="B83" s="76" t="s">
        <v>359</v>
      </c>
      <c r="C83" s="77"/>
      <c r="D83" s="76">
        <f t="shared" ref="D83:AI83" si="100">(1+$C$2)^D$168</f>
        <v>1</v>
      </c>
      <c r="E83" s="79">
        <f t="shared" si="100"/>
        <v>1.03</v>
      </c>
      <c r="F83" s="79">
        <f t="shared" si="100"/>
        <v>1.0609</v>
      </c>
      <c r="G83" s="79">
        <f t="shared" si="100"/>
        <v>1.092727</v>
      </c>
      <c r="H83" s="79">
        <f t="shared" si="100"/>
        <v>1.1255088099999999</v>
      </c>
      <c r="I83" s="79">
        <f t="shared" si="100"/>
        <v>1.1592740742999998</v>
      </c>
      <c r="J83" s="79">
        <f t="shared" si="100"/>
        <v>1.1940522965289999</v>
      </c>
      <c r="K83" s="79">
        <f t="shared" si="100"/>
        <v>1.22987386542487</v>
      </c>
      <c r="L83" s="79">
        <f t="shared" si="100"/>
        <v>1.2667700813876159</v>
      </c>
      <c r="M83" s="79">
        <f t="shared" si="100"/>
        <v>1.3047731838292445</v>
      </c>
      <c r="N83" s="79">
        <f t="shared" si="100"/>
        <v>1.3439163793441218</v>
      </c>
      <c r="O83" s="79">
        <f t="shared" si="100"/>
        <v>1.3842338707244455</v>
      </c>
      <c r="P83" s="79">
        <f t="shared" si="100"/>
        <v>1.4257608868461786</v>
      </c>
      <c r="Q83" s="79">
        <f t="shared" si="100"/>
        <v>1.4685337134515639</v>
      </c>
      <c r="R83" s="79">
        <f t="shared" si="100"/>
        <v>1.512589724855111</v>
      </c>
      <c r="S83" s="79">
        <f t="shared" si="100"/>
        <v>1.5579674166007644</v>
      </c>
      <c r="T83" s="79">
        <f t="shared" si="100"/>
        <v>1.6047064390987871</v>
      </c>
      <c r="U83" s="79">
        <f t="shared" si="100"/>
        <v>1.6528476322717507</v>
      </c>
      <c r="V83" s="79">
        <f t="shared" si="100"/>
        <v>1.7024330612399032</v>
      </c>
      <c r="W83" s="79">
        <f t="shared" si="100"/>
        <v>1.7535060530771003</v>
      </c>
      <c r="X83" s="79">
        <f t="shared" si="100"/>
        <v>1.8061112346694133</v>
      </c>
      <c r="Y83" s="79">
        <f t="shared" si="100"/>
        <v>1.8602945717094954</v>
      </c>
      <c r="Z83" s="79">
        <f t="shared" si="100"/>
        <v>1.9161034088607805</v>
      </c>
      <c r="AA83" s="79">
        <f t="shared" si="100"/>
        <v>1.973586511126604</v>
      </c>
      <c r="AB83" s="79">
        <f t="shared" si="100"/>
        <v>2.0327941064604018</v>
      </c>
      <c r="AC83" s="79">
        <f t="shared" si="100"/>
        <v>2.0937779296542138</v>
      </c>
      <c r="AD83" s="79">
        <f t="shared" si="100"/>
        <v>2.1565912675438406</v>
      </c>
      <c r="AE83" s="79">
        <f t="shared" si="100"/>
        <v>2.2212890055701555</v>
      </c>
      <c r="AF83" s="79">
        <f t="shared" si="100"/>
        <v>2.2879276757372602</v>
      </c>
      <c r="AG83" s="79">
        <f t="shared" si="100"/>
        <v>2.3565655060093778</v>
      </c>
      <c r="AH83" s="79">
        <f t="shared" si="100"/>
        <v>2.4272624711896591</v>
      </c>
      <c r="AI83" s="79">
        <f t="shared" si="100"/>
        <v>2.5000803453253493</v>
      </c>
      <c r="AJ83" s="79">
        <f t="shared" ref="AJ83:BB83" si="101">(1+$C$2)^AJ$168</f>
        <v>2.5750827556851092</v>
      </c>
      <c r="AK83" s="79">
        <f t="shared" si="101"/>
        <v>2.6523352383556626</v>
      </c>
      <c r="AL83" s="79">
        <f t="shared" si="101"/>
        <v>2.7319052955063321</v>
      </c>
      <c r="AM83" s="79">
        <f t="shared" si="101"/>
        <v>2.8138624543715225</v>
      </c>
      <c r="AN83" s="79">
        <f t="shared" si="101"/>
        <v>2.898278328002668</v>
      </c>
      <c r="AO83" s="79">
        <f t="shared" si="101"/>
        <v>2.9852266778427476</v>
      </c>
      <c r="AP83" s="79">
        <f t="shared" si="101"/>
        <v>3.0747834781780301</v>
      </c>
      <c r="AQ83" s="79">
        <f t="shared" si="101"/>
        <v>3.1670269825233714</v>
      </c>
      <c r="AR83" s="79">
        <f t="shared" si="101"/>
        <v>3.262037791999072</v>
      </c>
      <c r="AS83" s="79">
        <f t="shared" si="101"/>
        <v>3.3598989257590444</v>
      </c>
      <c r="AT83" s="79">
        <f t="shared" si="101"/>
        <v>3.4606958935318159</v>
      </c>
      <c r="AU83" s="79">
        <f t="shared" si="101"/>
        <v>3.5645167703377703</v>
      </c>
      <c r="AV83" s="79">
        <f t="shared" si="101"/>
        <v>3.6714522734479029</v>
      </c>
      <c r="AW83" s="79">
        <f t="shared" si="101"/>
        <v>3.78159584165134</v>
      </c>
      <c r="AX83" s="79">
        <f t="shared" si="101"/>
        <v>3.8950437169008802</v>
      </c>
      <c r="AY83" s="79">
        <f t="shared" si="101"/>
        <v>4.0118950284079071</v>
      </c>
      <c r="AZ83" s="79">
        <f t="shared" si="101"/>
        <v>4.1322518792601439</v>
      </c>
      <c r="BA83" s="79">
        <f t="shared" si="101"/>
        <v>4.2562194356379477</v>
      </c>
      <c r="BB83" s="79">
        <f t="shared" si="101"/>
        <v>4.3839060187070862</v>
      </c>
    </row>
    <row r="84" spans="1:54" x14ac:dyDescent="0.25">
      <c r="A84" s="180"/>
      <c r="B84" s="76" t="s">
        <v>360</v>
      </c>
      <c r="C84" s="77" t="s">
        <v>362</v>
      </c>
      <c r="D84" s="76">
        <f>D82/D83</f>
        <v>-3159.7999999999997</v>
      </c>
      <c r="E84" s="78">
        <f>E82/E83</f>
        <v>116.2257134522403</v>
      </c>
      <c r="F84" s="78">
        <f>F82/F83</f>
        <v>115.09730846726711</v>
      </c>
      <c r="G84" s="78">
        <f t="shared" ref="G84:BB84" si="102">G82/G83</f>
        <v>113.97985887049751</v>
      </c>
      <c r="H84" s="78">
        <f t="shared" si="102"/>
        <v>112.87325829893929</v>
      </c>
      <c r="I84" s="78">
        <f t="shared" si="102"/>
        <v>111.77740142225058</v>
      </c>
      <c r="J84" s="78">
        <f t="shared" si="102"/>
        <v>110.69218393271416</v>
      </c>
      <c r="K84" s="78">
        <f t="shared" si="102"/>
        <v>109.61750253530914</v>
      </c>
      <c r="L84" s="78">
        <f t="shared" si="102"/>
        <v>108.55325493787896</v>
      </c>
      <c r="M84" s="78">
        <f t="shared" si="102"/>
        <v>107.49933984139471</v>
      </c>
      <c r="N84" s="78">
        <f t="shared" si="102"/>
        <v>-2591.0819881910775</v>
      </c>
      <c r="O84" s="78">
        <f t="shared" si="102"/>
        <v>105.4221068630286</v>
      </c>
      <c r="P84" s="78">
        <f t="shared" si="102"/>
        <v>104.3985912624167</v>
      </c>
      <c r="Q84" s="78">
        <f t="shared" si="102"/>
        <v>103.3850127064709</v>
      </c>
      <c r="R84" s="78">
        <f t="shared" si="102"/>
        <v>102.38127471902945</v>
      </c>
      <c r="S84" s="78">
        <f t="shared" si="102"/>
        <v>101.38728176059223</v>
      </c>
      <c r="T84" s="78">
        <f t="shared" si="102"/>
        <v>100.40293921922729</v>
      </c>
      <c r="U84" s="78">
        <f t="shared" si="102"/>
        <v>99.428153401564899</v>
      </c>
      <c r="V84" s="78">
        <f t="shared" si="102"/>
        <v>98.462831523879785</v>
      </c>
      <c r="W84" s="78">
        <f t="shared" si="102"/>
        <v>97.506881703259594</v>
      </c>
      <c r="X84" s="78">
        <f t="shared" si="102"/>
        <v>-2350.2314086649571</v>
      </c>
      <c r="Y84" s="78">
        <f t="shared" si="102"/>
        <v>95.622735153239034</v>
      </c>
      <c r="Z84" s="78">
        <f t="shared" si="102"/>
        <v>94.694359083790118</v>
      </c>
      <c r="AA84" s="78">
        <f t="shared" si="102"/>
        <v>93.774996374238739</v>
      </c>
      <c r="AB84" s="78">
        <f t="shared" si="102"/>
        <v>92.864559516236426</v>
      </c>
      <c r="AC84" s="78">
        <f t="shared" si="102"/>
        <v>-384.83629743405896</v>
      </c>
      <c r="AD84" s="78">
        <f t="shared" si="102"/>
        <v>91.070117561214417</v>
      </c>
      <c r="AE84" s="78">
        <f t="shared" si="102"/>
        <v>90.185941662561845</v>
      </c>
      <c r="AF84" s="78">
        <f t="shared" si="102"/>
        <v>89.310349995935056</v>
      </c>
      <c r="AG84" s="78">
        <f t="shared" si="102"/>
        <v>88.44325921927549</v>
      </c>
      <c r="AH84" s="78">
        <f t="shared" si="102"/>
        <v>-2131.7687743765591</v>
      </c>
      <c r="AI84" s="78">
        <f t="shared" si="102"/>
        <v>86.734251005499289</v>
      </c>
      <c r="AJ84" s="78">
        <f t="shared" si="102"/>
        <v>85.892170898649809</v>
      </c>
      <c r="AK84" s="78">
        <f t="shared" si="102"/>
        <v>85.058266326818256</v>
      </c>
      <c r="AL84" s="78">
        <f t="shared" si="102"/>
        <v>84.232457915878271</v>
      </c>
      <c r="AM84" s="78">
        <f t="shared" si="102"/>
        <v>83.414667062326046</v>
      </c>
      <c r="AN84" s="78">
        <f t="shared" si="102"/>
        <v>82.604815925798619</v>
      </c>
      <c r="AO84" s="78">
        <f t="shared" si="102"/>
        <v>81.802827421664659</v>
      </c>
      <c r="AP84" s="78">
        <f t="shared" si="102"/>
        <v>81.008625213687353</v>
      </c>
      <c r="AQ84" s="78">
        <f t="shared" si="102"/>
        <v>80.222133706758299</v>
      </c>
      <c r="AR84" s="78">
        <f t="shared" si="102"/>
        <v>-1933.6130436570036</v>
      </c>
      <c r="AS84" s="78">
        <f t="shared" si="102"/>
        <v>78.671984078151908</v>
      </c>
      <c r="AT84" s="78">
        <f t="shared" si="102"/>
        <v>77.908178407490226</v>
      </c>
      <c r="AU84" s="78">
        <f t="shared" si="102"/>
        <v>77.151788325864118</v>
      </c>
      <c r="AV84" s="78">
        <f t="shared" si="102"/>
        <v>76.40274183726352</v>
      </c>
      <c r="AW84" s="78">
        <f t="shared" si="102"/>
        <v>75.660967644668716</v>
      </c>
      <c r="AX84" s="78">
        <f t="shared" si="102"/>
        <v>74.926395143264173</v>
      </c>
      <c r="AY84" s="78">
        <f t="shared" si="102"/>
        <v>74.1989544137179</v>
      </c>
      <c r="AZ84" s="78">
        <f t="shared" si="102"/>
        <v>73.478576215526473</v>
      </c>
      <c r="BA84" s="78">
        <f t="shared" si="102"/>
        <v>72.765191980424291</v>
      </c>
      <c r="BB84" s="78">
        <f t="shared" si="102"/>
        <v>72.058733805857059</v>
      </c>
    </row>
    <row r="85" spans="1:54" x14ac:dyDescent="0.25">
      <c r="A85" s="180"/>
      <c r="B85" s="76" t="s">
        <v>645</v>
      </c>
      <c r="C85" s="77" t="s">
        <v>362</v>
      </c>
      <c r="D85" s="76">
        <f>D84</f>
        <v>-3159.7999999999997</v>
      </c>
      <c r="E85" s="78">
        <f>E84+D85</f>
        <v>-3043.5742865477596</v>
      </c>
      <c r="F85" s="78">
        <f t="shared" ref="F85:BB85" si="103">F84+E85</f>
        <v>-2928.4769780804927</v>
      </c>
      <c r="G85" s="78">
        <f t="shared" si="103"/>
        <v>-2814.4971192099952</v>
      </c>
      <c r="H85" s="78">
        <f t="shared" si="103"/>
        <v>-2701.623860911056</v>
      </c>
      <c r="I85" s="78">
        <f t="shared" si="103"/>
        <v>-2589.8464594888055</v>
      </c>
      <c r="J85" s="78">
        <f t="shared" si="103"/>
        <v>-2479.1542755560913</v>
      </c>
      <c r="K85" s="78">
        <f t="shared" si="103"/>
        <v>-2369.5367730207822</v>
      </c>
      <c r="L85" s="78">
        <f t="shared" si="103"/>
        <v>-2260.9835180829032</v>
      </c>
      <c r="M85" s="78">
        <f t="shared" si="103"/>
        <v>-2153.4841782415083</v>
      </c>
      <c r="N85" s="78">
        <f t="shared" si="103"/>
        <v>-4744.5661664325853</v>
      </c>
      <c r="O85" s="78">
        <f t="shared" si="103"/>
        <v>-4639.1440595695567</v>
      </c>
      <c r="P85" s="78">
        <f t="shared" si="103"/>
        <v>-4534.7454683071401</v>
      </c>
      <c r="Q85" s="78">
        <f t="shared" si="103"/>
        <v>-4431.3604556006694</v>
      </c>
      <c r="R85" s="78">
        <f t="shared" si="103"/>
        <v>-4328.9791808816399</v>
      </c>
      <c r="S85" s="78">
        <f t="shared" si="103"/>
        <v>-4227.5918991210474</v>
      </c>
      <c r="T85" s="78">
        <f t="shared" si="103"/>
        <v>-4127.1889599018205</v>
      </c>
      <c r="U85" s="78">
        <f t="shared" si="103"/>
        <v>-4027.7608065002555</v>
      </c>
      <c r="V85" s="78">
        <f t="shared" si="103"/>
        <v>-3929.2979749763758</v>
      </c>
      <c r="W85" s="78">
        <f t="shared" si="103"/>
        <v>-3831.7910932731161</v>
      </c>
      <c r="X85" s="78">
        <f t="shared" si="103"/>
        <v>-6182.0225019380732</v>
      </c>
      <c r="Y85" s="78">
        <f t="shared" si="103"/>
        <v>-6086.3997667848344</v>
      </c>
      <c r="Z85" s="78">
        <f t="shared" si="103"/>
        <v>-5991.7054077010444</v>
      </c>
      <c r="AA85" s="78">
        <f t="shared" si="103"/>
        <v>-5897.9304113268054</v>
      </c>
      <c r="AB85" s="78">
        <f t="shared" si="103"/>
        <v>-5805.0658518105693</v>
      </c>
      <c r="AC85" s="78">
        <f t="shared" si="103"/>
        <v>-6189.9021492446282</v>
      </c>
      <c r="AD85" s="78">
        <f t="shared" si="103"/>
        <v>-6098.8320316834133</v>
      </c>
      <c r="AE85" s="78">
        <f t="shared" si="103"/>
        <v>-6008.6460900208513</v>
      </c>
      <c r="AF85" s="78">
        <f t="shared" si="103"/>
        <v>-5919.335740024916</v>
      </c>
      <c r="AG85" s="78">
        <f t="shared" si="103"/>
        <v>-5830.8924808056408</v>
      </c>
      <c r="AH85" s="78">
        <f t="shared" si="103"/>
        <v>-7962.6612551822</v>
      </c>
      <c r="AI85" s="78">
        <f t="shared" si="103"/>
        <v>-7875.9270041767004</v>
      </c>
      <c r="AJ85" s="78">
        <f t="shared" si="103"/>
        <v>-7790.0348332780504</v>
      </c>
      <c r="AK85" s="78">
        <f t="shared" si="103"/>
        <v>-7704.9765669512326</v>
      </c>
      <c r="AL85" s="78">
        <f t="shared" si="103"/>
        <v>-7620.7441090353541</v>
      </c>
      <c r="AM85" s="78">
        <f t="shared" si="103"/>
        <v>-7537.3294419730282</v>
      </c>
      <c r="AN85" s="78">
        <f t="shared" si="103"/>
        <v>-7454.7246260472293</v>
      </c>
      <c r="AO85" s="78">
        <f t="shared" si="103"/>
        <v>-7372.9217986255644</v>
      </c>
      <c r="AP85" s="78">
        <f t="shared" si="103"/>
        <v>-7291.9131734118773</v>
      </c>
      <c r="AQ85" s="78">
        <f t="shared" si="103"/>
        <v>-7211.6910397051188</v>
      </c>
      <c r="AR85" s="78">
        <f t="shared" si="103"/>
        <v>-9145.3040833621217</v>
      </c>
      <c r="AS85" s="78">
        <f t="shared" si="103"/>
        <v>-9066.6320992839701</v>
      </c>
      <c r="AT85" s="78">
        <f t="shared" si="103"/>
        <v>-8988.7239208764804</v>
      </c>
      <c r="AU85" s="78">
        <f t="shared" si="103"/>
        <v>-8911.5721325506165</v>
      </c>
      <c r="AV85" s="78">
        <f t="shared" si="103"/>
        <v>-8835.1693907133522</v>
      </c>
      <c r="AW85" s="78">
        <f t="shared" si="103"/>
        <v>-8759.5084230686844</v>
      </c>
      <c r="AX85" s="78">
        <f t="shared" si="103"/>
        <v>-8684.5820279254203</v>
      </c>
      <c r="AY85" s="78">
        <f t="shared" si="103"/>
        <v>-8610.3830735117026</v>
      </c>
      <c r="AZ85" s="78">
        <f t="shared" si="103"/>
        <v>-8536.9044972961765</v>
      </c>
      <c r="BA85" s="78">
        <f t="shared" si="103"/>
        <v>-8464.1393053157517</v>
      </c>
      <c r="BB85" s="78">
        <f t="shared" si="103"/>
        <v>-8392.0805715098941</v>
      </c>
    </row>
    <row r="86" spans="1:54" x14ac:dyDescent="0.25">
      <c r="A86" s="180"/>
      <c r="B86" s="80" t="s">
        <v>361</v>
      </c>
      <c r="C86" s="81" t="s">
        <v>362</v>
      </c>
      <c r="D86" s="92">
        <f>SUM(D84:BB84)</f>
        <v>-8392.0805715098941</v>
      </c>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row>
    <row r="87" spans="1:54" x14ac:dyDescent="0.25">
      <c r="A87" s="180" t="s">
        <v>854</v>
      </c>
      <c r="B87" s="76" t="s">
        <v>363</v>
      </c>
      <c r="C87" s="77" t="s">
        <v>362</v>
      </c>
      <c r="D87" s="78">
        <f>-South_Facade_PV!$B$28/South_Facade_PV!$B$7</f>
        <v>-1151.2</v>
      </c>
      <c r="E87" s="76">
        <v>0</v>
      </c>
      <c r="F87" s="76">
        <v>0</v>
      </c>
      <c r="G87" s="76">
        <v>0</v>
      </c>
      <c r="H87" s="76">
        <v>0</v>
      </c>
      <c r="I87" s="76">
        <v>0</v>
      </c>
      <c r="J87" s="76">
        <v>0</v>
      </c>
      <c r="K87" s="76">
        <v>0</v>
      </c>
      <c r="L87" s="76">
        <v>0</v>
      </c>
      <c r="M87" s="76">
        <v>0</v>
      </c>
      <c r="N87" s="76">
        <f>-((South_Facade_PV!$B$34*South_Facade_PV!$B$19)/South_Facade_PV!$B$7)*(1+$C$1)^N$168</f>
        <v>-556.47095272760669</v>
      </c>
      <c r="O87" s="76">
        <v>0</v>
      </c>
      <c r="P87" s="76">
        <v>0</v>
      </c>
      <c r="Q87" s="76">
        <v>0</v>
      </c>
      <c r="R87" s="76">
        <v>0</v>
      </c>
      <c r="S87" s="76">
        <v>0</v>
      </c>
      <c r="T87" s="76">
        <v>0</v>
      </c>
      <c r="U87" s="76">
        <v>0</v>
      </c>
      <c r="V87" s="76">
        <v>0</v>
      </c>
      <c r="W87" s="76">
        <v>0</v>
      </c>
      <c r="X87" s="76">
        <f>-((South_Facade_PV!$B$34*South_Facade_PV!$B$19)/South_Facade_PV!$B$7)*(1+$C$1)^X$168</f>
        <v>-678.33498626411881</v>
      </c>
      <c r="Y87" s="76">
        <v>0</v>
      </c>
      <c r="Z87" s="76">
        <v>0</v>
      </c>
      <c r="AA87" s="76">
        <v>0</v>
      </c>
      <c r="AB87" s="76">
        <v>0</v>
      </c>
      <c r="AC87" s="76">
        <f>-(South_Facade_PV!$B$35*South_Facade_PV!$B$19/South_Facade_PV!$B$7)*(1+$C$1)^X$168</f>
        <v>-998.31176596659679</v>
      </c>
      <c r="AD87" s="76">
        <v>0</v>
      </c>
      <c r="AE87" s="76">
        <v>0</v>
      </c>
      <c r="AF87" s="76">
        <v>0</v>
      </c>
      <c r="AG87" s="76">
        <v>0</v>
      </c>
      <c r="AH87" s="76">
        <f>-((South_Facade_PV!$B$34*South_Facade_PV!$B$19)/South_Facade_PV!$B$7)*(1+$C$1)^AH$168</f>
        <v>-826.88656314318098</v>
      </c>
      <c r="AI87" s="76">
        <v>0</v>
      </c>
      <c r="AJ87" s="76">
        <v>0</v>
      </c>
      <c r="AK87" s="76">
        <v>0</v>
      </c>
      <c r="AL87" s="76">
        <v>0</v>
      </c>
      <c r="AM87" s="76">
        <v>0</v>
      </c>
      <c r="AN87" s="76">
        <v>0</v>
      </c>
      <c r="AO87" s="76">
        <v>0</v>
      </c>
      <c r="AP87" s="76">
        <v>0</v>
      </c>
      <c r="AQ87" s="76">
        <v>0</v>
      </c>
      <c r="AR87" s="76">
        <f>-((South_Facade_PV!$B$34*South_Facade_PV!$B$19)/South_Facade_PV!$B$7)*(1+$C$1)^AR$168</f>
        <v>-1007.97010644018</v>
      </c>
      <c r="AS87" s="76">
        <v>0</v>
      </c>
      <c r="AT87" s="76">
        <v>0</v>
      </c>
      <c r="AU87" s="76">
        <v>0</v>
      </c>
      <c r="AV87" s="76">
        <v>0</v>
      </c>
      <c r="AW87" s="76">
        <v>0</v>
      </c>
      <c r="AX87" s="76">
        <v>0</v>
      </c>
      <c r="AY87" s="76">
        <v>0</v>
      </c>
      <c r="AZ87" s="76">
        <v>0</v>
      </c>
      <c r="BA87" s="76">
        <v>0</v>
      </c>
      <c r="BB87" s="76">
        <v>0</v>
      </c>
    </row>
    <row r="88" spans="1:54" x14ac:dyDescent="0.25">
      <c r="A88" s="180"/>
      <c r="B88" s="76" t="s">
        <v>356</v>
      </c>
      <c r="C88" s="77" t="s">
        <v>362</v>
      </c>
      <c r="D88" s="76">
        <v>0</v>
      </c>
      <c r="E88" s="78">
        <f>ABS('Annual Calculations'!$Q$14)*(1+$C$3)^E$168</f>
        <v>119.71248485580752</v>
      </c>
      <c r="F88" s="78">
        <f>ABS('Annual Calculations'!$Q$14)*(1+$C$3)^F$168</f>
        <v>122.10673455292367</v>
      </c>
      <c r="G88" s="78">
        <f>ABS('Annual Calculations'!$Q$14)*(1+$C$3)^G$168</f>
        <v>124.54886924398212</v>
      </c>
      <c r="H88" s="78">
        <f>ABS('Annual Calculations'!$Q$14)*(1+$C$3)^H$168</f>
        <v>127.03984662886178</v>
      </c>
      <c r="I88" s="78">
        <f>ABS('Annual Calculations'!$Q$14)*(1+$C$3)^I$168</f>
        <v>129.58064356143902</v>
      </c>
      <c r="J88" s="78">
        <f>ABS('Annual Calculations'!$Q$14)*(1+$C$3)^J$168</f>
        <v>132.17225643266781</v>
      </c>
      <c r="K88" s="78">
        <f>ABS('Annual Calculations'!$Q$14)*(1+$C$3)^K$168</f>
        <v>134.81570156132113</v>
      </c>
      <c r="L88" s="78">
        <f>ABS('Annual Calculations'!$Q$14)*(1+$C$3)^L$168</f>
        <v>137.51201559254756</v>
      </c>
      <c r="M88" s="78">
        <f>ABS('Annual Calculations'!$Q$14)*(1+$C$3)^M$168</f>
        <v>140.26225590439853</v>
      </c>
      <c r="N88" s="78">
        <f>ABS('Annual Calculations'!$Q$14)*(1+$C$3)^N$168</f>
        <v>143.06750102248651</v>
      </c>
      <c r="O88" s="78">
        <f>ABS('Annual Calculations'!$Q$14)*(1+$C$3)^O$168</f>
        <v>145.9288510429362</v>
      </c>
      <c r="P88" s="78">
        <f>ABS('Annual Calculations'!$Q$14)*(1+$C$3)^P$168</f>
        <v>148.84742806379495</v>
      </c>
      <c r="Q88" s="78">
        <f>ABS('Annual Calculations'!$Q$14)*(1+$C$3)^Q$168</f>
        <v>151.82437662507084</v>
      </c>
      <c r="R88" s="78">
        <f>ABS('Annual Calculations'!$Q$14)*(1+$C$3)^R$168</f>
        <v>154.86086415757228</v>
      </c>
      <c r="S88" s="78">
        <f>ABS('Annual Calculations'!$Q$14)*(1+$C$3)^S$168</f>
        <v>157.95808144072367</v>
      </c>
      <c r="T88" s="78">
        <f>ABS('Annual Calculations'!$Q$14)*(1+$C$3)^T$168</f>
        <v>161.11724306953818</v>
      </c>
      <c r="U88" s="78">
        <f>ABS('Annual Calculations'!$Q$14)*(1+$C$3)^U$168</f>
        <v>164.33958793092896</v>
      </c>
      <c r="V88" s="78">
        <f>ABS('Annual Calculations'!$Q$14)*(1+$C$3)^V$168</f>
        <v>167.62637968954752</v>
      </c>
      <c r="W88" s="78">
        <f>ABS('Annual Calculations'!$Q$14)*(1+$C$3)^W$168</f>
        <v>170.97890728333846</v>
      </c>
      <c r="X88" s="78">
        <f>ABS('Annual Calculations'!$Q$14)*(1+$C$3)^X$168</f>
        <v>174.39848542900523</v>
      </c>
      <c r="Y88" s="78">
        <f>ABS('Annual Calculations'!$Q$14)*(1+$C$3)^Y$168</f>
        <v>177.88645513758533</v>
      </c>
      <c r="Z88" s="78">
        <f>ABS('Annual Calculations'!$Q$14)*(1+$C$3)^Z$168</f>
        <v>181.44418424033705</v>
      </c>
      <c r="AA88" s="78">
        <f>ABS('Annual Calculations'!$Q$14)*(1+$C$3)^AA$168</f>
        <v>185.07306792514376</v>
      </c>
      <c r="AB88" s="78">
        <f>ABS('Annual Calculations'!$Q$14)*(1+$C$3)^AB$168</f>
        <v>188.77452928364664</v>
      </c>
      <c r="AC88" s="78">
        <f>ABS('Annual Calculations'!$Q$14)*(1+$C$3)^AC$168</f>
        <v>192.55001986931958</v>
      </c>
      <c r="AD88" s="78">
        <f>ABS('Annual Calculations'!$Q$14)*(1+$C$3)^AD$168</f>
        <v>196.40102026670598</v>
      </c>
      <c r="AE88" s="78">
        <f>ABS('Annual Calculations'!$Q$14)*(1+$C$3)^AE$168</f>
        <v>200.32904067204007</v>
      </c>
      <c r="AF88" s="78">
        <f>ABS('Annual Calculations'!$Q$14)*(1+$C$3)^AF$168</f>
        <v>204.33562148548091</v>
      </c>
      <c r="AG88" s="78">
        <f>ABS('Annual Calculations'!$Q$14)*(1+$C$3)^AG$168</f>
        <v>208.42233391519051</v>
      </c>
      <c r="AH88" s="78">
        <f>ABS('Annual Calculations'!$Q$14)*(1+$C$3)^AH$168</f>
        <v>212.59078059349432</v>
      </c>
      <c r="AI88" s="78">
        <f>ABS('Annual Calculations'!$Q$14)*(1+$C$3)^AI$168</f>
        <v>216.84259620536417</v>
      </c>
      <c r="AJ88" s="78">
        <f>ABS('Annual Calculations'!$Q$14)*(1+$C$3)^AJ$168</f>
        <v>221.1794481294715</v>
      </c>
      <c r="AK88" s="78">
        <f>ABS('Annual Calculations'!$Q$14)*(1+$C$3)^AK$168</f>
        <v>225.60303709206093</v>
      </c>
      <c r="AL88" s="78">
        <f>ABS('Annual Calculations'!$Q$14)*(1+$C$3)^AL$168</f>
        <v>230.11509783390213</v>
      </c>
      <c r="AM88" s="78">
        <f>ABS('Annual Calculations'!$Q$14)*(1+$C$3)^AM$168</f>
        <v>234.71739979058017</v>
      </c>
      <c r="AN88" s="78">
        <f>ABS('Annual Calculations'!$Q$14)*(1+$C$3)^AN$168</f>
        <v>239.41174778639177</v>
      </c>
      <c r="AO88" s="78">
        <f>ABS('Annual Calculations'!$Q$14)*(1+$C$3)^AO$168</f>
        <v>244.19998274211963</v>
      </c>
      <c r="AP88" s="78">
        <f>ABS('Annual Calculations'!$Q$14)*(1+$C$3)^AP$168</f>
        <v>249.08398239696206</v>
      </c>
      <c r="AQ88" s="78">
        <f>ABS('Annual Calculations'!$Q$14)*(1+$C$3)^AQ$168</f>
        <v>254.06566204490119</v>
      </c>
      <c r="AR88" s="78">
        <f>ABS('Annual Calculations'!$Q$14)*(1+$C$3)^AR$168</f>
        <v>259.14697528579927</v>
      </c>
      <c r="AS88" s="78">
        <f>ABS('Annual Calculations'!$Q$14)*(1+$C$3)^AS$168</f>
        <v>264.32991479151525</v>
      </c>
      <c r="AT88" s="78">
        <f>ABS('Annual Calculations'!$Q$14)*(1+$C$3)^AT$168</f>
        <v>269.61651308734554</v>
      </c>
      <c r="AU88" s="78">
        <f>ABS('Annual Calculations'!$Q$14)*(1+$C$3)^AU$168</f>
        <v>275.00884334909244</v>
      </c>
      <c r="AV88" s="78">
        <f>ABS('Annual Calculations'!$Q$14)*(1+$C$3)^AV$168</f>
        <v>280.50902021607436</v>
      </c>
      <c r="AW88" s="78">
        <f>ABS('Annual Calculations'!$Q$14)*(1+$C$3)^AW$168</f>
        <v>286.11920062039582</v>
      </c>
      <c r="AX88" s="78">
        <f>ABS('Annual Calculations'!$Q$14)*(1+$C$3)^AX$168</f>
        <v>291.84158463280374</v>
      </c>
      <c r="AY88" s="78">
        <f>ABS('Annual Calculations'!$Q$14)*(1+$C$3)^AY$168</f>
        <v>297.67841632545975</v>
      </c>
      <c r="AZ88" s="78">
        <f>ABS('Annual Calculations'!$Q$14)*(1+$C$3)^AZ$168</f>
        <v>303.63198465196899</v>
      </c>
      <c r="BA88" s="78">
        <f>ABS('Annual Calculations'!$Q$14)*(1+$C$3)^BA$168</f>
        <v>309.70462434500837</v>
      </c>
      <c r="BB88" s="78">
        <f>ABS('Annual Calculations'!$Q$14)*(1+$C$3)^BB$168</f>
        <v>315.89871683190853</v>
      </c>
    </row>
    <row r="89" spans="1:54" x14ac:dyDescent="0.25">
      <c r="A89" s="180"/>
      <c r="B89" s="76" t="s">
        <v>357</v>
      </c>
      <c r="C89" s="77" t="s">
        <v>362</v>
      </c>
      <c r="D89" s="76">
        <v>0</v>
      </c>
      <c r="E89" s="76">
        <v>0</v>
      </c>
      <c r="F89" s="76">
        <v>0</v>
      </c>
      <c r="G89" s="76">
        <v>0</v>
      </c>
      <c r="H89" s="76">
        <v>0</v>
      </c>
      <c r="I89" s="76">
        <v>0</v>
      </c>
      <c r="J89" s="76">
        <v>0</v>
      </c>
      <c r="K89" s="76">
        <v>0</v>
      </c>
      <c r="L89" s="76">
        <v>0</v>
      </c>
      <c r="M89" s="76">
        <v>0</v>
      </c>
      <c r="N89" s="76">
        <v>0</v>
      </c>
      <c r="O89" s="76">
        <v>0</v>
      </c>
      <c r="P89" s="76">
        <v>0</v>
      </c>
      <c r="Q89" s="76">
        <v>0</v>
      </c>
      <c r="R89" s="76">
        <v>0</v>
      </c>
      <c r="S89" s="76">
        <v>0</v>
      </c>
      <c r="T89" s="76">
        <v>0</v>
      </c>
      <c r="U89" s="76">
        <v>0</v>
      </c>
      <c r="V89" s="76">
        <v>0</v>
      </c>
      <c r="W89" s="76">
        <v>0</v>
      </c>
      <c r="X89" s="76">
        <v>0</v>
      </c>
      <c r="Y89" s="76">
        <v>0</v>
      </c>
      <c r="Z89" s="76">
        <v>0</v>
      </c>
      <c r="AA89" s="76">
        <v>0</v>
      </c>
      <c r="AB89" s="76">
        <v>0</v>
      </c>
      <c r="AC89" s="76">
        <v>0</v>
      </c>
      <c r="AD89" s="76">
        <v>0</v>
      </c>
      <c r="AE89" s="76">
        <v>0</v>
      </c>
      <c r="AF89" s="76">
        <v>0</v>
      </c>
      <c r="AG89" s="76">
        <v>0</v>
      </c>
      <c r="AH89" s="76">
        <v>0</v>
      </c>
      <c r="AI89" s="76">
        <v>0</v>
      </c>
      <c r="AJ89" s="76">
        <v>0</v>
      </c>
      <c r="AK89" s="76">
        <v>0</v>
      </c>
      <c r="AL89" s="76">
        <v>0</v>
      </c>
      <c r="AM89" s="76">
        <v>0</v>
      </c>
      <c r="AN89" s="76">
        <v>0</v>
      </c>
      <c r="AO89" s="76">
        <v>0</v>
      </c>
      <c r="AP89" s="76">
        <v>0</v>
      </c>
      <c r="AQ89" s="76">
        <v>0</v>
      </c>
      <c r="AR89" s="76">
        <v>0</v>
      </c>
      <c r="AS89" s="76">
        <v>0</v>
      </c>
      <c r="AT89" s="76">
        <v>0</v>
      </c>
      <c r="AU89" s="76">
        <v>0</v>
      </c>
      <c r="AV89" s="76">
        <v>0</v>
      </c>
      <c r="AW89" s="76">
        <v>0</v>
      </c>
      <c r="AX89" s="76">
        <v>0</v>
      </c>
      <c r="AY89" s="76">
        <v>0</v>
      </c>
      <c r="AZ89" s="76">
        <v>0</v>
      </c>
      <c r="BA89" s="76">
        <v>0</v>
      </c>
      <c r="BB89" s="76">
        <v>0</v>
      </c>
    </row>
    <row r="90" spans="1:54" x14ac:dyDescent="0.25">
      <c r="A90" s="180"/>
      <c r="B90" s="76" t="s">
        <v>358</v>
      </c>
      <c r="C90" s="77" t="s">
        <v>362</v>
      </c>
      <c r="D90" s="76">
        <f>SUM(D87:D89)</f>
        <v>-1151.2</v>
      </c>
      <c r="E90" s="78">
        <f t="shared" ref="E90:BB90" si="104">SUM(E87:E89)</f>
        <v>119.71248485580752</v>
      </c>
      <c r="F90" s="78">
        <f t="shared" si="104"/>
        <v>122.10673455292367</v>
      </c>
      <c r="G90" s="78">
        <f t="shared" si="104"/>
        <v>124.54886924398212</v>
      </c>
      <c r="H90" s="78">
        <f t="shared" si="104"/>
        <v>127.03984662886178</v>
      </c>
      <c r="I90" s="78">
        <f t="shared" si="104"/>
        <v>129.58064356143902</v>
      </c>
      <c r="J90" s="78">
        <f t="shared" si="104"/>
        <v>132.17225643266781</v>
      </c>
      <c r="K90" s="78">
        <f t="shared" si="104"/>
        <v>134.81570156132113</v>
      </c>
      <c r="L90" s="78">
        <f t="shared" si="104"/>
        <v>137.51201559254756</v>
      </c>
      <c r="M90" s="78">
        <f t="shared" si="104"/>
        <v>140.26225590439853</v>
      </c>
      <c r="N90" s="78">
        <f t="shared" si="104"/>
        <v>-413.40345170512018</v>
      </c>
      <c r="O90" s="78">
        <f t="shared" si="104"/>
        <v>145.9288510429362</v>
      </c>
      <c r="P90" s="78">
        <f t="shared" si="104"/>
        <v>148.84742806379495</v>
      </c>
      <c r="Q90" s="78">
        <f t="shared" si="104"/>
        <v>151.82437662507084</v>
      </c>
      <c r="R90" s="78">
        <f t="shared" si="104"/>
        <v>154.86086415757228</v>
      </c>
      <c r="S90" s="78">
        <f t="shared" si="104"/>
        <v>157.95808144072367</v>
      </c>
      <c r="T90" s="78">
        <f t="shared" si="104"/>
        <v>161.11724306953818</v>
      </c>
      <c r="U90" s="78">
        <f t="shared" si="104"/>
        <v>164.33958793092896</v>
      </c>
      <c r="V90" s="78">
        <f t="shared" si="104"/>
        <v>167.62637968954752</v>
      </c>
      <c r="W90" s="78">
        <f t="shared" si="104"/>
        <v>170.97890728333846</v>
      </c>
      <c r="X90" s="78">
        <f t="shared" si="104"/>
        <v>-503.93650083511358</v>
      </c>
      <c r="Y90" s="78">
        <f t="shared" si="104"/>
        <v>177.88645513758533</v>
      </c>
      <c r="Z90" s="78">
        <f t="shared" si="104"/>
        <v>181.44418424033705</v>
      </c>
      <c r="AA90" s="78">
        <f t="shared" si="104"/>
        <v>185.07306792514376</v>
      </c>
      <c r="AB90" s="78">
        <f t="shared" si="104"/>
        <v>188.77452928364664</v>
      </c>
      <c r="AC90" s="78">
        <f t="shared" si="104"/>
        <v>-805.76174609727718</v>
      </c>
      <c r="AD90" s="78">
        <f t="shared" si="104"/>
        <v>196.40102026670598</v>
      </c>
      <c r="AE90" s="78">
        <f t="shared" si="104"/>
        <v>200.32904067204007</v>
      </c>
      <c r="AF90" s="78">
        <f t="shared" si="104"/>
        <v>204.33562148548091</v>
      </c>
      <c r="AG90" s="78">
        <f t="shared" si="104"/>
        <v>208.42233391519051</v>
      </c>
      <c r="AH90" s="78">
        <f t="shared" si="104"/>
        <v>-614.29578254968669</v>
      </c>
      <c r="AI90" s="78">
        <f t="shared" si="104"/>
        <v>216.84259620536417</v>
      </c>
      <c r="AJ90" s="78">
        <f t="shared" si="104"/>
        <v>221.1794481294715</v>
      </c>
      <c r="AK90" s="78">
        <f t="shared" si="104"/>
        <v>225.60303709206093</v>
      </c>
      <c r="AL90" s="78">
        <f t="shared" si="104"/>
        <v>230.11509783390213</v>
      </c>
      <c r="AM90" s="78">
        <f t="shared" si="104"/>
        <v>234.71739979058017</v>
      </c>
      <c r="AN90" s="78">
        <f t="shared" si="104"/>
        <v>239.41174778639177</v>
      </c>
      <c r="AO90" s="78">
        <f t="shared" si="104"/>
        <v>244.19998274211963</v>
      </c>
      <c r="AP90" s="78">
        <f t="shared" si="104"/>
        <v>249.08398239696206</v>
      </c>
      <c r="AQ90" s="78">
        <f t="shared" si="104"/>
        <v>254.06566204490119</v>
      </c>
      <c r="AR90" s="78">
        <f t="shared" si="104"/>
        <v>-748.82313115438069</v>
      </c>
      <c r="AS90" s="78">
        <f t="shared" si="104"/>
        <v>264.32991479151525</v>
      </c>
      <c r="AT90" s="78">
        <f t="shared" si="104"/>
        <v>269.61651308734554</v>
      </c>
      <c r="AU90" s="78">
        <f t="shared" si="104"/>
        <v>275.00884334909244</v>
      </c>
      <c r="AV90" s="78">
        <f t="shared" si="104"/>
        <v>280.50902021607436</v>
      </c>
      <c r="AW90" s="78">
        <f t="shared" si="104"/>
        <v>286.11920062039582</v>
      </c>
      <c r="AX90" s="78">
        <f t="shared" si="104"/>
        <v>291.84158463280374</v>
      </c>
      <c r="AY90" s="78">
        <f t="shared" si="104"/>
        <v>297.67841632545975</v>
      </c>
      <c r="AZ90" s="78">
        <f t="shared" si="104"/>
        <v>303.63198465196899</v>
      </c>
      <c r="BA90" s="78">
        <f t="shared" si="104"/>
        <v>309.70462434500837</v>
      </c>
      <c r="BB90" s="78">
        <f t="shared" si="104"/>
        <v>315.89871683190853</v>
      </c>
    </row>
    <row r="91" spans="1:54" x14ac:dyDescent="0.25">
      <c r="A91" s="180"/>
      <c r="B91" s="76" t="s">
        <v>359</v>
      </c>
      <c r="C91" s="77"/>
      <c r="D91" s="76">
        <f t="shared" ref="D91:AI91" si="105">(1+$C$2)^D$168</f>
        <v>1</v>
      </c>
      <c r="E91" s="79">
        <f t="shared" si="105"/>
        <v>1.03</v>
      </c>
      <c r="F91" s="79">
        <f t="shared" si="105"/>
        <v>1.0609</v>
      </c>
      <c r="G91" s="79">
        <f t="shared" si="105"/>
        <v>1.092727</v>
      </c>
      <c r="H91" s="79">
        <f t="shared" si="105"/>
        <v>1.1255088099999999</v>
      </c>
      <c r="I91" s="79">
        <f t="shared" si="105"/>
        <v>1.1592740742999998</v>
      </c>
      <c r="J91" s="79">
        <f t="shared" si="105"/>
        <v>1.1940522965289999</v>
      </c>
      <c r="K91" s="79">
        <f t="shared" si="105"/>
        <v>1.22987386542487</v>
      </c>
      <c r="L91" s="79">
        <f t="shared" si="105"/>
        <v>1.2667700813876159</v>
      </c>
      <c r="M91" s="79">
        <f t="shared" si="105"/>
        <v>1.3047731838292445</v>
      </c>
      <c r="N91" s="79">
        <f t="shared" si="105"/>
        <v>1.3439163793441218</v>
      </c>
      <c r="O91" s="79">
        <f t="shared" si="105"/>
        <v>1.3842338707244455</v>
      </c>
      <c r="P91" s="79">
        <f t="shared" si="105"/>
        <v>1.4257608868461786</v>
      </c>
      <c r="Q91" s="79">
        <f t="shared" si="105"/>
        <v>1.4685337134515639</v>
      </c>
      <c r="R91" s="79">
        <f t="shared" si="105"/>
        <v>1.512589724855111</v>
      </c>
      <c r="S91" s="79">
        <f t="shared" si="105"/>
        <v>1.5579674166007644</v>
      </c>
      <c r="T91" s="79">
        <f t="shared" si="105"/>
        <v>1.6047064390987871</v>
      </c>
      <c r="U91" s="79">
        <f t="shared" si="105"/>
        <v>1.6528476322717507</v>
      </c>
      <c r="V91" s="79">
        <f t="shared" si="105"/>
        <v>1.7024330612399032</v>
      </c>
      <c r="W91" s="79">
        <f t="shared" si="105"/>
        <v>1.7535060530771003</v>
      </c>
      <c r="X91" s="79">
        <f t="shared" si="105"/>
        <v>1.8061112346694133</v>
      </c>
      <c r="Y91" s="79">
        <f t="shared" si="105"/>
        <v>1.8602945717094954</v>
      </c>
      <c r="Z91" s="79">
        <f t="shared" si="105"/>
        <v>1.9161034088607805</v>
      </c>
      <c r="AA91" s="79">
        <f t="shared" si="105"/>
        <v>1.973586511126604</v>
      </c>
      <c r="AB91" s="79">
        <f t="shared" si="105"/>
        <v>2.0327941064604018</v>
      </c>
      <c r="AC91" s="79">
        <f t="shared" si="105"/>
        <v>2.0937779296542138</v>
      </c>
      <c r="AD91" s="79">
        <f t="shared" si="105"/>
        <v>2.1565912675438406</v>
      </c>
      <c r="AE91" s="79">
        <f t="shared" si="105"/>
        <v>2.2212890055701555</v>
      </c>
      <c r="AF91" s="79">
        <f t="shared" si="105"/>
        <v>2.2879276757372602</v>
      </c>
      <c r="AG91" s="79">
        <f t="shared" si="105"/>
        <v>2.3565655060093778</v>
      </c>
      <c r="AH91" s="79">
        <f t="shared" si="105"/>
        <v>2.4272624711896591</v>
      </c>
      <c r="AI91" s="79">
        <f t="shared" si="105"/>
        <v>2.5000803453253493</v>
      </c>
      <c r="AJ91" s="79">
        <f t="shared" ref="AJ91:BB91" si="106">(1+$C$2)^AJ$168</f>
        <v>2.5750827556851092</v>
      </c>
      <c r="AK91" s="79">
        <f t="shared" si="106"/>
        <v>2.6523352383556626</v>
      </c>
      <c r="AL91" s="79">
        <f t="shared" si="106"/>
        <v>2.7319052955063321</v>
      </c>
      <c r="AM91" s="79">
        <f t="shared" si="106"/>
        <v>2.8138624543715225</v>
      </c>
      <c r="AN91" s="79">
        <f t="shared" si="106"/>
        <v>2.898278328002668</v>
      </c>
      <c r="AO91" s="79">
        <f t="shared" si="106"/>
        <v>2.9852266778427476</v>
      </c>
      <c r="AP91" s="79">
        <f t="shared" si="106"/>
        <v>3.0747834781780301</v>
      </c>
      <c r="AQ91" s="79">
        <f t="shared" si="106"/>
        <v>3.1670269825233714</v>
      </c>
      <c r="AR91" s="79">
        <f t="shared" si="106"/>
        <v>3.262037791999072</v>
      </c>
      <c r="AS91" s="79">
        <f t="shared" si="106"/>
        <v>3.3598989257590444</v>
      </c>
      <c r="AT91" s="79">
        <f t="shared" si="106"/>
        <v>3.4606958935318159</v>
      </c>
      <c r="AU91" s="79">
        <f t="shared" si="106"/>
        <v>3.5645167703377703</v>
      </c>
      <c r="AV91" s="79">
        <f t="shared" si="106"/>
        <v>3.6714522734479029</v>
      </c>
      <c r="AW91" s="79">
        <f t="shared" si="106"/>
        <v>3.78159584165134</v>
      </c>
      <c r="AX91" s="79">
        <f t="shared" si="106"/>
        <v>3.8950437169008802</v>
      </c>
      <c r="AY91" s="79">
        <f t="shared" si="106"/>
        <v>4.0118950284079071</v>
      </c>
      <c r="AZ91" s="79">
        <f t="shared" si="106"/>
        <v>4.1322518792601439</v>
      </c>
      <c r="BA91" s="79">
        <f t="shared" si="106"/>
        <v>4.2562194356379477</v>
      </c>
      <c r="BB91" s="79">
        <f t="shared" si="106"/>
        <v>4.3839060187070862</v>
      </c>
    </row>
    <row r="92" spans="1:54" x14ac:dyDescent="0.25">
      <c r="A92" s="180"/>
      <c r="B92" s="76" t="s">
        <v>360</v>
      </c>
      <c r="C92" s="77" t="s">
        <v>362</v>
      </c>
      <c r="D92" s="76">
        <f>D90/D91</f>
        <v>-1151.2</v>
      </c>
      <c r="E92" s="78">
        <f>E90/E91</f>
        <v>116.2257134522403</v>
      </c>
      <c r="F92" s="78">
        <f>F90/F91</f>
        <v>115.09730846726711</v>
      </c>
      <c r="G92" s="78">
        <f t="shared" ref="G92:BB92" si="107">G90/G91</f>
        <v>113.97985887049751</v>
      </c>
      <c r="H92" s="78">
        <f t="shared" si="107"/>
        <v>112.87325829893929</v>
      </c>
      <c r="I92" s="78">
        <f t="shared" si="107"/>
        <v>111.77740142225058</v>
      </c>
      <c r="J92" s="78">
        <f t="shared" si="107"/>
        <v>110.69218393271416</v>
      </c>
      <c r="K92" s="78">
        <f t="shared" si="107"/>
        <v>109.61750253530914</v>
      </c>
      <c r="L92" s="78">
        <f t="shared" si="107"/>
        <v>108.55325493787896</v>
      </c>
      <c r="M92" s="78">
        <f t="shared" si="107"/>
        <v>107.49933984139471</v>
      </c>
      <c r="N92" s="78">
        <f t="shared" si="107"/>
        <v>-307.61099281108216</v>
      </c>
      <c r="O92" s="78">
        <f t="shared" si="107"/>
        <v>105.4221068630286</v>
      </c>
      <c r="P92" s="78">
        <f t="shared" si="107"/>
        <v>104.3985912624167</v>
      </c>
      <c r="Q92" s="78">
        <f t="shared" si="107"/>
        <v>103.3850127064709</v>
      </c>
      <c r="R92" s="78">
        <f t="shared" si="107"/>
        <v>102.38127471902945</v>
      </c>
      <c r="S92" s="78">
        <f t="shared" si="107"/>
        <v>101.38728176059223</v>
      </c>
      <c r="T92" s="78">
        <f t="shared" si="107"/>
        <v>100.40293921922729</v>
      </c>
      <c r="U92" s="78">
        <f t="shared" si="107"/>
        <v>99.428153401564899</v>
      </c>
      <c r="V92" s="78">
        <f t="shared" si="107"/>
        <v>98.462831523879785</v>
      </c>
      <c r="W92" s="78">
        <f t="shared" si="107"/>
        <v>97.506881703259594</v>
      </c>
      <c r="X92" s="78">
        <f t="shared" si="107"/>
        <v>-279.01742216190411</v>
      </c>
      <c r="Y92" s="78">
        <f t="shared" si="107"/>
        <v>95.622735153239034</v>
      </c>
      <c r="Z92" s="78">
        <f t="shared" si="107"/>
        <v>94.694359083790118</v>
      </c>
      <c r="AA92" s="78">
        <f t="shared" si="107"/>
        <v>93.774996374238739</v>
      </c>
      <c r="AB92" s="78">
        <f t="shared" si="107"/>
        <v>92.864559516236426</v>
      </c>
      <c r="AC92" s="78">
        <f t="shared" si="107"/>
        <v>-384.83629743405896</v>
      </c>
      <c r="AD92" s="78">
        <f t="shared" si="107"/>
        <v>91.070117561214417</v>
      </c>
      <c r="AE92" s="78">
        <f t="shared" si="107"/>
        <v>90.185941662561845</v>
      </c>
      <c r="AF92" s="78">
        <f t="shared" si="107"/>
        <v>89.310349995935056</v>
      </c>
      <c r="AG92" s="78">
        <f t="shared" si="107"/>
        <v>88.44325921927549</v>
      </c>
      <c r="AH92" s="78">
        <f t="shared" si="107"/>
        <v>-253.08172883693362</v>
      </c>
      <c r="AI92" s="78">
        <f t="shared" si="107"/>
        <v>86.734251005499289</v>
      </c>
      <c r="AJ92" s="78">
        <f t="shared" si="107"/>
        <v>85.892170898649809</v>
      </c>
      <c r="AK92" s="78">
        <f t="shared" si="107"/>
        <v>85.058266326818256</v>
      </c>
      <c r="AL92" s="78">
        <f t="shared" si="107"/>
        <v>84.232457915878271</v>
      </c>
      <c r="AM92" s="78">
        <f t="shared" si="107"/>
        <v>83.414667062326046</v>
      </c>
      <c r="AN92" s="78">
        <f t="shared" si="107"/>
        <v>82.604815925798619</v>
      </c>
      <c r="AO92" s="78">
        <f t="shared" si="107"/>
        <v>81.802827421664659</v>
      </c>
      <c r="AP92" s="78">
        <f t="shared" si="107"/>
        <v>81.008625213687353</v>
      </c>
      <c r="AQ92" s="78">
        <f t="shared" si="107"/>
        <v>80.222133706758299</v>
      </c>
      <c r="AR92" s="78">
        <f t="shared" si="107"/>
        <v>-229.55685338503696</v>
      </c>
      <c r="AS92" s="78">
        <f t="shared" si="107"/>
        <v>78.671984078151908</v>
      </c>
      <c r="AT92" s="78">
        <f t="shared" si="107"/>
        <v>77.908178407490226</v>
      </c>
      <c r="AU92" s="78">
        <f t="shared" si="107"/>
        <v>77.151788325864118</v>
      </c>
      <c r="AV92" s="78">
        <f t="shared" si="107"/>
        <v>76.40274183726352</v>
      </c>
      <c r="AW92" s="78">
        <f t="shared" si="107"/>
        <v>75.660967644668716</v>
      </c>
      <c r="AX92" s="78">
        <f t="shared" si="107"/>
        <v>74.926395143264173</v>
      </c>
      <c r="AY92" s="78">
        <f t="shared" si="107"/>
        <v>74.1989544137179</v>
      </c>
      <c r="AZ92" s="78">
        <f t="shared" si="107"/>
        <v>73.478576215526473</v>
      </c>
      <c r="BA92" s="78">
        <f t="shared" si="107"/>
        <v>72.765191980424291</v>
      </c>
      <c r="BB92" s="78">
        <f t="shared" si="107"/>
        <v>72.058733805857059</v>
      </c>
    </row>
    <row r="93" spans="1:54" x14ac:dyDescent="0.25">
      <c r="A93" s="180"/>
      <c r="B93" s="76" t="s">
        <v>645</v>
      </c>
      <c r="C93" s="77" t="s">
        <v>362</v>
      </c>
      <c r="D93" s="76">
        <f>D92</f>
        <v>-1151.2</v>
      </c>
      <c r="E93" s="78">
        <f>E92+D93</f>
        <v>-1034.9742865477597</v>
      </c>
      <c r="F93" s="78">
        <f t="shared" ref="F93" si="108">F92+E93</f>
        <v>-919.87697808049256</v>
      </c>
      <c r="G93" s="78">
        <f t="shared" ref="G93" si="109">G92+F93</f>
        <v>-805.89711920999503</v>
      </c>
      <c r="H93" s="78">
        <f t="shared" ref="H93" si="110">H92+G93</f>
        <v>-693.02386091105575</v>
      </c>
      <c r="I93" s="78">
        <f t="shared" ref="I93" si="111">I92+H93</f>
        <v>-581.24645948880516</v>
      </c>
      <c r="J93" s="78">
        <f t="shared" ref="J93" si="112">J92+I93</f>
        <v>-470.554275556091</v>
      </c>
      <c r="K93" s="78">
        <f t="shared" ref="K93" si="113">K92+J93</f>
        <v>-360.93677302078186</v>
      </c>
      <c r="L93" s="78">
        <f t="shared" ref="L93" si="114">L92+K93</f>
        <v>-252.3835180829029</v>
      </c>
      <c r="M93" s="78">
        <f t="shared" ref="M93" si="115">M92+L93</f>
        <v>-144.88417824150818</v>
      </c>
      <c r="N93" s="78">
        <f t="shared" ref="N93" si="116">N92+M93</f>
        <v>-452.49517105259031</v>
      </c>
      <c r="O93" s="78">
        <f t="shared" ref="O93" si="117">O92+N93</f>
        <v>-347.07306418956171</v>
      </c>
      <c r="P93" s="78">
        <f t="shared" ref="P93" si="118">P92+O93</f>
        <v>-242.67447292714502</v>
      </c>
      <c r="Q93" s="78">
        <f t="shared" ref="Q93" si="119">Q92+P93</f>
        <v>-139.28946022067413</v>
      </c>
      <c r="R93" s="78">
        <f t="shared" ref="R93" si="120">R92+Q93</f>
        <v>-36.908185501644681</v>
      </c>
      <c r="S93" s="78">
        <f t="shared" ref="S93" si="121">S92+R93</f>
        <v>64.47909625894755</v>
      </c>
      <c r="T93" s="78">
        <f t="shared" ref="T93" si="122">T92+S93</f>
        <v>164.88203547817483</v>
      </c>
      <c r="U93" s="78">
        <f t="shared" ref="U93" si="123">U92+T93</f>
        <v>264.31018887973971</v>
      </c>
      <c r="V93" s="78">
        <f t="shared" ref="V93" si="124">V92+U93</f>
        <v>362.77302040361951</v>
      </c>
      <c r="W93" s="78">
        <f t="shared" ref="W93" si="125">W92+V93</f>
        <v>460.27990210687909</v>
      </c>
      <c r="X93" s="78">
        <f t="shared" ref="X93" si="126">X92+W93</f>
        <v>181.26247994497498</v>
      </c>
      <c r="Y93" s="78">
        <f t="shared" ref="Y93" si="127">Y92+X93</f>
        <v>276.88521509821402</v>
      </c>
      <c r="Z93" s="78">
        <f t="shared" ref="Z93" si="128">Z92+Y93</f>
        <v>371.57957418200414</v>
      </c>
      <c r="AA93" s="78">
        <f t="shared" ref="AA93" si="129">AA92+Z93</f>
        <v>465.35457055624289</v>
      </c>
      <c r="AB93" s="78">
        <f t="shared" ref="AB93" si="130">AB92+AA93</f>
        <v>558.21913007247929</v>
      </c>
      <c r="AC93" s="78">
        <f t="shared" ref="AC93" si="131">AC92+AB93</f>
        <v>173.38283263842033</v>
      </c>
      <c r="AD93" s="78">
        <f t="shared" ref="AD93" si="132">AD92+AC93</f>
        <v>264.45295019963476</v>
      </c>
      <c r="AE93" s="78">
        <f t="shared" ref="AE93" si="133">AE92+AD93</f>
        <v>354.6388918621966</v>
      </c>
      <c r="AF93" s="78">
        <f t="shared" ref="AF93" si="134">AF92+AE93</f>
        <v>443.94924185813164</v>
      </c>
      <c r="AG93" s="78">
        <f t="shared" ref="AG93" si="135">AG92+AF93</f>
        <v>532.39250107740713</v>
      </c>
      <c r="AH93" s="78">
        <f t="shared" ref="AH93" si="136">AH92+AG93</f>
        <v>279.31077224047351</v>
      </c>
      <c r="AI93" s="78">
        <f t="shared" ref="AI93" si="137">AI92+AH93</f>
        <v>366.0450232459728</v>
      </c>
      <c r="AJ93" s="78">
        <f t="shared" ref="AJ93" si="138">AJ92+AI93</f>
        <v>451.93719414462259</v>
      </c>
      <c r="AK93" s="78">
        <f t="shared" ref="AK93" si="139">AK92+AJ93</f>
        <v>536.99546047144088</v>
      </c>
      <c r="AL93" s="78">
        <f t="shared" ref="AL93" si="140">AL92+AK93</f>
        <v>621.22791838731916</v>
      </c>
      <c r="AM93" s="78">
        <f t="shared" ref="AM93" si="141">AM92+AL93</f>
        <v>704.64258544964525</v>
      </c>
      <c r="AN93" s="78">
        <f t="shared" ref="AN93" si="142">AN92+AM93</f>
        <v>787.24740137544381</v>
      </c>
      <c r="AO93" s="78">
        <f t="shared" ref="AO93" si="143">AO92+AN93</f>
        <v>869.0502287971085</v>
      </c>
      <c r="AP93" s="78">
        <f t="shared" ref="AP93" si="144">AP92+AO93</f>
        <v>950.05885401079581</v>
      </c>
      <c r="AQ93" s="78">
        <f t="shared" ref="AQ93" si="145">AQ92+AP93</f>
        <v>1030.2809877175541</v>
      </c>
      <c r="AR93" s="78">
        <f t="shared" ref="AR93" si="146">AR92+AQ93</f>
        <v>800.72413433251722</v>
      </c>
      <c r="AS93" s="78">
        <f t="shared" ref="AS93" si="147">AS92+AR93</f>
        <v>879.39611841066915</v>
      </c>
      <c r="AT93" s="78">
        <f t="shared" ref="AT93" si="148">AT92+AS93</f>
        <v>957.3042968181594</v>
      </c>
      <c r="AU93" s="78">
        <f t="shared" ref="AU93" si="149">AU92+AT93</f>
        <v>1034.4560851440235</v>
      </c>
      <c r="AV93" s="78">
        <f t="shared" ref="AV93" si="150">AV92+AU93</f>
        <v>1110.8588269812869</v>
      </c>
      <c r="AW93" s="78">
        <f t="shared" ref="AW93" si="151">AW92+AV93</f>
        <v>1186.5197946259557</v>
      </c>
      <c r="AX93" s="78">
        <f t="shared" ref="AX93" si="152">AX92+AW93</f>
        <v>1261.4461897692199</v>
      </c>
      <c r="AY93" s="78">
        <f t="shared" ref="AY93" si="153">AY92+AX93</f>
        <v>1335.6451441829379</v>
      </c>
      <c r="AZ93" s="78">
        <f t="shared" ref="AZ93" si="154">AZ92+AY93</f>
        <v>1409.1237203984645</v>
      </c>
      <c r="BA93" s="78">
        <f t="shared" ref="BA93" si="155">BA92+AZ93</f>
        <v>1481.8889123788888</v>
      </c>
      <c r="BB93" s="78">
        <f t="shared" ref="BB93" si="156">BB92+BA93</f>
        <v>1553.9476461847457</v>
      </c>
    </row>
    <row r="94" spans="1:54" x14ac:dyDescent="0.25">
      <c r="A94" s="180"/>
      <c r="B94" s="80" t="s">
        <v>361</v>
      </c>
      <c r="C94" s="81" t="s">
        <v>362</v>
      </c>
      <c r="D94" s="92">
        <f>SUM(D92:BB92)</f>
        <v>1553.9476461847457</v>
      </c>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row>
    <row r="95" spans="1:54" x14ac:dyDescent="0.25">
      <c r="A95" s="180" t="s">
        <v>674</v>
      </c>
      <c r="B95" s="76" t="s">
        <v>363</v>
      </c>
      <c r="C95" s="77" t="s">
        <v>362</v>
      </c>
      <c r="D95" s="78">
        <f>-South_Facade_PV_10S!$B$23/South_Facade_PV_10S!$B$7</f>
        <v>-3043.5999999999995</v>
      </c>
      <c r="E95" s="76">
        <v>0</v>
      </c>
      <c r="F95" s="76">
        <v>0</v>
      </c>
      <c r="G95" s="76">
        <v>0</v>
      </c>
      <c r="H95" s="76">
        <v>0</v>
      </c>
      <c r="I95" s="76">
        <v>0</v>
      </c>
      <c r="J95" s="76">
        <v>0</v>
      </c>
      <c r="K95" s="76">
        <v>0</v>
      </c>
      <c r="L95" s="76">
        <v>0</v>
      </c>
      <c r="M95" s="76">
        <v>0</v>
      </c>
      <c r="N95" s="76">
        <f>-((South_Facade_PV_10S!$B$28*South_Facade_PV_10S!$B$19)/South_Facade_PV_10S!$B$7)*(1+$C$1)^N$168</f>
        <v>-3420.6787536794477</v>
      </c>
      <c r="O95" s="76">
        <v>0</v>
      </c>
      <c r="P95" s="76">
        <v>0</v>
      </c>
      <c r="Q95" s="76">
        <v>0</v>
      </c>
      <c r="R95" s="76">
        <v>0</v>
      </c>
      <c r="S95" s="76">
        <v>0</v>
      </c>
      <c r="T95" s="76">
        <v>0</v>
      </c>
      <c r="U95" s="76">
        <v>0</v>
      </c>
      <c r="V95" s="76">
        <v>0</v>
      </c>
      <c r="W95" s="76">
        <v>0</v>
      </c>
      <c r="X95" s="76">
        <f>-((South_Facade_PV_10S!$B$28*South_Facade_PV_10S!$B$19)/South_Facade_PV_10S!$B$7)*(1+$C$1)^X$168</f>
        <v>-4169.7883133298674</v>
      </c>
      <c r="Y95" s="76">
        <v>0</v>
      </c>
      <c r="Z95" s="76">
        <v>0</v>
      </c>
      <c r="AA95" s="76">
        <v>0</v>
      </c>
      <c r="AB95" s="76">
        <v>0</v>
      </c>
      <c r="AC95" s="76">
        <f>-(South_Facade_PV_10S!$B$29*South_Facade_PV_10S!$B$19/South_Facade_PV_10S!$B$7)*(1+$C$1)^X$168</f>
        <v>-998.31176596659691</v>
      </c>
      <c r="AD95" s="76">
        <v>0</v>
      </c>
      <c r="AE95" s="76">
        <v>0</v>
      </c>
      <c r="AF95" s="76">
        <v>0</v>
      </c>
      <c r="AG95" s="76">
        <v>0</v>
      </c>
      <c r="AH95" s="76">
        <f>-((South_Facade_PV_10S!$B$28*South_Facade_PV_10S!$B$19)/South_Facade_PV_10S!$B$7)*(1+$C$1)^AH$168</f>
        <v>-5082.9486865084573</v>
      </c>
      <c r="AI95" s="76">
        <v>0</v>
      </c>
      <c r="AJ95" s="76">
        <v>0</v>
      </c>
      <c r="AK95" s="76">
        <v>0</v>
      </c>
      <c r="AL95" s="76">
        <v>0</v>
      </c>
      <c r="AM95" s="76">
        <v>0</v>
      </c>
      <c r="AN95" s="76">
        <v>0</v>
      </c>
      <c r="AO95" s="76">
        <v>0</v>
      </c>
      <c r="AP95" s="76">
        <v>0</v>
      </c>
      <c r="AQ95" s="76">
        <v>0</v>
      </c>
      <c r="AR95" s="76">
        <f>-((South_Facade_PV_10S!$B$28*South_Facade_PV_10S!$B$19)/South_Facade_PV_10S!$B$7)*(1+$C$1)^AR$168</f>
        <v>-6196.0860859734894</v>
      </c>
      <c r="AS95" s="76">
        <v>0</v>
      </c>
      <c r="AT95" s="76">
        <v>0</v>
      </c>
      <c r="AU95" s="76">
        <v>0</v>
      </c>
      <c r="AV95" s="76">
        <v>0</v>
      </c>
      <c r="AW95" s="76">
        <v>0</v>
      </c>
      <c r="AX95" s="76">
        <v>0</v>
      </c>
      <c r="AY95" s="76">
        <v>0</v>
      </c>
      <c r="AZ95" s="76">
        <v>0</v>
      </c>
      <c r="BA95" s="76">
        <v>0</v>
      </c>
      <c r="BB95" s="76">
        <v>0</v>
      </c>
    </row>
    <row r="96" spans="1:54" x14ac:dyDescent="0.25">
      <c r="A96" s="180"/>
      <c r="B96" s="76" t="s">
        <v>356</v>
      </c>
      <c r="C96" s="77" t="s">
        <v>362</v>
      </c>
      <c r="D96" s="76">
        <v>0</v>
      </c>
      <c r="E96" s="78">
        <f>ABS('Annual Calculations'!$Q$16)*(1+$C$3)^E$168</f>
        <v>119.71248485580752</v>
      </c>
      <c r="F96" s="78">
        <f>ABS('Annual Calculations'!$Q$16)*(1+$C$3)^F$168</f>
        <v>122.10673455292367</v>
      </c>
      <c r="G96" s="78">
        <f>ABS('Annual Calculations'!$Q$16)*(1+$C$3)^G$168</f>
        <v>124.54886924398212</v>
      </c>
      <c r="H96" s="78">
        <f>ABS('Annual Calculations'!$Q$16)*(1+$C$3)^H$168</f>
        <v>127.03984662886178</v>
      </c>
      <c r="I96" s="78">
        <f>ABS('Annual Calculations'!$Q$16)*(1+$C$3)^I$168</f>
        <v>129.58064356143902</v>
      </c>
      <c r="J96" s="78">
        <f>ABS('Annual Calculations'!$Q$16)*(1+$C$3)^J$168</f>
        <v>132.17225643266781</v>
      </c>
      <c r="K96" s="78">
        <f>ABS('Annual Calculations'!$Q$16)*(1+$C$3)^K$168</f>
        <v>134.81570156132113</v>
      </c>
      <c r="L96" s="78">
        <f>ABS('Annual Calculations'!$Q$16)*(1+$C$3)^L$168</f>
        <v>137.51201559254756</v>
      </c>
      <c r="M96" s="78">
        <f>ABS('Annual Calculations'!$Q$16)*(1+$C$3)^M$168</f>
        <v>140.26225590439853</v>
      </c>
      <c r="N96" s="78">
        <f>ABS('Annual Calculations'!$Q$16)*(1+$C$3)^N$168</f>
        <v>143.06750102248651</v>
      </c>
      <c r="O96" s="78">
        <f>ABS('Annual Calculations'!$Q$16)*(1+$C$3)^O$168</f>
        <v>145.9288510429362</v>
      </c>
      <c r="P96" s="78">
        <f>ABS('Annual Calculations'!$Q$16)*(1+$C$3)^P$168</f>
        <v>148.84742806379495</v>
      </c>
      <c r="Q96" s="78">
        <f>ABS('Annual Calculations'!$Q$16)*(1+$C$3)^Q$168</f>
        <v>151.82437662507084</v>
      </c>
      <c r="R96" s="78">
        <f>ABS('Annual Calculations'!$Q$16)*(1+$C$3)^R$168</f>
        <v>154.86086415757228</v>
      </c>
      <c r="S96" s="78">
        <f>ABS('Annual Calculations'!$Q$16)*(1+$C$3)^S$168</f>
        <v>157.95808144072367</v>
      </c>
      <c r="T96" s="78">
        <f>ABS('Annual Calculations'!$Q$16)*(1+$C$3)^T$168</f>
        <v>161.11724306953818</v>
      </c>
      <c r="U96" s="78">
        <f>ABS('Annual Calculations'!$Q$16)*(1+$C$3)^U$168</f>
        <v>164.33958793092896</v>
      </c>
      <c r="V96" s="78">
        <f>ABS('Annual Calculations'!$Q$16)*(1+$C$3)^V$168</f>
        <v>167.62637968954752</v>
      </c>
      <c r="W96" s="78">
        <f>ABS('Annual Calculations'!$Q$16)*(1+$C$3)^W$168</f>
        <v>170.97890728333846</v>
      </c>
      <c r="X96" s="78">
        <f>ABS('Annual Calculations'!$Q$16)*(1+$C$3)^X$168</f>
        <v>174.39848542900523</v>
      </c>
      <c r="Y96" s="78">
        <f>ABS('Annual Calculations'!$Q$16)*(1+$C$3)^Y$168</f>
        <v>177.88645513758533</v>
      </c>
      <c r="Z96" s="78">
        <f>ABS('Annual Calculations'!$Q$16)*(1+$C$3)^Z$168</f>
        <v>181.44418424033705</v>
      </c>
      <c r="AA96" s="78">
        <f>ABS('Annual Calculations'!$Q$16)*(1+$C$3)^AA$168</f>
        <v>185.07306792514376</v>
      </c>
      <c r="AB96" s="78">
        <f>ABS('Annual Calculations'!$Q$16)*(1+$C$3)^AB$168</f>
        <v>188.77452928364664</v>
      </c>
      <c r="AC96" s="78">
        <f>ABS('Annual Calculations'!$Q$16)*(1+$C$3)^AC$168</f>
        <v>192.55001986931958</v>
      </c>
      <c r="AD96" s="78">
        <f>ABS('Annual Calculations'!$Q$16)*(1+$C$3)^AD$168</f>
        <v>196.40102026670598</v>
      </c>
      <c r="AE96" s="78">
        <f>ABS('Annual Calculations'!$Q$16)*(1+$C$3)^AE$168</f>
        <v>200.32904067204007</v>
      </c>
      <c r="AF96" s="78">
        <f>ABS('Annual Calculations'!$Q$16)*(1+$C$3)^AF$168</f>
        <v>204.33562148548091</v>
      </c>
      <c r="AG96" s="78">
        <f>ABS('Annual Calculations'!$Q$16)*(1+$C$3)^AG$168</f>
        <v>208.42233391519051</v>
      </c>
      <c r="AH96" s="78">
        <f>ABS('Annual Calculations'!$Q$16)*(1+$C$3)^AH$168</f>
        <v>212.59078059349432</v>
      </c>
      <c r="AI96" s="78">
        <f>ABS('Annual Calculations'!$Q$16)*(1+$C$3)^AI$168</f>
        <v>216.84259620536417</v>
      </c>
      <c r="AJ96" s="78">
        <f>ABS('Annual Calculations'!$Q$16)*(1+$C$3)^AJ$168</f>
        <v>221.1794481294715</v>
      </c>
      <c r="AK96" s="78">
        <f>ABS('Annual Calculations'!$Q$16)*(1+$C$3)^AK$168</f>
        <v>225.60303709206093</v>
      </c>
      <c r="AL96" s="78">
        <f>ABS('Annual Calculations'!$Q$16)*(1+$C$3)^AL$168</f>
        <v>230.11509783390213</v>
      </c>
      <c r="AM96" s="78">
        <f>ABS('Annual Calculations'!$Q$16)*(1+$C$3)^AM$168</f>
        <v>234.71739979058017</v>
      </c>
      <c r="AN96" s="78">
        <f>ABS('Annual Calculations'!$Q$16)*(1+$C$3)^AN$168</f>
        <v>239.41174778639177</v>
      </c>
      <c r="AO96" s="78">
        <f>ABS('Annual Calculations'!$Q$16)*(1+$C$3)^AO$168</f>
        <v>244.19998274211963</v>
      </c>
      <c r="AP96" s="78">
        <f>ABS('Annual Calculations'!$Q$16)*(1+$C$3)^AP$168</f>
        <v>249.08398239696206</v>
      </c>
      <c r="AQ96" s="78">
        <f>ABS('Annual Calculations'!$Q$16)*(1+$C$3)^AQ$168</f>
        <v>254.06566204490119</v>
      </c>
      <c r="AR96" s="78">
        <f>ABS('Annual Calculations'!$Q$16)*(1+$C$3)^AR$168</f>
        <v>259.14697528579927</v>
      </c>
      <c r="AS96" s="78">
        <f>ABS('Annual Calculations'!$Q$16)*(1+$C$3)^AS$168</f>
        <v>264.32991479151525</v>
      </c>
      <c r="AT96" s="78">
        <f>ABS('Annual Calculations'!$Q$16)*(1+$C$3)^AT$168</f>
        <v>269.61651308734554</v>
      </c>
      <c r="AU96" s="78">
        <f>ABS('Annual Calculations'!$Q$16)*(1+$C$3)^AU$168</f>
        <v>275.00884334909244</v>
      </c>
      <c r="AV96" s="78">
        <f>ABS('Annual Calculations'!$Q$16)*(1+$C$3)^AV$168</f>
        <v>280.50902021607436</v>
      </c>
      <c r="AW96" s="78">
        <f>ABS('Annual Calculations'!$Q$16)*(1+$C$3)^AW$168</f>
        <v>286.11920062039582</v>
      </c>
      <c r="AX96" s="78">
        <f>ABS('Annual Calculations'!$Q$16)*(1+$C$3)^AX$168</f>
        <v>291.84158463280374</v>
      </c>
      <c r="AY96" s="78">
        <f>ABS('Annual Calculations'!$Q$16)*(1+$C$3)^AY$168</f>
        <v>297.67841632545975</v>
      </c>
      <c r="AZ96" s="78">
        <f>ABS('Annual Calculations'!$Q$16)*(1+$C$3)^AZ$168</f>
        <v>303.63198465196899</v>
      </c>
      <c r="BA96" s="78">
        <f>ABS('Annual Calculations'!$Q$16)*(1+$C$3)^BA$168</f>
        <v>309.70462434500837</v>
      </c>
      <c r="BB96" s="78">
        <f>ABS('Annual Calculations'!$Q$16)*(1+$C$3)^BB$168</f>
        <v>315.89871683190853</v>
      </c>
    </row>
    <row r="97" spans="1:54" x14ac:dyDescent="0.25">
      <c r="A97" s="180"/>
      <c r="B97" s="76" t="s">
        <v>357</v>
      </c>
      <c r="C97" s="77" t="s">
        <v>362</v>
      </c>
      <c r="D97" s="76">
        <v>0</v>
      </c>
      <c r="E97" s="76">
        <v>0</v>
      </c>
      <c r="F97" s="76">
        <v>0</v>
      </c>
      <c r="G97" s="76">
        <v>0</v>
      </c>
      <c r="H97" s="76">
        <v>0</v>
      </c>
      <c r="I97" s="76">
        <v>0</v>
      </c>
      <c r="J97" s="76">
        <v>0</v>
      </c>
      <c r="K97" s="76">
        <v>0</v>
      </c>
      <c r="L97" s="76">
        <v>0</v>
      </c>
      <c r="M97" s="76">
        <v>0</v>
      </c>
      <c r="N97" s="76">
        <v>0</v>
      </c>
      <c r="O97" s="76">
        <v>0</v>
      </c>
      <c r="P97" s="76">
        <v>0</v>
      </c>
      <c r="Q97" s="76">
        <v>0</v>
      </c>
      <c r="R97" s="76">
        <v>0</v>
      </c>
      <c r="S97" s="76">
        <v>0</v>
      </c>
      <c r="T97" s="76">
        <v>0</v>
      </c>
      <c r="U97" s="76">
        <v>0</v>
      </c>
      <c r="V97" s="76">
        <v>0</v>
      </c>
      <c r="W97" s="76">
        <v>0</v>
      </c>
      <c r="X97" s="76">
        <v>0</v>
      </c>
      <c r="Y97" s="76">
        <v>0</v>
      </c>
      <c r="Z97" s="76">
        <v>0</v>
      </c>
      <c r="AA97" s="76">
        <v>0</v>
      </c>
      <c r="AB97" s="76">
        <v>0</v>
      </c>
      <c r="AC97" s="76">
        <v>0</v>
      </c>
      <c r="AD97" s="76">
        <v>0</v>
      </c>
      <c r="AE97" s="76">
        <v>0</v>
      </c>
      <c r="AF97" s="76">
        <v>0</v>
      </c>
      <c r="AG97" s="76">
        <v>0</v>
      </c>
      <c r="AH97" s="76">
        <v>0</v>
      </c>
      <c r="AI97" s="76">
        <v>0</v>
      </c>
      <c r="AJ97" s="76">
        <v>0</v>
      </c>
      <c r="AK97" s="76">
        <v>0</v>
      </c>
      <c r="AL97" s="76">
        <v>0</v>
      </c>
      <c r="AM97" s="76">
        <v>0</v>
      </c>
      <c r="AN97" s="76">
        <v>0</v>
      </c>
      <c r="AO97" s="76">
        <v>0</v>
      </c>
      <c r="AP97" s="76">
        <v>0</v>
      </c>
      <c r="AQ97" s="76">
        <v>0</v>
      </c>
      <c r="AR97" s="76">
        <v>0</v>
      </c>
      <c r="AS97" s="76">
        <v>0</v>
      </c>
      <c r="AT97" s="76">
        <v>0</v>
      </c>
      <c r="AU97" s="76">
        <v>0</v>
      </c>
      <c r="AV97" s="76">
        <v>0</v>
      </c>
      <c r="AW97" s="76">
        <v>0</v>
      </c>
      <c r="AX97" s="76">
        <v>0</v>
      </c>
      <c r="AY97" s="76">
        <v>0</v>
      </c>
      <c r="AZ97" s="76">
        <v>0</v>
      </c>
      <c r="BA97" s="76">
        <v>0</v>
      </c>
      <c r="BB97" s="76">
        <v>0</v>
      </c>
    </row>
    <row r="98" spans="1:54" x14ac:dyDescent="0.25">
      <c r="A98" s="180"/>
      <c r="B98" s="76" t="s">
        <v>358</v>
      </c>
      <c r="C98" s="77" t="s">
        <v>362</v>
      </c>
      <c r="D98" s="76">
        <f>SUM(D95:D97)</f>
        <v>-3043.5999999999995</v>
      </c>
      <c r="E98" s="78">
        <f t="shared" ref="E98:BB98" si="157">SUM(E95:E97)</f>
        <v>119.71248485580752</v>
      </c>
      <c r="F98" s="78">
        <f t="shared" si="157"/>
        <v>122.10673455292367</v>
      </c>
      <c r="G98" s="78">
        <f t="shared" si="157"/>
        <v>124.54886924398212</v>
      </c>
      <c r="H98" s="78">
        <f t="shared" si="157"/>
        <v>127.03984662886178</v>
      </c>
      <c r="I98" s="78">
        <f t="shared" si="157"/>
        <v>129.58064356143902</v>
      </c>
      <c r="J98" s="78">
        <f t="shared" si="157"/>
        <v>132.17225643266781</v>
      </c>
      <c r="K98" s="78">
        <f t="shared" si="157"/>
        <v>134.81570156132113</v>
      </c>
      <c r="L98" s="78">
        <f t="shared" si="157"/>
        <v>137.51201559254756</v>
      </c>
      <c r="M98" s="78">
        <f t="shared" si="157"/>
        <v>140.26225590439853</v>
      </c>
      <c r="N98" s="78">
        <f t="shared" si="157"/>
        <v>-3277.6112526569614</v>
      </c>
      <c r="O98" s="78">
        <f t="shared" si="157"/>
        <v>145.9288510429362</v>
      </c>
      <c r="P98" s="78">
        <f t="shared" si="157"/>
        <v>148.84742806379495</v>
      </c>
      <c r="Q98" s="78">
        <f t="shared" si="157"/>
        <v>151.82437662507084</v>
      </c>
      <c r="R98" s="78">
        <f t="shared" si="157"/>
        <v>154.86086415757228</v>
      </c>
      <c r="S98" s="78">
        <f t="shared" si="157"/>
        <v>157.95808144072367</v>
      </c>
      <c r="T98" s="78">
        <f t="shared" si="157"/>
        <v>161.11724306953818</v>
      </c>
      <c r="U98" s="78">
        <f t="shared" si="157"/>
        <v>164.33958793092896</v>
      </c>
      <c r="V98" s="78">
        <f t="shared" si="157"/>
        <v>167.62637968954752</v>
      </c>
      <c r="W98" s="78">
        <f t="shared" si="157"/>
        <v>170.97890728333846</v>
      </c>
      <c r="X98" s="78">
        <f t="shared" si="157"/>
        <v>-3995.3898279008622</v>
      </c>
      <c r="Y98" s="78">
        <f t="shared" si="157"/>
        <v>177.88645513758533</v>
      </c>
      <c r="Z98" s="78">
        <f t="shared" si="157"/>
        <v>181.44418424033705</v>
      </c>
      <c r="AA98" s="78">
        <f t="shared" si="157"/>
        <v>185.07306792514376</v>
      </c>
      <c r="AB98" s="78">
        <f t="shared" si="157"/>
        <v>188.77452928364664</v>
      </c>
      <c r="AC98" s="78">
        <f t="shared" si="157"/>
        <v>-805.7617460972773</v>
      </c>
      <c r="AD98" s="78">
        <f t="shared" si="157"/>
        <v>196.40102026670598</v>
      </c>
      <c r="AE98" s="78">
        <f t="shared" si="157"/>
        <v>200.32904067204007</v>
      </c>
      <c r="AF98" s="78">
        <f t="shared" si="157"/>
        <v>204.33562148548091</v>
      </c>
      <c r="AG98" s="78">
        <f t="shared" si="157"/>
        <v>208.42233391519051</v>
      </c>
      <c r="AH98" s="78">
        <f t="shared" si="157"/>
        <v>-4870.3579059149633</v>
      </c>
      <c r="AI98" s="78">
        <f t="shared" si="157"/>
        <v>216.84259620536417</v>
      </c>
      <c r="AJ98" s="78">
        <f t="shared" si="157"/>
        <v>221.1794481294715</v>
      </c>
      <c r="AK98" s="78">
        <f t="shared" si="157"/>
        <v>225.60303709206093</v>
      </c>
      <c r="AL98" s="78">
        <f t="shared" si="157"/>
        <v>230.11509783390213</v>
      </c>
      <c r="AM98" s="78">
        <f t="shared" si="157"/>
        <v>234.71739979058017</v>
      </c>
      <c r="AN98" s="78">
        <f t="shared" si="157"/>
        <v>239.41174778639177</v>
      </c>
      <c r="AO98" s="78">
        <f t="shared" si="157"/>
        <v>244.19998274211963</v>
      </c>
      <c r="AP98" s="78">
        <f t="shared" si="157"/>
        <v>249.08398239696206</v>
      </c>
      <c r="AQ98" s="78">
        <f t="shared" si="157"/>
        <v>254.06566204490119</v>
      </c>
      <c r="AR98" s="78">
        <f t="shared" si="157"/>
        <v>-5936.9391106876901</v>
      </c>
      <c r="AS98" s="78">
        <f t="shared" si="157"/>
        <v>264.32991479151525</v>
      </c>
      <c r="AT98" s="78">
        <f t="shared" si="157"/>
        <v>269.61651308734554</v>
      </c>
      <c r="AU98" s="78">
        <f t="shared" si="157"/>
        <v>275.00884334909244</v>
      </c>
      <c r="AV98" s="78">
        <f t="shared" si="157"/>
        <v>280.50902021607436</v>
      </c>
      <c r="AW98" s="78">
        <f t="shared" si="157"/>
        <v>286.11920062039582</v>
      </c>
      <c r="AX98" s="78">
        <f t="shared" si="157"/>
        <v>291.84158463280374</v>
      </c>
      <c r="AY98" s="78">
        <f t="shared" si="157"/>
        <v>297.67841632545975</v>
      </c>
      <c r="AZ98" s="78">
        <f t="shared" si="157"/>
        <v>303.63198465196899</v>
      </c>
      <c r="BA98" s="78">
        <f t="shared" si="157"/>
        <v>309.70462434500837</v>
      </c>
      <c r="BB98" s="78">
        <f t="shared" si="157"/>
        <v>315.89871683190853</v>
      </c>
    </row>
    <row r="99" spans="1:54" x14ac:dyDescent="0.25">
      <c r="A99" s="180"/>
      <c r="B99" s="76" t="s">
        <v>359</v>
      </c>
      <c r="C99" s="77"/>
      <c r="D99" s="76">
        <f t="shared" ref="D99:AI99" si="158">(1+$C$2)^D$168</f>
        <v>1</v>
      </c>
      <c r="E99" s="79">
        <f t="shared" si="158"/>
        <v>1.03</v>
      </c>
      <c r="F99" s="79">
        <f t="shared" si="158"/>
        <v>1.0609</v>
      </c>
      <c r="G99" s="79">
        <f t="shared" si="158"/>
        <v>1.092727</v>
      </c>
      <c r="H99" s="79">
        <f t="shared" si="158"/>
        <v>1.1255088099999999</v>
      </c>
      <c r="I99" s="79">
        <f t="shared" si="158"/>
        <v>1.1592740742999998</v>
      </c>
      <c r="J99" s="79">
        <f t="shared" si="158"/>
        <v>1.1940522965289999</v>
      </c>
      <c r="K99" s="79">
        <f t="shared" si="158"/>
        <v>1.22987386542487</v>
      </c>
      <c r="L99" s="79">
        <f t="shared" si="158"/>
        <v>1.2667700813876159</v>
      </c>
      <c r="M99" s="79">
        <f t="shared" si="158"/>
        <v>1.3047731838292445</v>
      </c>
      <c r="N99" s="79">
        <f t="shared" si="158"/>
        <v>1.3439163793441218</v>
      </c>
      <c r="O99" s="79">
        <f t="shared" si="158"/>
        <v>1.3842338707244455</v>
      </c>
      <c r="P99" s="79">
        <f t="shared" si="158"/>
        <v>1.4257608868461786</v>
      </c>
      <c r="Q99" s="79">
        <f t="shared" si="158"/>
        <v>1.4685337134515639</v>
      </c>
      <c r="R99" s="79">
        <f t="shared" si="158"/>
        <v>1.512589724855111</v>
      </c>
      <c r="S99" s="79">
        <f t="shared" si="158"/>
        <v>1.5579674166007644</v>
      </c>
      <c r="T99" s="79">
        <f t="shared" si="158"/>
        <v>1.6047064390987871</v>
      </c>
      <c r="U99" s="79">
        <f t="shared" si="158"/>
        <v>1.6528476322717507</v>
      </c>
      <c r="V99" s="79">
        <f t="shared" si="158"/>
        <v>1.7024330612399032</v>
      </c>
      <c r="W99" s="79">
        <f t="shared" si="158"/>
        <v>1.7535060530771003</v>
      </c>
      <c r="X99" s="79">
        <f t="shared" si="158"/>
        <v>1.8061112346694133</v>
      </c>
      <c r="Y99" s="79">
        <f t="shared" si="158"/>
        <v>1.8602945717094954</v>
      </c>
      <c r="Z99" s="79">
        <f t="shared" si="158"/>
        <v>1.9161034088607805</v>
      </c>
      <c r="AA99" s="79">
        <f t="shared" si="158"/>
        <v>1.973586511126604</v>
      </c>
      <c r="AB99" s="79">
        <f t="shared" si="158"/>
        <v>2.0327941064604018</v>
      </c>
      <c r="AC99" s="79">
        <f t="shared" si="158"/>
        <v>2.0937779296542138</v>
      </c>
      <c r="AD99" s="79">
        <f t="shared" si="158"/>
        <v>2.1565912675438406</v>
      </c>
      <c r="AE99" s="79">
        <f t="shared" si="158"/>
        <v>2.2212890055701555</v>
      </c>
      <c r="AF99" s="79">
        <f t="shared" si="158"/>
        <v>2.2879276757372602</v>
      </c>
      <c r="AG99" s="79">
        <f t="shared" si="158"/>
        <v>2.3565655060093778</v>
      </c>
      <c r="AH99" s="79">
        <f t="shared" si="158"/>
        <v>2.4272624711896591</v>
      </c>
      <c r="AI99" s="79">
        <f t="shared" si="158"/>
        <v>2.5000803453253493</v>
      </c>
      <c r="AJ99" s="79">
        <f t="shared" ref="AJ99:BB99" si="159">(1+$C$2)^AJ$168</f>
        <v>2.5750827556851092</v>
      </c>
      <c r="AK99" s="79">
        <f t="shared" si="159"/>
        <v>2.6523352383556626</v>
      </c>
      <c r="AL99" s="79">
        <f t="shared" si="159"/>
        <v>2.7319052955063321</v>
      </c>
      <c r="AM99" s="79">
        <f t="shared" si="159"/>
        <v>2.8138624543715225</v>
      </c>
      <c r="AN99" s="79">
        <f t="shared" si="159"/>
        <v>2.898278328002668</v>
      </c>
      <c r="AO99" s="79">
        <f t="shared" si="159"/>
        <v>2.9852266778427476</v>
      </c>
      <c r="AP99" s="79">
        <f t="shared" si="159"/>
        <v>3.0747834781780301</v>
      </c>
      <c r="AQ99" s="79">
        <f t="shared" si="159"/>
        <v>3.1670269825233714</v>
      </c>
      <c r="AR99" s="79">
        <f t="shared" si="159"/>
        <v>3.262037791999072</v>
      </c>
      <c r="AS99" s="79">
        <f t="shared" si="159"/>
        <v>3.3598989257590444</v>
      </c>
      <c r="AT99" s="79">
        <f t="shared" si="159"/>
        <v>3.4606958935318159</v>
      </c>
      <c r="AU99" s="79">
        <f t="shared" si="159"/>
        <v>3.5645167703377703</v>
      </c>
      <c r="AV99" s="79">
        <f t="shared" si="159"/>
        <v>3.6714522734479029</v>
      </c>
      <c r="AW99" s="79">
        <f t="shared" si="159"/>
        <v>3.78159584165134</v>
      </c>
      <c r="AX99" s="79">
        <f t="shared" si="159"/>
        <v>3.8950437169008802</v>
      </c>
      <c r="AY99" s="79">
        <f t="shared" si="159"/>
        <v>4.0118950284079071</v>
      </c>
      <c r="AZ99" s="79">
        <f t="shared" si="159"/>
        <v>4.1322518792601439</v>
      </c>
      <c r="BA99" s="79">
        <f t="shared" si="159"/>
        <v>4.2562194356379477</v>
      </c>
      <c r="BB99" s="79">
        <f t="shared" si="159"/>
        <v>4.3839060187070862</v>
      </c>
    </row>
    <row r="100" spans="1:54" x14ac:dyDescent="0.25">
      <c r="A100" s="180"/>
      <c r="B100" s="76" t="s">
        <v>360</v>
      </c>
      <c r="C100" s="77" t="s">
        <v>362</v>
      </c>
      <c r="D100" s="76">
        <f>D98/D99</f>
        <v>-3043.5999999999995</v>
      </c>
      <c r="E100" s="78">
        <f>E98/E99</f>
        <v>116.2257134522403</v>
      </c>
      <c r="F100" s="78">
        <f>F98/F99</f>
        <v>115.09730846726711</v>
      </c>
      <c r="G100" s="78">
        <f t="shared" ref="G100:BB100" si="160">G98/G99</f>
        <v>113.97985887049751</v>
      </c>
      <c r="H100" s="78">
        <f t="shared" si="160"/>
        <v>112.87325829893929</v>
      </c>
      <c r="I100" s="78">
        <f t="shared" si="160"/>
        <v>111.77740142225058</v>
      </c>
      <c r="J100" s="78">
        <f t="shared" si="160"/>
        <v>110.69218393271416</v>
      </c>
      <c r="K100" s="78">
        <f t="shared" si="160"/>
        <v>109.61750253530914</v>
      </c>
      <c r="L100" s="78">
        <f t="shared" si="160"/>
        <v>108.55325493787896</v>
      </c>
      <c r="M100" s="78">
        <f t="shared" si="160"/>
        <v>107.49933984139471</v>
      </c>
      <c r="N100" s="78">
        <f t="shared" si="160"/>
        <v>-2438.8505884990777</v>
      </c>
      <c r="O100" s="78">
        <f t="shared" si="160"/>
        <v>105.4221068630286</v>
      </c>
      <c r="P100" s="78">
        <f t="shared" si="160"/>
        <v>104.3985912624167</v>
      </c>
      <c r="Q100" s="78">
        <f t="shared" si="160"/>
        <v>103.3850127064709</v>
      </c>
      <c r="R100" s="78">
        <f t="shared" si="160"/>
        <v>102.38127471902945</v>
      </c>
      <c r="S100" s="78">
        <f t="shared" si="160"/>
        <v>101.38728176059223</v>
      </c>
      <c r="T100" s="78">
        <f t="shared" si="160"/>
        <v>100.40293921922729</v>
      </c>
      <c r="U100" s="78">
        <f t="shared" si="160"/>
        <v>99.428153401564899</v>
      </c>
      <c r="V100" s="78">
        <f t="shared" si="160"/>
        <v>98.462831523879785</v>
      </c>
      <c r="W100" s="78">
        <f t="shared" si="160"/>
        <v>97.506881703259594</v>
      </c>
      <c r="X100" s="78">
        <f t="shared" si="160"/>
        <v>-2212.1504762314207</v>
      </c>
      <c r="Y100" s="78">
        <f t="shared" si="160"/>
        <v>95.622735153239034</v>
      </c>
      <c r="Z100" s="78">
        <f t="shared" si="160"/>
        <v>94.694359083790118</v>
      </c>
      <c r="AA100" s="78">
        <f t="shared" si="160"/>
        <v>93.774996374238739</v>
      </c>
      <c r="AB100" s="78">
        <f t="shared" si="160"/>
        <v>92.864559516236426</v>
      </c>
      <c r="AC100" s="78">
        <f t="shared" si="160"/>
        <v>-384.83629743405902</v>
      </c>
      <c r="AD100" s="78">
        <f t="shared" si="160"/>
        <v>91.070117561214417</v>
      </c>
      <c r="AE100" s="78">
        <f t="shared" si="160"/>
        <v>90.185941662561845</v>
      </c>
      <c r="AF100" s="78">
        <f t="shared" si="160"/>
        <v>89.310349995935056</v>
      </c>
      <c r="AG100" s="78">
        <f t="shared" si="160"/>
        <v>88.44325921927549</v>
      </c>
      <c r="AH100" s="78">
        <f t="shared" si="160"/>
        <v>-2006.522971340584</v>
      </c>
      <c r="AI100" s="78">
        <f t="shared" si="160"/>
        <v>86.734251005499289</v>
      </c>
      <c r="AJ100" s="78">
        <f t="shared" si="160"/>
        <v>85.892170898649809</v>
      </c>
      <c r="AK100" s="78">
        <f t="shared" si="160"/>
        <v>85.058266326818256</v>
      </c>
      <c r="AL100" s="78">
        <f t="shared" si="160"/>
        <v>84.232457915878271</v>
      </c>
      <c r="AM100" s="78">
        <f t="shared" si="160"/>
        <v>83.414667062326046</v>
      </c>
      <c r="AN100" s="78">
        <f t="shared" si="160"/>
        <v>82.604815925798619</v>
      </c>
      <c r="AO100" s="78">
        <f t="shared" si="160"/>
        <v>81.802827421664659</v>
      </c>
      <c r="AP100" s="78">
        <f t="shared" si="160"/>
        <v>81.008625213687353</v>
      </c>
      <c r="AQ100" s="78">
        <f t="shared" si="160"/>
        <v>80.222133706758299</v>
      </c>
      <c r="AR100" s="78">
        <f t="shared" si="160"/>
        <v>-1820.0092976388728</v>
      </c>
      <c r="AS100" s="78">
        <f t="shared" si="160"/>
        <v>78.671984078151908</v>
      </c>
      <c r="AT100" s="78">
        <f t="shared" si="160"/>
        <v>77.908178407490226</v>
      </c>
      <c r="AU100" s="78">
        <f t="shared" si="160"/>
        <v>77.151788325864118</v>
      </c>
      <c r="AV100" s="78">
        <f t="shared" si="160"/>
        <v>76.40274183726352</v>
      </c>
      <c r="AW100" s="78">
        <f t="shared" si="160"/>
        <v>75.660967644668716</v>
      </c>
      <c r="AX100" s="78">
        <f t="shared" si="160"/>
        <v>74.926395143264173</v>
      </c>
      <c r="AY100" s="78">
        <f t="shared" si="160"/>
        <v>74.1989544137179</v>
      </c>
      <c r="AZ100" s="78">
        <f t="shared" si="160"/>
        <v>73.478576215526473</v>
      </c>
      <c r="BA100" s="78">
        <f t="shared" si="160"/>
        <v>72.765191980424291</v>
      </c>
      <c r="BB100" s="78">
        <f t="shared" si="160"/>
        <v>72.058733805857059</v>
      </c>
    </row>
    <row r="101" spans="1:54" x14ac:dyDescent="0.25">
      <c r="A101" s="180"/>
      <c r="B101" s="76" t="s">
        <v>645</v>
      </c>
      <c r="C101" s="77" t="s">
        <v>362</v>
      </c>
      <c r="D101" s="76">
        <f>D100</f>
        <v>-3043.5999999999995</v>
      </c>
      <c r="E101" s="78">
        <f>E100+D101</f>
        <v>-2927.3742865477593</v>
      </c>
      <c r="F101" s="78">
        <f t="shared" ref="F101:BB101" si="161">F100+E101</f>
        <v>-2812.276978080492</v>
      </c>
      <c r="G101" s="78">
        <f t="shared" si="161"/>
        <v>-2698.2971192099944</v>
      </c>
      <c r="H101" s="78">
        <f t="shared" si="161"/>
        <v>-2585.4238609110553</v>
      </c>
      <c r="I101" s="78">
        <f t="shared" si="161"/>
        <v>-2473.6464594888048</v>
      </c>
      <c r="J101" s="78">
        <f t="shared" si="161"/>
        <v>-2362.9542755560906</v>
      </c>
      <c r="K101" s="78">
        <f t="shared" si="161"/>
        <v>-2253.3367730207815</v>
      </c>
      <c r="L101" s="78">
        <f t="shared" si="161"/>
        <v>-2144.7835180829024</v>
      </c>
      <c r="M101" s="78">
        <f t="shared" si="161"/>
        <v>-2037.2841782415078</v>
      </c>
      <c r="N101" s="78">
        <f t="shared" si="161"/>
        <v>-4476.1347667405853</v>
      </c>
      <c r="O101" s="78">
        <f t="shared" si="161"/>
        <v>-4370.7126598775567</v>
      </c>
      <c r="P101" s="78">
        <f t="shared" si="161"/>
        <v>-4266.3140686151401</v>
      </c>
      <c r="Q101" s="78">
        <f t="shared" si="161"/>
        <v>-4162.9290559086694</v>
      </c>
      <c r="R101" s="78">
        <f t="shared" si="161"/>
        <v>-4060.5477811896399</v>
      </c>
      <c r="S101" s="78">
        <f t="shared" si="161"/>
        <v>-3959.1604994290478</v>
      </c>
      <c r="T101" s="78">
        <f t="shared" si="161"/>
        <v>-3858.7575602098204</v>
      </c>
      <c r="U101" s="78">
        <f t="shared" si="161"/>
        <v>-3759.3294068082555</v>
      </c>
      <c r="V101" s="78">
        <f t="shared" si="161"/>
        <v>-3660.8665752843758</v>
      </c>
      <c r="W101" s="78">
        <f t="shared" si="161"/>
        <v>-3563.3596935811161</v>
      </c>
      <c r="X101" s="78">
        <f t="shared" si="161"/>
        <v>-5775.5101698125363</v>
      </c>
      <c r="Y101" s="78">
        <f t="shared" si="161"/>
        <v>-5679.8874346592975</v>
      </c>
      <c r="Z101" s="78">
        <f t="shared" si="161"/>
        <v>-5585.1930755755075</v>
      </c>
      <c r="AA101" s="78">
        <f t="shared" si="161"/>
        <v>-5491.4180792012685</v>
      </c>
      <c r="AB101" s="78">
        <f t="shared" si="161"/>
        <v>-5398.5535196850324</v>
      </c>
      <c r="AC101" s="78">
        <f t="shared" si="161"/>
        <v>-5783.3898171190913</v>
      </c>
      <c r="AD101" s="78">
        <f t="shared" si="161"/>
        <v>-5692.3196995578764</v>
      </c>
      <c r="AE101" s="78">
        <f t="shared" si="161"/>
        <v>-5602.1337578953144</v>
      </c>
      <c r="AF101" s="78">
        <f t="shared" si="161"/>
        <v>-5512.8234078993792</v>
      </c>
      <c r="AG101" s="78">
        <f t="shared" si="161"/>
        <v>-5424.380148680104</v>
      </c>
      <c r="AH101" s="78">
        <f t="shared" si="161"/>
        <v>-7430.9031200206882</v>
      </c>
      <c r="AI101" s="78">
        <f t="shared" si="161"/>
        <v>-7344.1688690151886</v>
      </c>
      <c r="AJ101" s="78">
        <f t="shared" si="161"/>
        <v>-7258.2766981165387</v>
      </c>
      <c r="AK101" s="78">
        <f t="shared" si="161"/>
        <v>-7173.2184317897209</v>
      </c>
      <c r="AL101" s="78">
        <f t="shared" si="161"/>
        <v>-7088.9859738738423</v>
      </c>
      <c r="AM101" s="78">
        <f t="shared" si="161"/>
        <v>-7005.5713068115165</v>
      </c>
      <c r="AN101" s="78">
        <f t="shared" si="161"/>
        <v>-6922.9664908857176</v>
      </c>
      <c r="AO101" s="78">
        <f t="shared" si="161"/>
        <v>-6841.1636634640527</v>
      </c>
      <c r="AP101" s="78">
        <f t="shared" si="161"/>
        <v>-6760.1550382503656</v>
      </c>
      <c r="AQ101" s="78">
        <f t="shared" si="161"/>
        <v>-6679.932904543607</v>
      </c>
      <c r="AR101" s="78">
        <f t="shared" si="161"/>
        <v>-8499.9422021824794</v>
      </c>
      <c r="AS101" s="78">
        <f t="shared" si="161"/>
        <v>-8421.2702181043278</v>
      </c>
      <c r="AT101" s="78">
        <f t="shared" si="161"/>
        <v>-8343.3620396968381</v>
      </c>
      <c r="AU101" s="78">
        <f t="shared" si="161"/>
        <v>-8266.2102513709742</v>
      </c>
      <c r="AV101" s="78">
        <f t="shared" si="161"/>
        <v>-8189.8075095337108</v>
      </c>
      <c r="AW101" s="78">
        <f t="shared" si="161"/>
        <v>-8114.1465418890421</v>
      </c>
      <c r="AX101" s="78">
        <f t="shared" si="161"/>
        <v>-8039.220146745778</v>
      </c>
      <c r="AY101" s="78">
        <f t="shared" si="161"/>
        <v>-7965.0211923320603</v>
      </c>
      <c r="AZ101" s="78">
        <f t="shared" si="161"/>
        <v>-7891.5426161165342</v>
      </c>
      <c r="BA101" s="78">
        <f t="shared" si="161"/>
        <v>-7818.7774241361103</v>
      </c>
      <c r="BB101" s="78">
        <f t="shared" si="161"/>
        <v>-7746.7186903302536</v>
      </c>
    </row>
    <row r="102" spans="1:54" x14ac:dyDescent="0.25">
      <c r="A102" s="180"/>
      <c r="B102" s="80" t="s">
        <v>361</v>
      </c>
      <c r="C102" s="81" t="s">
        <v>362</v>
      </c>
      <c r="D102" s="92">
        <f>SUM(D100:BB100)</f>
        <v>-7746.7186903302536</v>
      </c>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row>
    <row r="103" spans="1:54" x14ac:dyDescent="0.25">
      <c r="A103" s="177" t="s">
        <v>578</v>
      </c>
      <c r="B103" t="s">
        <v>363</v>
      </c>
      <c r="C103" s="72" t="s">
        <v>362</v>
      </c>
      <c r="D103">
        <f>AC_HEATING!B25</f>
        <v>5250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f>(AC_HEATING!$B$21+AC_HEATING!$B$23)*(1+$C$1)^AH6</f>
        <v>2445.3381385395273</v>
      </c>
      <c r="AI103">
        <v>0</v>
      </c>
      <c r="AJ103">
        <v>0</v>
      </c>
      <c r="AK103">
        <v>0</v>
      </c>
      <c r="AL103">
        <v>0</v>
      </c>
      <c r="AM103">
        <v>0</v>
      </c>
      <c r="AN103">
        <v>0</v>
      </c>
      <c r="AO103">
        <v>0</v>
      </c>
      <c r="AP103">
        <v>0</v>
      </c>
      <c r="AQ103">
        <v>0</v>
      </c>
      <c r="AR103">
        <f>-(PV!$C$112*12+PV!$C$109)*(1+$C$1)^AR$168</f>
        <v>-9384.168570363121</v>
      </c>
      <c r="AS103">
        <v>0</v>
      </c>
      <c r="AT103">
        <v>0</v>
      </c>
      <c r="AU103">
        <v>0</v>
      </c>
      <c r="AV103">
        <v>0</v>
      </c>
      <c r="AW103">
        <v>0</v>
      </c>
      <c r="AX103">
        <v>0</v>
      </c>
      <c r="AY103">
        <v>0</v>
      </c>
      <c r="AZ103">
        <v>0</v>
      </c>
      <c r="BA103">
        <v>0</v>
      </c>
      <c r="BB103">
        <v>0</v>
      </c>
    </row>
    <row r="104" spans="1:54" x14ac:dyDescent="0.25">
      <c r="A104" s="177"/>
      <c r="B104" t="s">
        <v>356</v>
      </c>
      <c r="C104" s="72" t="s">
        <v>362</v>
      </c>
      <c r="D104">
        <v>0</v>
      </c>
      <c r="E104" s="18">
        <f>-'Annual Calculations'!$Q$17*(1+$C$3)^E$168</f>
        <v>-146.74501714222481</v>
      </c>
      <c r="F104" s="18">
        <f>-'Annual Calculations'!$Q$17*(1+$C$3)^F$168</f>
        <v>-149.6799174850693</v>
      </c>
      <c r="G104" s="18">
        <f>-'Annual Calculations'!$Q$17*(1+$C$3)^G$168</f>
        <v>-152.67351583477065</v>
      </c>
      <c r="H104" s="18">
        <f>-'Annual Calculations'!$Q$17*(1+$C$3)^H$168</f>
        <v>-155.72698615146609</v>
      </c>
      <c r="I104" s="18">
        <f>-'Annual Calculations'!$Q$17*(1+$C$3)^I$168</f>
        <v>-158.8415258744954</v>
      </c>
      <c r="J104" s="18">
        <f>-'Annual Calculations'!$Q$17*(1+$C$3)^J$168</f>
        <v>-162.01835639198532</v>
      </c>
      <c r="K104" s="18">
        <f>-'Annual Calculations'!$Q$17*(1+$C$3)^K$168</f>
        <v>-165.258723519825</v>
      </c>
      <c r="L104" s="18">
        <f>-'Annual Calculations'!$Q$17*(1+$C$3)^L$168</f>
        <v>-168.56389799022151</v>
      </c>
      <c r="M104" s="18">
        <f>-'Annual Calculations'!$Q$17*(1+$C$3)^M$168</f>
        <v>-171.93517595002595</v>
      </c>
      <c r="N104" s="18">
        <f>-'Annual Calculations'!$Q$17*(1+$C$3)^N$168</f>
        <v>-175.37387946902646</v>
      </c>
      <c r="O104" s="18">
        <f>-'Annual Calculations'!$Q$17*(1+$C$3)^O$168</f>
        <v>-178.88135705840696</v>
      </c>
      <c r="P104" s="18">
        <f>-'Annual Calculations'!$Q$17*(1+$C$3)^P$168</f>
        <v>-182.45898419957513</v>
      </c>
      <c r="Q104" s="18">
        <f>-'Annual Calculations'!$Q$17*(1+$C$3)^Q$168</f>
        <v>-186.10816388356665</v>
      </c>
      <c r="R104" s="18">
        <f>-'Annual Calculations'!$Q$17*(1+$C$3)^R$168</f>
        <v>-189.83032716123799</v>
      </c>
      <c r="S104" s="18">
        <f>-'Annual Calculations'!$Q$17*(1+$C$3)^S$168</f>
        <v>-193.62693370446269</v>
      </c>
      <c r="T104" s="18">
        <f>-'Annual Calculations'!$Q$17*(1+$C$3)^T$168</f>
        <v>-197.49947237855199</v>
      </c>
      <c r="U104" s="18">
        <f>-'Annual Calculations'!$Q$17*(1+$C$3)^U$168</f>
        <v>-201.44946182612304</v>
      </c>
      <c r="V104" s="18">
        <f>-'Annual Calculations'!$Q$17*(1+$C$3)^V$168</f>
        <v>-205.47845106264546</v>
      </c>
      <c r="W104" s="18">
        <f>-'Annual Calculations'!$Q$17*(1+$C$3)^W$168</f>
        <v>-209.58802008389839</v>
      </c>
      <c r="X104" s="18">
        <f>-'Annual Calculations'!$Q$17*(1+$C$3)^X$168</f>
        <v>-213.77978048557637</v>
      </c>
      <c r="Y104" s="18">
        <f>-'Annual Calculations'!$Q$17*(1+$C$3)^Y$168</f>
        <v>-218.05537609528787</v>
      </c>
      <c r="Z104" s="18">
        <f>-'Annual Calculations'!$Q$17*(1+$C$3)^Z$168</f>
        <v>-222.41648361719365</v>
      </c>
      <c r="AA104" s="18">
        <f>-'Annual Calculations'!$Q$17*(1+$C$3)^AA$168</f>
        <v>-226.86481328953747</v>
      </c>
      <c r="AB104" s="18">
        <f>-'Annual Calculations'!$Q$17*(1+$C$3)^AB$168</f>
        <v>-231.40210955532822</v>
      </c>
      <c r="AC104" s="18">
        <f>-'Annual Calculations'!$Q$17*(1+$C$3)^AC$168</f>
        <v>-236.0301517464348</v>
      </c>
      <c r="AD104" s="18">
        <f>-'Annual Calculations'!$Q$17*(1+$C$3)^AD$168</f>
        <v>-240.75075478136353</v>
      </c>
      <c r="AE104" s="18">
        <f>-'Annual Calculations'!$Q$17*(1+$C$3)^AE$168</f>
        <v>-245.56576987699074</v>
      </c>
      <c r="AF104" s="18">
        <f>-'Annual Calculations'!$Q$17*(1+$C$3)^AF$168</f>
        <v>-250.47708527453062</v>
      </c>
      <c r="AG104" s="18">
        <f>-'Annual Calculations'!$Q$17*(1+$C$3)^AG$168</f>
        <v>-255.48662698002119</v>
      </c>
      <c r="AH104" s="18">
        <f>-'Annual Calculations'!$Q$17*(1+$C$3)^AH$168</f>
        <v>-260.59635951962161</v>
      </c>
      <c r="AI104" s="18">
        <f>-'Annual Calculations'!$Q$17*(1+$C$3)^AI$168</f>
        <v>-265.80828671001399</v>
      </c>
      <c r="AJ104" s="18">
        <f>-'Annual Calculations'!$Q$17*(1+$C$3)^AJ$168</f>
        <v>-271.12445244421434</v>
      </c>
      <c r="AK104" s="18">
        <f>-'Annual Calculations'!$Q$17*(1+$C$3)^AK$168</f>
        <v>-276.54694149309864</v>
      </c>
      <c r="AL104" s="18">
        <f>-'Annual Calculations'!$Q$17*(1+$C$3)^AL$168</f>
        <v>-282.0778803229606</v>
      </c>
      <c r="AM104" s="18">
        <f>-'Annual Calculations'!$Q$17*(1+$C$3)^AM$168</f>
        <v>-287.71943792941983</v>
      </c>
      <c r="AN104" s="18">
        <f>-'Annual Calculations'!$Q$17*(1+$C$3)^AN$168</f>
        <v>-293.47382668800816</v>
      </c>
      <c r="AO104" s="18">
        <f>-'Annual Calculations'!$Q$17*(1+$C$3)^AO$168</f>
        <v>-299.34330322176839</v>
      </c>
      <c r="AP104" s="18">
        <f>-'Annual Calculations'!$Q$17*(1+$C$3)^AP$168</f>
        <v>-305.33016928620378</v>
      </c>
      <c r="AQ104" s="18">
        <f>-'Annual Calculations'!$Q$17*(1+$C$3)^AQ$168</f>
        <v>-311.43677267192777</v>
      </c>
      <c r="AR104" s="18">
        <f>-'Annual Calculations'!$Q$17*(1+$C$3)^AR$168</f>
        <v>-317.66550812536639</v>
      </c>
      <c r="AS104" s="18">
        <f>-'Annual Calculations'!$Q$17*(1+$C$3)^AS$168</f>
        <v>-324.01881828787367</v>
      </c>
      <c r="AT104" s="18">
        <f>-'Annual Calculations'!$Q$17*(1+$C$3)^AT$168</f>
        <v>-330.49919465363115</v>
      </c>
      <c r="AU104" s="18">
        <f>-'Annual Calculations'!$Q$17*(1+$C$3)^AU$168</f>
        <v>-337.10917854670373</v>
      </c>
      <c r="AV104" s="18">
        <f>-'Annual Calculations'!$Q$17*(1+$C$3)^AV$168</f>
        <v>-343.8513621176379</v>
      </c>
      <c r="AW104" s="18">
        <f>-'Annual Calculations'!$Q$17*(1+$C$3)^AW$168</f>
        <v>-350.72838935999062</v>
      </c>
      <c r="AX104" s="18">
        <f>-'Annual Calculations'!$Q$17*(1+$C$3)^AX$168</f>
        <v>-357.74295714719045</v>
      </c>
      <c r="AY104" s="18">
        <f>-'Annual Calculations'!$Q$17*(1+$C$3)^AY$168</f>
        <v>-364.89781629013413</v>
      </c>
      <c r="AZ104" s="18">
        <f>-'Annual Calculations'!$Q$17*(1+$C$3)^AZ$168</f>
        <v>-372.1957726159369</v>
      </c>
      <c r="BA104" s="18">
        <f>-'Annual Calculations'!$Q$17*(1+$C$3)^BA$168</f>
        <v>-379.63968806825562</v>
      </c>
      <c r="BB104" s="18">
        <f>-'Annual Calculations'!$Q$17*(1+$C$3)^BB$168</f>
        <v>-387.23248182962078</v>
      </c>
    </row>
    <row r="105" spans="1:54" x14ac:dyDescent="0.25">
      <c r="A105" s="177"/>
      <c r="B105" t="s">
        <v>357</v>
      </c>
      <c r="C105" s="72" t="s">
        <v>362</v>
      </c>
      <c r="D105">
        <v>0</v>
      </c>
      <c r="E105" s="18">
        <f>-'Annual Calculations'!$L$32*(1+$C$3)^E$168</f>
        <v>442.59934444444457</v>
      </c>
      <c r="F105" s="18">
        <f>-'Annual Calculations'!$L$32*(1+$C$3)^F$168</f>
        <v>451.45133133333343</v>
      </c>
      <c r="G105" s="18">
        <f>-'Annual Calculations'!$L$32*(1+$C$3)^G$168</f>
        <v>460.48035796000011</v>
      </c>
      <c r="H105" s="18">
        <f>-'Annual Calculations'!$L$32*(1+$C$3)^H$168</f>
        <v>469.68996511920011</v>
      </c>
      <c r="I105" s="18">
        <f>-'Annual Calculations'!$L$32*(1+$C$3)^I$168</f>
        <v>479.08376442158414</v>
      </c>
      <c r="J105" s="18">
        <f>-'Annual Calculations'!$L$32*(1+$C$3)^J$168</f>
        <v>488.66543971001585</v>
      </c>
      <c r="K105" s="18">
        <f>-'Annual Calculations'!$L$32*(1+$C$3)^K$168</f>
        <v>498.43874850421605</v>
      </c>
      <c r="L105" s="18">
        <f>-'Annual Calculations'!$L$32*(1+$C$3)^L$168</f>
        <v>508.40752347430043</v>
      </c>
      <c r="M105" s="18">
        <f>-'Annual Calculations'!$L$32*(1+$C$3)^M$168</f>
        <v>518.57567394378646</v>
      </c>
      <c r="N105" s="18">
        <f>-'Annual Calculations'!$L$32*(1+$C$3)^N$168</f>
        <v>528.94718742266218</v>
      </c>
      <c r="O105" s="18">
        <f>-'Annual Calculations'!$L$32*(1+$C$3)^O$168</f>
        <v>539.52613117111537</v>
      </c>
      <c r="P105" s="18">
        <f>-'Annual Calculations'!$L$32*(1+$C$3)^P$168</f>
        <v>550.31665379453773</v>
      </c>
      <c r="Q105" s="18">
        <f>-'Annual Calculations'!$L$32*(1+$C$3)^Q$168</f>
        <v>561.32298687042839</v>
      </c>
      <c r="R105" s="18">
        <f>-'Annual Calculations'!$L$32*(1+$C$3)^R$168</f>
        <v>572.54944660783701</v>
      </c>
      <c r="S105" s="18">
        <f>-'Annual Calculations'!$L$32*(1+$C$3)^S$168</f>
        <v>584.00043553999365</v>
      </c>
      <c r="T105" s="18">
        <f>-'Annual Calculations'!$L$32*(1+$C$3)^T$168</f>
        <v>595.68044425079358</v>
      </c>
      <c r="U105" s="18">
        <f>-'Annual Calculations'!$L$32*(1+$C$3)^U$168</f>
        <v>607.59405313580953</v>
      </c>
      <c r="V105" s="18">
        <f>-'Annual Calculations'!$L$32*(1+$C$3)^V$168</f>
        <v>619.74593419852567</v>
      </c>
      <c r="W105" s="18">
        <f>-'Annual Calculations'!$L$32*(1+$C$3)^W$168</f>
        <v>632.14085288249612</v>
      </c>
      <c r="X105" s="18">
        <f>-'Annual Calculations'!$L$32*(1+$C$3)^X$168</f>
        <v>644.78366994014618</v>
      </c>
      <c r="Y105" s="18">
        <f>-'Annual Calculations'!$L$32*(1+$C$3)^Y$168</f>
        <v>657.67934333894902</v>
      </c>
      <c r="Z105" s="18">
        <f>-'Annual Calculations'!$L$32*(1+$C$3)^Z$168</f>
        <v>670.83293020572808</v>
      </c>
      <c r="AA105" s="18">
        <f>-'Annual Calculations'!$L$32*(1+$C$3)^AA$168</f>
        <v>684.24958880984252</v>
      </c>
      <c r="AB105" s="18">
        <f>-'Annual Calculations'!$L$32*(1+$C$3)^AB$168</f>
        <v>697.93458058603937</v>
      </c>
      <c r="AC105" s="18">
        <f>-'Annual Calculations'!$L$32*(1+$C$3)^AC$168</f>
        <v>711.8932721977601</v>
      </c>
      <c r="AD105" s="18">
        <f>-'Annual Calculations'!$L$32*(1+$C$3)^AD$168</f>
        <v>726.13113764171544</v>
      </c>
      <c r="AE105" s="18">
        <f>-'Annual Calculations'!$L$32*(1+$C$3)^AE$168</f>
        <v>740.65376039454964</v>
      </c>
      <c r="AF105" s="18">
        <f>-'Annual Calculations'!$L$32*(1+$C$3)^AF$168</f>
        <v>755.46683560244071</v>
      </c>
      <c r="AG105" s="18">
        <f>-'Annual Calculations'!$L$32*(1+$C$3)^AG$168</f>
        <v>770.57617231448944</v>
      </c>
      <c r="AH105" s="18">
        <f>-'Annual Calculations'!$L$32*(1+$C$3)^AH$168</f>
        <v>785.98769576077927</v>
      </c>
      <c r="AI105" s="18">
        <f>-'Annual Calculations'!$L$32*(1+$C$3)^AI$168</f>
        <v>801.70744967599467</v>
      </c>
      <c r="AJ105" s="18">
        <f>-'Annual Calculations'!$L$32*(1+$C$3)^AJ$168</f>
        <v>817.7415986695147</v>
      </c>
      <c r="AK105" s="18">
        <f>-'Annual Calculations'!$L$32*(1+$C$3)^AK$168</f>
        <v>834.09643064290515</v>
      </c>
      <c r="AL105" s="18">
        <f>-'Annual Calculations'!$L$32*(1+$C$3)^AL$168</f>
        <v>850.77835925576312</v>
      </c>
      <c r="AM105" s="18">
        <f>-'Annual Calculations'!$L$32*(1+$C$3)^AM$168</f>
        <v>867.79392644087841</v>
      </c>
      <c r="AN105" s="18">
        <f>-'Annual Calculations'!$L$32*(1+$C$3)^AN$168</f>
        <v>885.14980496969588</v>
      </c>
      <c r="AO105" s="18">
        <f>-'Annual Calculations'!$L$32*(1+$C$3)^AO$168</f>
        <v>902.85280106908999</v>
      </c>
      <c r="AP105" s="18">
        <f>-'Annual Calculations'!$L$32*(1+$C$3)^AP$168</f>
        <v>920.90985709047186</v>
      </c>
      <c r="AQ105" s="18">
        <f>-'Annual Calculations'!$L$32*(1+$C$3)^AQ$168</f>
        <v>939.32805423228092</v>
      </c>
      <c r="AR105" s="18">
        <f>-'Annual Calculations'!$L$32*(1+$C$3)^AR$168</f>
        <v>958.1146153169268</v>
      </c>
      <c r="AS105" s="18">
        <f>-'Annual Calculations'!$L$32*(1+$C$3)^AS$168</f>
        <v>977.27690762326529</v>
      </c>
      <c r="AT105" s="18">
        <f>-'Annual Calculations'!$L$32*(1+$C$3)^AT$168</f>
        <v>996.82244577573056</v>
      </c>
      <c r="AU105" s="18">
        <f>-'Annual Calculations'!$L$32*(1+$C$3)^AU$168</f>
        <v>1016.758894691245</v>
      </c>
      <c r="AV105" s="18">
        <f>-'Annual Calculations'!$L$32*(1+$C$3)^AV$168</f>
        <v>1037.0940725850701</v>
      </c>
      <c r="AW105" s="18">
        <f>-'Annual Calculations'!$L$32*(1+$C$3)^AW$168</f>
        <v>1057.8359540367715</v>
      </c>
      <c r="AX105" s="18">
        <f>-'Annual Calculations'!$L$32*(1+$C$3)^AX$168</f>
        <v>1078.9926731175069</v>
      </c>
      <c r="AY105" s="18">
        <f>-'Annual Calculations'!$L$32*(1+$C$3)^AY$168</f>
        <v>1100.5725265798567</v>
      </c>
      <c r="AZ105" s="18">
        <f>-'Annual Calculations'!$L$32*(1+$C$3)^AZ$168</f>
        <v>1122.583977111454</v>
      </c>
      <c r="BA105" s="18">
        <f>-'Annual Calculations'!$L$32*(1+$C$3)^BA$168</f>
        <v>1145.0356566536832</v>
      </c>
      <c r="BB105" s="18">
        <f>-'Annual Calculations'!$L$32*(1+$C$3)^BB$168</f>
        <v>1167.9363697867568</v>
      </c>
    </row>
    <row r="106" spans="1:54" x14ac:dyDescent="0.25">
      <c r="A106" s="177"/>
      <c r="B106" t="s">
        <v>358</v>
      </c>
      <c r="C106" s="72" t="s">
        <v>362</v>
      </c>
      <c r="D106">
        <f>SUM(D103:D105)</f>
        <v>5250</v>
      </c>
      <c r="E106" s="18">
        <f t="shared" ref="E106:BB106" si="162">SUM(E103:E105)</f>
        <v>295.85432730221976</v>
      </c>
      <c r="F106" s="18">
        <f t="shared" si="162"/>
        <v>301.77141384826416</v>
      </c>
      <c r="G106" s="18">
        <f t="shared" si="162"/>
        <v>307.80684212522942</v>
      </c>
      <c r="H106" s="18">
        <f t="shared" si="162"/>
        <v>313.96297896773399</v>
      </c>
      <c r="I106" s="18">
        <f t="shared" si="162"/>
        <v>320.24223854708873</v>
      </c>
      <c r="J106" s="18">
        <f t="shared" si="162"/>
        <v>326.64708331803052</v>
      </c>
      <c r="K106" s="18">
        <f t="shared" si="162"/>
        <v>333.18002498439103</v>
      </c>
      <c r="L106" s="18">
        <f t="shared" si="162"/>
        <v>339.84362548407893</v>
      </c>
      <c r="M106" s="18">
        <f t="shared" si="162"/>
        <v>346.6404979937605</v>
      </c>
      <c r="N106" s="18">
        <f t="shared" si="162"/>
        <v>353.57330795363572</v>
      </c>
      <c r="O106" s="18">
        <f t="shared" si="162"/>
        <v>360.64477411270843</v>
      </c>
      <c r="P106" s="18">
        <f t="shared" si="162"/>
        <v>367.8576695949626</v>
      </c>
      <c r="Q106" s="18">
        <f t="shared" si="162"/>
        <v>375.21482298686175</v>
      </c>
      <c r="R106" s="18">
        <f t="shared" si="162"/>
        <v>382.71911944659905</v>
      </c>
      <c r="S106" s="18">
        <f t="shared" si="162"/>
        <v>390.37350183553099</v>
      </c>
      <c r="T106" s="18">
        <f t="shared" si="162"/>
        <v>398.18097187224157</v>
      </c>
      <c r="U106" s="18">
        <f t="shared" si="162"/>
        <v>406.14459130968646</v>
      </c>
      <c r="V106" s="18">
        <f t="shared" si="162"/>
        <v>414.26748313588018</v>
      </c>
      <c r="W106" s="18">
        <f t="shared" si="162"/>
        <v>422.55283279859771</v>
      </c>
      <c r="X106" s="18">
        <f t="shared" si="162"/>
        <v>431.00388945456984</v>
      </c>
      <c r="Y106" s="18">
        <f t="shared" si="162"/>
        <v>439.62396724366113</v>
      </c>
      <c r="Z106" s="18">
        <f t="shared" si="162"/>
        <v>448.41644658853443</v>
      </c>
      <c r="AA106" s="18">
        <f t="shared" si="162"/>
        <v>457.38477552030508</v>
      </c>
      <c r="AB106" s="18">
        <f t="shared" si="162"/>
        <v>466.53247103071112</v>
      </c>
      <c r="AC106" s="18">
        <f t="shared" si="162"/>
        <v>475.8631204513253</v>
      </c>
      <c r="AD106" s="18">
        <f t="shared" si="162"/>
        <v>485.38038286035192</v>
      </c>
      <c r="AE106" s="18">
        <f t="shared" si="162"/>
        <v>495.08799051755886</v>
      </c>
      <c r="AF106" s="18">
        <f t="shared" si="162"/>
        <v>504.98975032791009</v>
      </c>
      <c r="AG106" s="18">
        <f t="shared" si="162"/>
        <v>515.08954533446831</v>
      </c>
      <c r="AH106" s="18">
        <f t="shared" si="162"/>
        <v>2970.729474780685</v>
      </c>
      <c r="AI106" s="18">
        <f t="shared" si="162"/>
        <v>535.89916296598062</v>
      </c>
      <c r="AJ106" s="18">
        <f t="shared" si="162"/>
        <v>546.6171462253003</v>
      </c>
      <c r="AK106" s="18">
        <f t="shared" si="162"/>
        <v>557.5494891498065</v>
      </c>
      <c r="AL106" s="18">
        <f t="shared" si="162"/>
        <v>568.70047893280253</v>
      </c>
      <c r="AM106" s="18">
        <f t="shared" si="162"/>
        <v>580.07448851145864</v>
      </c>
      <c r="AN106" s="18">
        <f t="shared" si="162"/>
        <v>591.67597828168778</v>
      </c>
      <c r="AO106" s="18">
        <f t="shared" si="162"/>
        <v>603.50949784732165</v>
      </c>
      <c r="AP106" s="18">
        <f t="shared" si="162"/>
        <v>615.57968780426813</v>
      </c>
      <c r="AQ106" s="18">
        <f t="shared" si="162"/>
        <v>627.89128156035315</v>
      </c>
      <c r="AR106" s="18">
        <f t="shared" si="162"/>
        <v>-8743.7194631715611</v>
      </c>
      <c r="AS106" s="18">
        <f t="shared" si="162"/>
        <v>653.25808933539156</v>
      </c>
      <c r="AT106" s="18">
        <f t="shared" si="162"/>
        <v>666.32325112209946</v>
      </c>
      <c r="AU106" s="18">
        <f t="shared" si="162"/>
        <v>679.64971614454134</v>
      </c>
      <c r="AV106" s="18">
        <f t="shared" si="162"/>
        <v>693.24271046743218</v>
      </c>
      <c r="AW106" s="18">
        <f t="shared" si="162"/>
        <v>707.10756467678084</v>
      </c>
      <c r="AX106" s="18">
        <f t="shared" si="162"/>
        <v>721.2497159703164</v>
      </c>
      <c r="AY106" s="18">
        <f t="shared" si="162"/>
        <v>735.6747102897225</v>
      </c>
      <c r="AZ106" s="18">
        <f t="shared" si="162"/>
        <v>750.38820449551713</v>
      </c>
      <c r="BA106" s="18">
        <f t="shared" si="162"/>
        <v>765.39596858542757</v>
      </c>
      <c r="BB106" s="18">
        <f t="shared" si="162"/>
        <v>780.70388795713598</v>
      </c>
    </row>
    <row r="107" spans="1:54" x14ac:dyDescent="0.25">
      <c r="A107" s="177"/>
      <c r="B107" t="s">
        <v>359</v>
      </c>
      <c r="C107" s="72"/>
      <c r="D107">
        <f t="shared" ref="D107:AI107" si="163">(1+$C$2)^D$168</f>
        <v>1</v>
      </c>
      <c r="E107" s="40">
        <f t="shared" si="163"/>
        <v>1.03</v>
      </c>
      <c r="F107" s="40">
        <f t="shared" si="163"/>
        <v>1.0609</v>
      </c>
      <c r="G107" s="40">
        <f t="shared" si="163"/>
        <v>1.092727</v>
      </c>
      <c r="H107" s="40">
        <f t="shared" si="163"/>
        <v>1.1255088099999999</v>
      </c>
      <c r="I107" s="40">
        <f t="shared" si="163"/>
        <v>1.1592740742999998</v>
      </c>
      <c r="J107" s="40">
        <f t="shared" si="163"/>
        <v>1.1940522965289999</v>
      </c>
      <c r="K107" s="40">
        <f t="shared" si="163"/>
        <v>1.22987386542487</v>
      </c>
      <c r="L107" s="40">
        <f t="shared" si="163"/>
        <v>1.2667700813876159</v>
      </c>
      <c r="M107" s="40">
        <f t="shared" si="163"/>
        <v>1.3047731838292445</v>
      </c>
      <c r="N107" s="40">
        <f t="shared" si="163"/>
        <v>1.3439163793441218</v>
      </c>
      <c r="O107" s="40">
        <f t="shared" si="163"/>
        <v>1.3842338707244455</v>
      </c>
      <c r="P107" s="40">
        <f t="shared" si="163"/>
        <v>1.4257608868461786</v>
      </c>
      <c r="Q107" s="40">
        <f t="shared" si="163"/>
        <v>1.4685337134515639</v>
      </c>
      <c r="R107" s="40">
        <f t="shared" si="163"/>
        <v>1.512589724855111</v>
      </c>
      <c r="S107" s="40">
        <f t="shared" si="163"/>
        <v>1.5579674166007644</v>
      </c>
      <c r="T107" s="40">
        <f t="shared" si="163"/>
        <v>1.6047064390987871</v>
      </c>
      <c r="U107" s="40">
        <f t="shared" si="163"/>
        <v>1.6528476322717507</v>
      </c>
      <c r="V107" s="40">
        <f t="shared" si="163"/>
        <v>1.7024330612399032</v>
      </c>
      <c r="W107" s="40">
        <f t="shared" si="163"/>
        <v>1.7535060530771003</v>
      </c>
      <c r="X107" s="40">
        <f t="shared" si="163"/>
        <v>1.8061112346694133</v>
      </c>
      <c r="Y107" s="40">
        <f t="shared" si="163"/>
        <v>1.8602945717094954</v>
      </c>
      <c r="Z107" s="40">
        <f t="shared" si="163"/>
        <v>1.9161034088607805</v>
      </c>
      <c r="AA107" s="40">
        <f t="shared" si="163"/>
        <v>1.973586511126604</v>
      </c>
      <c r="AB107" s="40">
        <f t="shared" si="163"/>
        <v>2.0327941064604018</v>
      </c>
      <c r="AC107" s="40">
        <f t="shared" si="163"/>
        <v>2.0937779296542138</v>
      </c>
      <c r="AD107" s="40">
        <f t="shared" si="163"/>
        <v>2.1565912675438406</v>
      </c>
      <c r="AE107" s="40">
        <f t="shared" si="163"/>
        <v>2.2212890055701555</v>
      </c>
      <c r="AF107" s="40">
        <f t="shared" si="163"/>
        <v>2.2879276757372602</v>
      </c>
      <c r="AG107" s="40">
        <f t="shared" si="163"/>
        <v>2.3565655060093778</v>
      </c>
      <c r="AH107" s="40">
        <f t="shared" si="163"/>
        <v>2.4272624711896591</v>
      </c>
      <c r="AI107" s="40">
        <f t="shared" si="163"/>
        <v>2.5000803453253493</v>
      </c>
      <c r="AJ107" s="40">
        <f t="shared" ref="AJ107:BB107" si="164">(1+$C$2)^AJ$168</f>
        <v>2.5750827556851092</v>
      </c>
      <c r="AK107" s="40">
        <f t="shared" si="164"/>
        <v>2.6523352383556626</v>
      </c>
      <c r="AL107" s="40">
        <f t="shared" si="164"/>
        <v>2.7319052955063321</v>
      </c>
      <c r="AM107" s="40">
        <f t="shared" si="164"/>
        <v>2.8138624543715225</v>
      </c>
      <c r="AN107" s="40">
        <f t="shared" si="164"/>
        <v>2.898278328002668</v>
      </c>
      <c r="AO107" s="40">
        <f t="shared" si="164"/>
        <v>2.9852266778427476</v>
      </c>
      <c r="AP107" s="40">
        <f t="shared" si="164"/>
        <v>3.0747834781780301</v>
      </c>
      <c r="AQ107" s="40">
        <f t="shared" si="164"/>
        <v>3.1670269825233714</v>
      </c>
      <c r="AR107" s="40">
        <f t="shared" si="164"/>
        <v>3.262037791999072</v>
      </c>
      <c r="AS107" s="40">
        <f t="shared" si="164"/>
        <v>3.3598989257590444</v>
      </c>
      <c r="AT107" s="40">
        <f t="shared" si="164"/>
        <v>3.4606958935318159</v>
      </c>
      <c r="AU107" s="40">
        <f t="shared" si="164"/>
        <v>3.5645167703377703</v>
      </c>
      <c r="AV107" s="40">
        <f t="shared" si="164"/>
        <v>3.6714522734479029</v>
      </c>
      <c r="AW107" s="40">
        <f t="shared" si="164"/>
        <v>3.78159584165134</v>
      </c>
      <c r="AX107" s="40">
        <f t="shared" si="164"/>
        <v>3.8950437169008802</v>
      </c>
      <c r="AY107" s="40">
        <f t="shared" si="164"/>
        <v>4.0118950284079071</v>
      </c>
      <c r="AZ107" s="40">
        <f t="shared" si="164"/>
        <v>4.1322518792601439</v>
      </c>
      <c r="BA107" s="40">
        <f t="shared" si="164"/>
        <v>4.2562194356379477</v>
      </c>
      <c r="BB107" s="40">
        <f t="shared" si="164"/>
        <v>4.3839060187070862</v>
      </c>
    </row>
    <row r="108" spans="1:54" x14ac:dyDescent="0.25">
      <c r="A108" s="177"/>
      <c r="B108" t="s">
        <v>360</v>
      </c>
      <c r="C108" s="72" t="s">
        <v>362</v>
      </c>
      <c r="D108">
        <f>D106/D107</f>
        <v>5250</v>
      </c>
      <c r="E108" s="18">
        <f>E106/E107</f>
        <v>287.23721097302888</v>
      </c>
      <c r="F108" s="18">
        <f>F106/F107</f>
        <v>284.448500186883</v>
      </c>
      <c r="G108" s="18">
        <f t="shared" ref="G108:BB108" si="165">G106/G107</f>
        <v>281.68686426273848</v>
      </c>
      <c r="H108" s="18">
        <f t="shared" si="165"/>
        <v>278.95204033785751</v>
      </c>
      <c r="I108" s="18">
        <f t="shared" si="165"/>
        <v>276.2437681015677</v>
      </c>
      <c r="J108" s="18">
        <f t="shared" si="165"/>
        <v>273.56178977048455</v>
      </c>
      <c r="K108" s="18">
        <f t="shared" si="165"/>
        <v>270.90585006397487</v>
      </c>
      <c r="L108" s="18">
        <f t="shared" si="165"/>
        <v>268.2756961798587</v>
      </c>
      <c r="M108" s="18">
        <f t="shared" si="165"/>
        <v>265.67107777034551</v>
      </c>
      <c r="N108" s="18">
        <f t="shared" si="165"/>
        <v>263.09174691820624</v>
      </c>
      <c r="O108" s="18">
        <f t="shared" si="165"/>
        <v>260.53745811317509</v>
      </c>
      <c r="P108" s="18">
        <f t="shared" si="165"/>
        <v>258.00796822858121</v>
      </c>
      <c r="Q108" s="18">
        <f t="shared" si="165"/>
        <v>255.50303649820657</v>
      </c>
      <c r="R108" s="18">
        <f t="shared" si="165"/>
        <v>253.02242449336961</v>
      </c>
      <c r="S108" s="18">
        <f t="shared" si="165"/>
        <v>250.56589610023008</v>
      </c>
      <c r="T108" s="18">
        <f t="shared" si="165"/>
        <v>248.13321749731523</v>
      </c>
      <c r="U108" s="18">
        <f t="shared" si="165"/>
        <v>245.72415713326367</v>
      </c>
      <c r="V108" s="18">
        <f t="shared" si="165"/>
        <v>243.33848570478537</v>
      </c>
      <c r="W108" s="18">
        <f t="shared" si="165"/>
        <v>240.97597613483595</v>
      </c>
      <c r="X108" s="18">
        <f t="shared" si="165"/>
        <v>238.6364035510027</v>
      </c>
      <c r="Y108" s="18">
        <f t="shared" si="165"/>
        <v>236.31954526409973</v>
      </c>
      <c r="Z108" s="18">
        <f t="shared" si="165"/>
        <v>234.02518074697258</v>
      </c>
      <c r="AA108" s="18">
        <f t="shared" si="165"/>
        <v>231.7530916135068</v>
      </c>
      <c r="AB108" s="18">
        <f t="shared" si="165"/>
        <v>229.50306159784168</v>
      </c>
      <c r="AC108" s="18">
        <f t="shared" si="165"/>
        <v>227.27487653378495</v>
      </c>
      <c r="AD108" s="18">
        <f t="shared" si="165"/>
        <v>225.06832433442781</v>
      </c>
      <c r="AE108" s="18">
        <f t="shared" si="165"/>
        <v>222.88319497195764</v>
      </c>
      <c r="AF108" s="18">
        <f t="shared" si="165"/>
        <v>220.7192804576668</v>
      </c>
      <c r="AG108" s="18">
        <f t="shared" si="165"/>
        <v>218.57637482215551</v>
      </c>
      <c r="AH108" s="18">
        <f t="shared" si="165"/>
        <v>1223.9012097132866</v>
      </c>
      <c r="AI108" s="18">
        <f t="shared" si="165"/>
        <v>214.35277628897205</v>
      </c>
      <c r="AJ108" s="18">
        <f t="shared" si="165"/>
        <v>212.27168137354522</v>
      </c>
      <c r="AK108" s="18">
        <f t="shared" si="165"/>
        <v>210.2107912631225</v>
      </c>
      <c r="AL108" s="18">
        <f t="shared" si="165"/>
        <v>208.16990979454852</v>
      </c>
      <c r="AM108" s="18">
        <f t="shared" si="165"/>
        <v>206.14884270916454</v>
      </c>
      <c r="AN108" s="18">
        <f t="shared" si="165"/>
        <v>204.14739763431825</v>
      </c>
      <c r="AO108" s="18">
        <f t="shared" si="165"/>
        <v>202.1653840650531</v>
      </c>
      <c r="AP108" s="18">
        <f t="shared" si="165"/>
        <v>200.20261334597495</v>
      </c>
      <c r="AQ108" s="18">
        <f t="shared" si="165"/>
        <v>198.25889865329543</v>
      </c>
      <c r="AR108" s="18">
        <f t="shared" si="165"/>
        <v>-2680.44701524232</v>
      </c>
      <c r="AS108" s="18">
        <f t="shared" si="165"/>
        <v>194.42789910348631</v>
      </c>
      <c r="AT108" s="18">
        <f t="shared" si="165"/>
        <v>192.54024959762725</v>
      </c>
      <c r="AU108" s="18">
        <f t="shared" si="165"/>
        <v>190.67092678599977</v>
      </c>
      <c r="AV108" s="18">
        <f t="shared" si="165"/>
        <v>188.81975273953378</v>
      </c>
      <c r="AW108" s="18">
        <f t="shared" si="165"/>
        <v>186.98655125662569</v>
      </c>
      <c r="AX108" s="18">
        <f t="shared" si="165"/>
        <v>185.17114784636718</v>
      </c>
      <c r="AY108" s="18">
        <f t="shared" si="165"/>
        <v>183.37336971193633</v>
      </c>
      <c r="AZ108" s="18">
        <f t="shared" si="165"/>
        <v>181.59304573415062</v>
      </c>
      <c r="BA108" s="18">
        <f t="shared" si="165"/>
        <v>179.83000645517834</v>
      </c>
      <c r="BB108" s="18">
        <f t="shared" si="165"/>
        <v>178.08408406240957</v>
      </c>
    </row>
    <row r="109" spans="1:54" x14ac:dyDescent="0.25">
      <c r="A109" s="177"/>
      <c r="B109" s="76" t="s">
        <v>645</v>
      </c>
      <c r="C109" s="77" t="s">
        <v>362</v>
      </c>
      <c r="D109" s="76">
        <f>D108</f>
        <v>5250</v>
      </c>
      <c r="E109" s="78">
        <f>E108+D109</f>
        <v>5537.2372109730286</v>
      </c>
      <c r="F109" s="78">
        <f t="shared" ref="F109:BB109" si="166">F108+E109</f>
        <v>5821.685711159912</v>
      </c>
      <c r="G109" s="78">
        <f t="shared" si="166"/>
        <v>6103.3725754226507</v>
      </c>
      <c r="H109" s="78">
        <f t="shared" si="166"/>
        <v>6382.3246157605081</v>
      </c>
      <c r="I109" s="78">
        <f t="shared" si="166"/>
        <v>6658.5683838620762</v>
      </c>
      <c r="J109" s="78">
        <f t="shared" si="166"/>
        <v>6932.1301736325604</v>
      </c>
      <c r="K109" s="78">
        <f t="shared" si="166"/>
        <v>7203.0360236965353</v>
      </c>
      <c r="L109" s="78">
        <f t="shared" si="166"/>
        <v>7471.3117198763939</v>
      </c>
      <c r="M109" s="78">
        <f t="shared" si="166"/>
        <v>7736.9827976467395</v>
      </c>
      <c r="N109" s="78">
        <f t="shared" si="166"/>
        <v>8000.0745445649454</v>
      </c>
      <c r="O109" s="78">
        <f t="shared" si="166"/>
        <v>8260.6120026781209</v>
      </c>
      <c r="P109" s="78">
        <f t="shared" si="166"/>
        <v>8518.6199709067023</v>
      </c>
      <c r="Q109" s="78">
        <f t="shared" si="166"/>
        <v>8774.123007404909</v>
      </c>
      <c r="R109" s="78">
        <f t="shared" si="166"/>
        <v>9027.1454318982778</v>
      </c>
      <c r="S109" s="78">
        <f t="shared" si="166"/>
        <v>9277.7113279985078</v>
      </c>
      <c r="T109" s="78">
        <f t="shared" si="166"/>
        <v>9525.8445454958237</v>
      </c>
      <c r="U109" s="78">
        <f t="shared" si="166"/>
        <v>9771.5687026290871</v>
      </c>
      <c r="V109" s="78">
        <f t="shared" si="166"/>
        <v>10014.907188333873</v>
      </c>
      <c r="W109" s="78">
        <f t="shared" si="166"/>
        <v>10255.883164468709</v>
      </c>
      <c r="X109" s="78">
        <f t="shared" si="166"/>
        <v>10494.519568019712</v>
      </c>
      <c r="Y109" s="78">
        <f t="shared" si="166"/>
        <v>10730.839113283811</v>
      </c>
      <c r="Z109" s="78">
        <f t="shared" si="166"/>
        <v>10964.864294030784</v>
      </c>
      <c r="AA109" s="78">
        <f t="shared" si="166"/>
        <v>11196.617385644291</v>
      </c>
      <c r="AB109" s="78">
        <f t="shared" si="166"/>
        <v>11426.120447242132</v>
      </c>
      <c r="AC109" s="78">
        <f t="shared" si="166"/>
        <v>11653.395323775918</v>
      </c>
      <c r="AD109" s="78">
        <f t="shared" si="166"/>
        <v>11878.463648110346</v>
      </c>
      <c r="AE109" s="78">
        <f t="shared" si="166"/>
        <v>12101.346843082303</v>
      </c>
      <c r="AF109" s="78">
        <f t="shared" si="166"/>
        <v>12322.066123539969</v>
      </c>
      <c r="AG109" s="78">
        <f t="shared" si="166"/>
        <v>12540.642498362125</v>
      </c>
      <c r="AH109" s="78">
        <f t="shared" si="166"/>
        <v>13764.543708075413</v>
      </c>
      <c r="AI109" s="78">
        <f t="shared" si="166"/>
        <v>13978.896484364384</v>
      </c>
      <c r="AJ109" s="78">
        <f t="shared" si="166"/>
        <v>14191.16816573793</v>
      </c>
      <c r="AK109" s="78">
        <f t="shared" si="166"/>
        <v>14401.378957001052</v>
      </c>
      <c r="AL109" s="78">
        <f t="shared" si="166"/>
        <v>14609.548866795601</v>
      </c>
      <c r="AM109" s="78">
        <f t="shared" si="166"/>
        <v>14815.697709504766</v>
      </c>
      <c r="AN109" s="78">
        <f t="shared" si="166"/>
        <v>15019.845107139085</v>
      </c>
      <c r="AO109" s="78">
        <f t="shared" si="166"/>
        <v>15222.010491204137</v>
      </c>
      <c r="AP109" s="78">
        <f t="shared" si="166"/>
        <v>15422.213104550112</v>
      </c>
      <c r="AQ109" s="78">
        <f t="shared" si="166"/>
        <v>15620.472003203407</v>
      </c>
      <c r="AR109" s="78">
        <f t="shared" si="166"/>
        <v>12940.024987961087</v>
      </c>
      <c r="AS109" s="78">
        <f t="shared" si="166"/>
        <v>13134.452887064574</v>
      </c>
      <c r="AT109" s="78">
        <f t="shared" si="166"/>
        <v>13326.9931366622</v>
      </c>
      <c r="AU109" s="78">
        <f t="shared" si="166"/>
        <v>13517.664063448201</v>
      </c>
      <c r="AV109" s="78">
        <f t="shared" si="166"/>
        <v>13706.483816187734</v>
      </c>
      <c r="AW109" s="78">
        <f t="shared" si="166"/>
        <v>13893.470367444359</v>
      </c>
      <c r="AX109" s="78">
        <f t="shared" si="166"/>
        <v>14078.641515290727</v>
      </c>
      <c r="AY109" s="78">
        <f t="shared" si="166"/>
        <v>14262.014885002664</v>
      </c>
      <c r="AZ109" s="78">
        <f t="shared" si="166"/>
        <v>14443.607930736815</v>
      </c>
      <c r="BA109" s="78">
        <f t="shared" si="166"/>
        <v>14623.437937191993</v>
      </c>
      <c r="BB109" s="78">
        <f t="shared" si="166"/>
        <v>14801.522021254403</v>
      </c>
    </row>
    <row r="110" spans="1:54" x14ac:dyDescent="0.25">
      <c r="A110" s="177"/>
      <c r="B110" s="22" t="s">
        <v>361</v>
      </c>
      <c r="C110" s="75" t="s">
        <v>362</v>
      </c>
      <c r="D110" s="93">
        <f>SUM(D108:BB108)</f>
        <v>14801.522021254403</v>
      </c>
    </row>
    <row r="111" spans="1:54" x14ac:dyDescent="0.25">
      <c r="A111" s="180" t="s">
        <v>547</v>
      </c>
      <c r="B111" s="76" t="s">
        <v>363</v>
      </c>
      <c r="C111" s="77" t="s">
        <v>362</v>
      </c>
      <c r="D111" s="78">
        <f>PART_WALL!B30</f>
        <v>1231.8110000000001</v>
      </c>
      <c r="E111" s="76">
        <v>0</v>
      </c>
      <c r="F111" s="76">
        <v>0</v>
      </c>
      <c r="G111" s="76">
        <v>0</v>
      </c>
      <c r="H111" s="76">
        <v>0</v>
      </c>
      <c r="I111" s="76">
        <v>0</v>
      </c>
      <c r="J111" s="76">
        <v>0</v>
      </c>
      <c r="K111" s="76">
        <v>0</v>
      </c>
      <c r="L111" s="76">
        <v>0</v>
      </c>
      <c r="M111" s="76">
        <v>0</v>
      </c>
      <c r="N111" s="79">
        <f>PART_WALL!$B$26*(1+$C$1)^N$168</f>
        <v>130.2678386927397</v>
      </c>
      <c r="O111" s="76">
        <v>0</v>
      </c>
      <c r="P111" s="76">
        <v>0</v>
      </c>
      <c r="Q111" s="76">
        <v>0</v>
      </c>
      <c r="R111" s="76">
        <v>0</v>
      </c>
      <c r="S111" s="76">
        <v>0</v>
      </c>
      <c r="T111" s="76">
        <v>0</v>
      </c>
      <c r="U111" s="76">
        <v>0</v>
      </c>
      <c r="V111" s="76">
        <v>0</v>
      </c>
      <c r="W111" s="76">
        <v>0</v>
      </c>
      <c r="X111" s="79">
        <f>PART_WALL!$B$26*(1+$C$1)^X$168</f>
        <v>158.79576847122681</v>
      </c>
      <c r="Y111" s="76">
        <v>0</v>
      </c>
      <c r="Z111" s="76">
        <v>0</v>
      </c>
      <c r="AA111" s="76">
        <v>0</v>
      </c>
      <c r="AB111" s="76">
        <v>0</v>
      </c>
      <c r="AC111" s="76">
        <f>-South_Facade_PV!B49*South_Facade_PV!B40</f>
        <v>0</v>
      </c>
      <c r="AD111" s="76">
        <v>0</v>
      </c>
      <c r="AE111" s="76">
        <v>0</v>
      </c>
      <c r="AF111" s="76">
        <v>0</v>
      </c>
      <c r="AG111" s="76">
        <v>0</v>
      </c>
      <c r="AH111" s="79">
        <f>PART_WALL!$B$26*(1+$C$1)^AH$168</f>
        <v>193.57115568520487</v>
      </c>
      <c r="AI111" s="76">
        <v>0</v>
      </c>
      <c r="AJ111" s="76">
        <v>0</v>
      </c>
      <c r="AK111" s="76">
        <v>0</v>
      </c>
      <c r="AL111" s="76">
        <v>0</v>
      </c>
      <c r="AM111" s="76">
        <v>0</v>
      </c>
      <c r="AN111" s="76">
        <v>0</v>
      </c>
      <c r="AO111" s="76">
        <v>0</v>
      </c>
      <c r="AP111" s="76">
        <v>0</v>
      </c>
      <c r="AQ111" s="76">
        <v>0</v>
      </c>
      <c r="AR111" s="79">
        <f>PART_WALL!$B$26*(1+$C$1)^AR$168</f>
        <v>235.96215865220114</v>
      </c>
      <c r="AS111" s="76">
        <v>0</v>
      </c>
      <c r="AT111" s="76">
        <v>0</v>
      </c>
      <c r="AU111" s="76">
        <v>0</v>
      </c>
      <c r="AV111" s="76">
        <v>0</v>
      </c>
      <c r="AW111" s="76">
        <v>0</v>
      </c>
      <c r="AX111" s="76">
        <v>0</v>
      </c>
      <c r="AY111" s="76">
        <v>0</v>
      </c>
      <c r="AZ111" s="76">
        <v>0</v>
      </c>
      <c r="BA111" s="76">
        <v>0</v>
      </c>
      <c r="BB111" s="76">
        <v>0</v>
      </c>
    </row>
    <row r="112" spans="1:54" x14ac:dyDescent="0.25">
      <c r="A112" s="180"/>
      <c r="B112" s="76" t="s">
        <v>356</v>
      </c>
      <c r="C112" s="77" t="s">
        <v>362</v>
      </c>
      <c r="D112" s="76">
        <v>0</v>
      </c>
      <c r="E112" s="76">
        <v>0</v>
      </c>
      <c r="F112" s="76">
        <v>0</v>
      </c>
      <c r="G112" s="76">
        <v>0</v>
      </c>
      <c r="H112" s="76">
        <v>0</v>
      </c>
      <c r="I112" s="76">
        <v>0</v>
      </c>
      <c r="J112" s="76">
        <v>0</v>
      </c>
      <c r="K112" s="76">
        <v>0</v>
      </c>
      <c r="L112" s="76">
        <v>0</v>
      </c>
      <c r="M112" s="76">
        <v>0</v>
      </c>
      <c r="N112" s="76">
        <v>0</v>
      </c>
      <c r="O112" s="76">
        <v>0</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row>
    <row r="113" spans="1:54" x14ac:dyDescent="0.25">
      <c r="A113" s="180"/>
      <c r="B113" s="76" t="s">
        <v>357</v>
      </c>
      <c r="C113" s="77" t="s">
        <v>362</v>
      </c>
      <c r="D113" s="76">
        <v>0</v>
      </c>
      <c r="E113" s="76">
        <v>0</v>
      </c>
      <c r="F113" s="76">
        <v>0</v>
      </c>
      <c r="G113" s="76">
        <v>0</v>
      </c>
      <c r="H113" s="76">
        <v>0</v>
      </c>
      <c r="I113" s="76">
        <v>0</v>
      </c>
      <c r="J113" s="76">
        <v>0</v>
      </c>
      <c r="K113" s="76">
        <v>0</v>
      </c>
      <c r="L113" s="76">
        <v>0</v>
      </c>
      <c r="M113" s="76">
        <v>0</v>
      </c>
      <c r="N113" s="76">
        <v>0</v>
      </c>
      <c r="O113" s="76">
        <v>0</v>
      </c>
      <c r="P113" s="76">
        <v>0</v>
      </c>
      <c r="Q113" s="76">
        <v>0</v>
      </c>
      <c r="R113" s="76">
        <v>0</v>
      </c>
      <c r="S113" s="76">
        <v>0</v>
      </c>
      <c r="T113" s="76">
        <v>0</v>
      </c>
      <c r="U113" s="76">
        <v>0</v>
      </c>
      <c r="V113" s="76">
        <v>0</v>
      </c>
      <c r="W113" s="76">
        <v>0</v>
      </c>
      <c r="X113" s="76">
        <v>0</v>
      </c>
      <c r="Y113" s="76">
        <v>0</v>
      </c>
      <c r="Z113" s="76">
        <v>0</v>
      </c>
      <c r="AA113" s="76">
        <v>0</v>
      </c>
      <c r="AB113" s="76">
        <v>0</v>
      </c>
      <c r="AC113" s="76">
        <v>0</v>
      </c>
      <c r="AD113" s="76">
        <v>0</v>
      </c>
      <c r="AE113" s="76">
        <v>0</v>
      </c>
      <c r="AF113" s="76">
        <v>0</v>
      </c>
      <c r="AG113" s="76">
        <v>0</v>
      </c>
      <c r="AH113" s="76">
        <v>0</v>
      </c>
      <c r="AI113" s="76">
        <v>0</v>
      </c>
      <c r="AJ113" s="76">
        <v>0</v>
      </c>
      <c r="AK113" s="76">
        <v>0</v>
      </c>
      <c r="AL113" s="76">
        <v>0</v>
      </c>
      <c r="AM113" s="76">
        <v>0</v>
      </c>
      <c r="AN113" s="76">
        <v>0</v>
      </c>
      <c r="AO113" s="76">
        <v>0</v>
      </c>
      <c r="AP113" s="76">
        <v>0</v>
      </c>
      <c r="AQ113" s="76">
        <v>0</v>
      </c>
      <c r="AR113" s="76">
        <v>0</v>
      </c>
      <c r="AS113" s="76">
        <v>0</v>
      </c>
      <c r="AT113" s="76">
        <v>0</v>
      </c>
      <c r="AU113" s="76">
        <v>0</v>
      </c>
      <c r="AV113" s="76">
        <v>0</v>
      </c>
      <c r="AW113" s="76">
        <v>0</v>
      </c>
      <c r="AX113" s="76">
        <v>0</v>
      </c>
      <c r="AY113" s="76">
        <v>0</v>
      </c>
      <c r="AZ113" s="76">
        <v>0</v>
      </c>
      <c r="BA113" s="76">
        <v>0</v>
      </c>
      <c r="BB113" s="76">
        <v>0</v>
      </c>
    </row>
    <row r="114" spans="1:54" x14ac:dyDescent="0.25">
      <c r="A114" s="180"/>
      <c r="B114" s="76" t="s">
        <v>358</v>
      </c>
      <c r="C114" s="77" t="s">
        <v>362</v>
      </c>
      <c r="D114" s="76">
        <f>SUM(D111:D113)</f>
        <v>1231.8110000000001</v>
      </c>
      <c r="E114" s="78">
        <f t="shared" ref="E114:BB114" si="167">SUM(E111:E113)</f>
        <v>0</v>
      </c>
      <c r="F114" s="78">
        <f t="shared" si="167"/>
        <v>0</v>
      </c>
      <c r="G114" s="78">
        <f t="shared" si="167"/>
        <v>0</v>
      </c>
      <c r="H114" s="78">
        <f t="shared" si="167"/>
        <v>0</v>
      </c>
      <c r="I114" s="78">
        <f t="shared" si="167"/>
        <v>0</v>
      </c>
      <c r="J114" s="78">
        <f t="shared" si="167"/>
        <v>0</v>
      </c>
      <c r="K114" s="78">
        <f t="shared" si="167"/>
        <v>0</v>
      </c>
      <c r="L114" s="78">
        <f t="shared" si="167"/>
        <v>0</v>
      </c>
      <c r="M114" s="78">
        <f t="shared" si="167"/>
        <v>0</v>
      </c>
      <c r="N114" s="78">
        <f t="shared" si="167"/>
        <v>130.2678386927397</v>
      </c>
      <c r="O114" s="78">
        <f t="shared" si="167"/>
        <v>0</v>
      </c>
      <c r="P114" s="78">
        <f t="shared" si="167"/>
        <v>0</v>
      </c>
      <c r="Q114" s="78">
        <f t="shared" si="167"/>
        <v>0</v>
      </c>
      <c r="R114" s="78">
        <f t="shared" si="167"/>
        <v>0</v>
      </c>
      <c r="S114" s="78">
        <f t="shared" si="167"/>
        <v>0</v>
      </c>
      <c r="T114" s="78">
        <f t="shared" si="167"/>
        <v>0</v>
      </c>
      <c r="U114" s="78">
        <f t="shared" si="167"/>
        <v>0</v>
      </c>
      <c r="V114" s="78">
        <f t="shared" si="167"/>
        <v>0</v>
      </c>
      <c r="W114" s="78">
        <f t="shared" si="167"/>
        <v>0</v>
      </c>
      <c r="X114" s="78">
        <f t="shared" si="167"/>
        <v>158.79576847122681</v>
      </c>
      <c r="Y114" s="78">
        <f t="shared" si="167"/>
        <v>0</v>
      </c>
      <c r="Z114" s="78">
        <f t="shared" si="167"/>
        <v>0</v>
      </c>
      <c r="AA114" s="78">
        <f t="shared" si="167"/>
        <v>0</v>
      </c>
      <c r="AB114" s="78">
        <f t="shared" si="167"/>
        <v>0</v>
      </c>
      <c r="AC114" s="78">
        <f t="shared" si="167"/>
        <v>0</v>
      </c>
      <c r="AD114" s="78">
        <f t="shared" si="167"/>
        <v>0</v>
      </c>
      <c r="AE114" s="78">
        <f t="shared" si="167"/>
        <v>0</v>
      </c>
      <c r="AF114" s="78">
        <f t="shared" si="167"/>
        <v>0</v>
      </c>
      <c r="AG114" s="78">
        <f t="shared" si="167"/>
        <v>0</v>
      </c>
      <c r="AH114" s="78">
        <f t="shared" si="167"/>
        <v>193.57115568520487</v>
      </c>
      <c r="AI114" s="78">
        <f t="shared" si="167"/>
        <v>0</v>
      </c>
      <c r="AJ114" s="78">
        <f t="shared" si="167"/>
        <v>0</v>
      </c>
      <c r="AK114" s="78">
        <f t="shared" si="167"/>
        <v>0</v>
      </c>
      <c r="AL114" s="78">
        <f t="shared" si="167"/>
        <v>0</v>
      </c>
      <c r="AM114" s="78">
        <f t="shared" si="167"/>
        <v>0</v>
      </c>
      <c r="AN114" s="78">
        <f t="shared" si="167"/>
        <v>0</v>
      </c>
      <c r="AO114" s="78">
        <f t="shared" si="167"/>
        <v>0</v>
      </c>
      <c r="AP114" s="78">
        <f t="shared" si="167"/>
        <v>0</v>
      </c>
      <c r="AQ114" s="78">
        <f t="shared" si="167"/>
        <v>0</v>
      </c>
      <c r="AR114" s="78">
        <f t="shared" si="167"/>
        <v>235.96215865220114</v>
      </c>
      <c r="AS114" s="78">
        <f t="shared" si="167"/>
        <v>0</v>
      </c>
      <c r="AT114" s="78">
        <f t="shared" si="167"/>
        <v>0</v>
      </c>
      <c r="AU114" s="78">
        <f t="shared" si="167"/>
        <v>0</v>
      </c>
      <c r="AV114" s="78">
        <f t="shared" si="167"/>
        <v>0</v>
      </c>
      <c r="AW114" s="78">
        <f t="shared" si="167"/>
        <v>0</v>
      </c>
      <c r="AX114" s="78">
        <f t="shared" si="167"/>
        <v>0</v>
      </c>
      <c r="AY114" s="78">
        <f t="shared" si="167"/>
        <v>0</v>
      </c>
      <c r="AZ114" s="78">
        <f t="shared" si="167"/>
        <v>0</v>
      </c>
      <c r="BA114" s="78">
        <f t="shared" si="167"/>
        <v>0</v>
      </c>
      <c r="BB114" s="78">
        <f t="shared" si="167"/>
        <v>0</v>
      </c>
    </row>
    <row r="115" spans="1:54" x14ac:dyDescent="0.25">
      <c r="A115" s="180"/>
      <c r="B115" s="76" t="s">
        <v>359</v>
      </c>
      <c r="C115" s="77"/>
      <c r="D115" s="76">
        <f t="shared" ref="D115:AI115" si="168">(1+$C$2)^D$168</f>
        <v>1</v>
      </c>
      <c r="E115" s="79">
        <f t="shared" si="168"/>
        <v>1.03</v>
      </c>
      <c r="F115" s="79">
        <f t="shared" si="168"/>
        <v>1.0609</v>
      </c>
      <c r="G115" s="79">
        <f t="shared" si="168"/>
        <v>1.092727</v>
      </c>
      <c r="H115" s="79">
        <f t="shared" si="168"/>
        <v>1.1255088099999999</v>
      </c>
      <c r="I115" s="79">
        <f t="shared" si="168"/>
        <v>1.1592740742999998</v>
      </c>
      <c r="J115" s="79">
        <f t="shared" si="168"/>
        <v>1.1940522965289999</v>
      </c>
      <c r="K115" s="79">
        <f t="shared" si="168"/>
        <v>1.22987386542487</v>
      </c>
      <c r="L115" s="79">
        <f t="shared" si="168"/>
        <v>1.2667700813876159</v>
      </c>
      <c r="M115" s="79">
        <f t="shared" si="168"/>
        <v>1.3047731838292445</v>
      </c>
      <c r="N115" s="79">
        <f t="shared" si="168"/>
        <v>1.3439163793441218</v>
      </c>
      <c r="O115" s="79">
        <f t="shared" si="168"/>
        <v>1.3842338707244455</v>
      </c>
      <c r="P115" s="79">
        <f t="shared" si="168"/>
        <v>1.4257608868461786</v>
      </c>
      <c r="Q115" s="79">
        <f t="shared" si="168"/>
        <v>1.4685337134515639</v>
      </c>
      <c r="R115" s="79">
        <f t="shared" si="168"/>
        <v>1.512589724855111</v>
      </c>
      <c r="S115" s="79">
        <f t="shared" si="168"/>
        <v>1.5579674166007644</v>
      </c>
      <c r="T115" s="79">
        <f t="shared" si="168"/>
        <v>1.6047064390987871</v>
      </c>
      <c r="U115" s="79">
        <f t="shared" si="168"/>
        <v>1.6528476322717507</v>
      </c>
      <c r="V115" s="79">
        <f t="shared" si="168"/>
        <v>1.7024330612399032</v>
      </c>
      <c r="W115" s="79">
        <f t="shared" si="168"/>
        <v>1.7535060530771003</v>
      </c>
      <c r="X115" s="79">
        <f t="shared" si="168"/>
        <v>1.8061112346694133</v>
      </c>
      <c r="Y115" s="79">
        <f t="shared" si="168"/>
        <v>1.8602945717094954</v>
      </c>
      <c r="Z115" s="79">
        <f t="shared" si="168"/>
        <v>1.9161034088607805</v>
      </c>
      <c r="AA115" s="79">
        <f t="shared" si="168"/>
        <v>1.973586511126604</v>
      </c>
      <c r="AB115" s="79">
        <f t="shared" si="168"/>
        <v>2.0327941064604018</v>
      </c>
      <c r="AC115" s="79">
        <f t="shared" si="168"/>
        <v>2.0937779296542138</v>
      </c>
      <c r="AD115" s="79">
        <f t="shared" si="168"/>
        <v>2.1565912675438406</v>
      </c>
      <c r="AE115" s="79">
        <f t="shared" si="168"/>
        <v>2.2212890055701555</v>
      </c>
      <c r="AF115" s="79">
        <f t="shared" si="168"/>
        <v>2.2879276757372602</v>
      </c>
      <c r="AG115" s="79">
        <f t="shared" si="168"/>
        <v>2.3565655060093778</v>
      </c>
      <c r="AH115" s="79">
        <f t="shared" si="168"/>
        <v>2.4272624711896591</v>
      </c>
      <c r="AI115" s="79">
        <f t="shared" si="168"/>
        <v>2.5000803453253493</v>
      </c>
      <c r="AJ115" s="79">
        <f t="shared" ref="AJ115:BB115" si="169">(1+$C$2)^AJ$168</f>
        <v>2.5750827556851092</v>
      </c>
      <c r="AK115" s="79">
        <f t="shared" si="169"/>
        <v>2.6523352383556626</v>
      </c>
      <c r="AL115" s="79">
        <f t="shared" si="169"/>
        <v>2.7319052955063321</v>
      </c>
      <c r="AM115" s="79">
        <f t="shared" si="169"/>
        <v>2.8138624543715225</v>
      </c>
      <c r="AN115" s="79">
        <f t="shared" si="169"/>
        <v>2.898278328002668</v>
      </c>
      <c r="AO115" s="79">
        <f t="shared" si="169"/>
        <v>2.9852266778427476</v>
      </c>
      <c r="AP115" s="79">
        <f t="shared" si="169"/>
        <v>3.0747834781780301</v>
      </c>
      <c r="AQ115" s="79">
        <f t="shared" si="169"/>
        <v>3.1670269825233714</v>
      </c>
      <c r="AR115" s="79">
        <f t="shared" si="169"/>
        <v>3.262037791999072</v>
      </c>
      <c r="AS115" s="79">
        <f t="shared" si="169"/>
        <v>3.3598989257590444</v>
      </c>
      <c r="AT115" s="79">
        <f t="shared" si="169"/>
        <v>3.4606958935318159</v>
      </c>
      <c r="AU115" s="79">
        <f t="shared" si="169"/>
        <v>3.5645167703377703</v>
      </c>
      <c r="AV115" s="79">
        <f t="shared" si="169"/>
        <v>3.6714522734479029</v>
      </c>
      <c r="AW115" s="79">
        <f t="shared" si="169"/>
        <v>3.78159584165134</v>
      </c>
      <c r="AX115" s="79">
        <f t="shared" si="169"/>
        <v>3.8950437169008802</v>
      </c>
      <c r="AY115" s="79">
        <f t="shared" si="169"/>
        <v>4.0118950284079071</v>
      </c>
      <c r="AZ115" s="79">
        <f t="shared" si="169"/>
        <v>4.1322518792601439</v>
      </c>
      <c r="BA115" s="79">
        <f t="shared" si="169"/>
        <v>4.2562194356379477</v>
      </c>
      <c r="BB115" s="79">
        <f t="shared" si="169"/>
        <v>4.3839060187070862</v>
      </c>
    </row>
    <row r="116" spans="1:54" x14ac:dyDescent="0.25">
      <c r="A116" s="180"/>
      <c r="B116" s="76" t="s">
        <v>360</v>
      </c>
      <c r="C116" s="77" t="s">
        <v>362</v>
      </c>
      <c r="D116" s="76">
        <f>D114/D115</f>
        <v>1231.8110000000001</v>
      </c>
      <c r="E116" s="78">
        <f>E114/E115</f>
        <v>0</v>
      </c>
      <c r="F116" s="78">
        <f>F114/F115</f>
        <v>0</v>
      </c>
      <c r="G116" s="78">
        <f t="shared" ref="G116:BB116" si="170">G114/G115</f>
        <v>0</v>
      </c>
      <c r="H116" s="78">
        <f t="shared" si="170"/>
        <v>0</v>
      </c>
      <c r="I116" s="78">
        <f t="shared" si="170"/>
        <v>0</v>
      </c>
      <c r="J116" s="78">
        <f t="shared" si="170"/>
        <v>0</v>
      </c>
      <c r="K116" s="78">
        <f t="shared" si="170"/>
        <v>0</v>
      </c>
      <c r="L116" s="78">
        <f t="shared" si="170"/>
        <v>0</v>
      </c>
      <c r="M116" s="78">
        <f t="shared" si="170"/>
        <v>0</v>
      </c>
      <c r="N116" s="78">
        <f t="shared" si="170"/>
        <v>96.931506078015786</v>
      </c>
      <c r="O116" s="78">
        <f t="shared" si="170"/>
        <v>0</v>
      </c>
      <c r="P116" s="78">
        <f t="shared" si="170"/>
        <v>0</v>
      </c>
      <c r="Q116" s="78">
        <f t="shared" si="170"/>
        <v>0</v>
      </c>
      <c r="R116" s="78">
        <f t="shared" si="170"/>
        <v>0</v>
      </c>
      <c r="S116" s="78">
        <f t="shared" si="170"/>
        <v>0</v>
      </c>
      <c r="T116" s="78">
        <f t="shared" si="170"/>
        <v>0</v>
      </c>
      <c r="U116" s="78">
        <f t="shared" si="170"/>
        <v>0</v>
      </c>
      <c r="V116" s="78">
        <f t="shared" si="170"/>
        <v>0</v>
      </c>
      <c r="W116" s="78">
        <f t="shared" si="170"/>
        <v>0</v>
      </c>
      <c r="X116" s="78">
        <f t="shared" si="170"/>
        <v>87.921366869905128</v>
      </c>
      <c r="Y116" s="78">
        <f t="shared" si="170"/>
        <v>0</v>
      </c>
      <c r="Z116" s="78">
        <f t="shared" si="170"/>
        <v>0</v>
      </c>
      <c r="AA116" s="78">
        <f t="shared" si="170"/>
        <v>0</v>
      </c>
      <c r="AB116" s="78">
        <f t="shared" si="170"/>
        <v>0</v>
      </c>
      <c r="AC116" s="78">
        <f t="shared" si="170"/>
        <v>0</v>
      </c>
      <c r="AD116" s="78">
        <f t="shared" si="170"/>
        <v>0</v>
      </c>
      <c r="AE116" s="78">
        <f t="shared" si="170"/>
        <v>0</v>
      </c>
      <c r="AF116" s="78">
        <f t="shared" si="170"/>
        <v>0</v>
      </c>
      <c r="AG116" s="78">
        <f t="shared" si="170"/>
        <v>0</v>
      </c>
      <c r="AH116" s="78">
        <f t="shared" si="170"/>
        <v>79.74875316649667</v>
      </c>
      <c r="AI116" s="78">
        <f t="shared" si="170"/>
        <v>0</v>
      </c>
      <c r="AJ116" s="78">
        <f t="shared" si="170"/>
        <v>0</v>
      </c>
      <c r="AK116" s="78">
        <f t="shared" si="170"/>
        <v>0</v>
      </c>
      <c r="AL116" s="78">
        <f t="shared" si="170"/>
        <v>0</v>
      </c>
      <c r="AM116" s="78">
        <f t="shared" si="170"/>
        <v>0</v>
      </c>
      <c r="AN116" s="78">
        <f t="shared" si="170"/>
        <v>0</v>
      </c>
      <c r="AO116" s="78">
        <f t="shared" si="170"/>
        <v>0</v>
      </c>
      <c r="AP116" s="78">
        <f t="shared" si="170"/>
        <v>0</v>
      </c>
      <c r="AQ116" s="78">
        <f t="shared" si="170"/>
        <v>0</v>
      </c>
      <c r="AR116" s="78">
        <f t="shared" si="170"/>
        <v>72.335813898586579</v>
      </c>
      <c r="AS116" s="78">
        <f t="shared" si="170"/>
        <v>0</v>
      </c>
      <c r="AT116" s="78">
        <f t="shared" si="170"/>
        <v>0</v>
      </c>
      <c r="AU116" s="78">
        <f t="shared" si="170"/>
        <v>0</v>
      </c>
      <c r="AV116" s="78">
        <f t="shared" si="170"/>
        <v>0</v>
      </c>
      <c r="AW116" s="78">
        <f t="shared" si="170"/>
        <v>0</v>
      </c>
      <c r="AX116" s="78">
        <f t="shared" si="170"/>
        <v>0</v>
      </c>
      <c r="AY116" s="78">
        <f t="shared" si="170"/>
        <v>0</v>
      </c>
      <c r="AZ116" s="78">
        <f t="shared" si="170"/>
        <v>0</v>
      </c>
      <c r="BA116" s="78">
        <f t="shared" si="170"/>
        <v>0</v>
      </c>
      <c r="BB116" s="78">
        <f t="shared" si="170"/>
        <v>0</v>
      </c>
    </row>
    <row r="117" spans="1:54" x14ac:dyDescent="0.25">
      <c r="A117" s="180"/>
      <c r="B117" s="76" t="s">
        <v>645</v>
      </c>
      <c r="C117" s="77" t="s">
        <v>362</v>
      </c>
      <c r="D117" s="76">
        <f>D116</f>
        <v>1231.8110000000001</v>
      </c>
      <c r="E117" s="78">
        <f>E116+D117</f>
        <v>1231.8110000000001</v>
      </c>
      <c r="F117" s="78">
        <f t="shared" ref="F117:BB117" si="171">F116+E117</f>
        <v>1231.8110000000001</v>
      </c>
      <c r="G117" s="78">
        <f t="shared" si="171"/>
        <v>1231.8110000000001</v>
      </c>
      <c r="H117" s="78">
        <f t="shared" si="171"/>
        <v>1231.8110000000001</v>
      </c>
      <c r="I117" s="78">
        <f t="shared" si="171"/>
        <v>1231.8110000000001</v>
      </c>
      <c r="J117" s="78">
        <f t="shared" si="171"/>
        <v>1231.8110000000001</v>
      </c>
      <c r="K117" s="78">
        <f t="shared" si="171"/>
        <v>1231.8110000000001</v>
      </c>
      <c r="L117" s="78">
        <f t="shared" si="171"/>
        <v>1231.8110000000001</v>
      </c>
      <c r="M117" s="78">
        <f t="shared" si="171"/>
        <v>1231.8110000000001</v>
      </c>
      <c r="N117" s="78">
        <f t="shared" si="171"/>
        <v>1328.742506078016</v>
      </c>
      <c r="O117" s="78">
        <f t="shared" si="171"/>
        <v>1328.742506078016</v>
      </c>
      <c r="P117" s="78">
        <f t="shared" si="171"/>
        <v>1328.742506078016</v>
      </c>
      <c r="Q117" s="78">
        <f t="shared" si="171"/>
        <v>1328.742506078016</v>
      </c>
      <c r="R117" s="78">
        <f t="shared" si="171"/>
        <v>1328.742506078016</v>
      </c>
      <c r="S117" s="78">
        <f t="shared" si="171"/>
        <v>1328.742506078016</v>
      </c>
      <c r="T117" s="78">
        <f t="shared" si="171"/>
        <v>1328.742506078016</v>
      </c>
      <c r="U117" s="78">
        <f t="shared" si="171"/>
        <v>1328.742506078016</v>
      </c>
      <c r="V117" s="78">
        <f t="shared" si="171"/>
        <v>1328.742506078016</v>
      </c>
      <c r="W117" s="78">
        <f t="shared" si="171"/>
        <v>1328.742506078016</v>
      </c>
      <c r="X117" s="78">
        <f t="shared" si="171"/>
        <v>1416.6638729479212</v>
      </c>
      <c r="Y117" s="78">
        <f t="shared" si="171"/>
        <v>1416.6638729479212</v>
      </c>
      <c r="Z117" s="78">
        <f t="shared" si="171"/>
        <v>1416.6638729479212</v>
      </c>
      <c r="AA117" s="78">
        <f t="shared" si="171"/>
        <v>1416.6638729479212</v>
      </c>
      <c r="AB117" s="78">
        <f t="shared" si="171"/>
        <v>1416.6638729479212</v>
      </c>
      <c r="AC117" s="78">
        <f t="shared" si="171"/>
        <v>1416.6638729479212</v>
      </c>
      <c r="AD117" s="78">
        <f t="shared" si="171"/>
        <v>1416.6638729479212</v>
      </c>
      <c r="AE117" s="78">
        <f t="shared" si="171"/>
        <v>1416.6638729479212</v>
      </c>
      <c r="AF117" s="78">
        <f t="shared" si="171"/>
        <v>1416.6638729479212</v>
      </c>
      <c r="AG117" s="78">
        <f t="shared" si="171"/>
        <v>1416.6638729479212</v>
      </c>
      <c r="AH117" s="78">
        <f t="shared" si="171"/>
        <v>1496.4126261144179</v>
      </c>
      <c r="AI117" s="78">
        <f t="shared" si="171"/>
        <v>1496.4126261144179</v>
      </c>
      <c r="AJ117" s="78">
        <f t="shared" si="171"/>
        <v>1496.4126261144179</v>
      </c>
      <c r="AK117" s="78">
        <f t="shared" si="171"/>
        <v>1496.4126261144179</v>
      </c>
      <c r="AL117" s="78">
        <f t="shared" si="171"/>
        <v>1496.4126261144179</v>
      </c>
      <c r="AM117" s="78">
        <f t="shared" si="171"/>
        <v>1496.4126261144179</v>
      </c>
      <c r="AN117" s="78">
        <f t="shared" si="171"/>
        <v>1496.4126261144179</v>
      </c>
      <c r="AO117" s="78">
        <f t="shared" si="171"/>
        <v>1496.4126261144179</v>
      </c>
      <c r="AP117" s="78">
        <f t="shared" si="171"/>
        <v>1496.4126261144179</v>
      </c>
      <c r="AQ117" s="78">
        <f t="shared" si="171"/>
        <v>1496.4126261144179</v>
      </c>
      <c r="AR117" s="78">
        <f t="shared" si="171"/>
        <v>1568.7484400130045</v>
      </c>
      <c r="AS117" s="78">
        <f t="shared" si="171"/>
        <v>1568.7484400130045</v>
      </c>
      <c r="AT117" s="78">
        <f t="shared" si="171"/>
        <v>1568.7484400130045</v>
      </c>
      <c r="AU117" s="78">
        <f t="shared" si="171"/>
        <v>1568.7484400130045</v>
      </c>
      <c r="AV117" s="78">
        <f t="shared" si="171"/>
        <v>1568.7484400130045</v>
      </c>
      <c r="AW117" s="78">
        <f t="shared" si="171"/>
        <v>1568.7484400130045</v>
      </c>
      <c r="AX117" s="78">
        <f t="shared" si="171"/>
        <v>1568.7484400130045</v>
      </c>
      <c r="AY117" s="78">
        <f t="shared" si="171"/>
        <v>1568.7484400130045</v>
      </c>
      <c r="AZ117" s="78">
        <f t="shared" si="171"/>
        <v>1568.7484400130045</v>
      </c>
      <c r="BA117" s="78">
        <f t="shared" si="171"/>
        <v>1568.7484400130045</v>
      </c>
      <c r="BB117" s="78">
        <f t="shared" si="171"/>
        <v>1568.7484400130045</v>
      </c>
    </row>
    <row r="118" spans="1:54" x14ac:dyDescent="0.25">
      <c r="A118" s="180"/>
      <c r="B118" s="80" t="s">
        <v>361</v>
      </c>
      <c r="C118" s="81" t="s">
        <v>362</v>
      </c>
      <c r="D118" s="92">
        <f>SUM(D116:BB116)</f>
        <v>1568.7484400130045</v>
      </c>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row>
    <row r="119" spans="1:54" x14ac:dyDescent="0.25">
      <c r="A119" s="177" t="s">
        <v>549</v>
      </c>
      <c r="B119" t="s">
        <v>363</v>
      </c>
      <c r="C119" s="72" t="s">
        <v>362</v>
      </c>
      <c r="D119" s="18">
        <f>ATR_WALL!B30</f>
        <v>-702.23759999999993</v>
      </c>
      <c r="E119">
        <v>0</v>
      </c>
      <c r="F119">
        <v>0</v>
      </c>
      <c r="G119">
        <v>0</v>
      </c>
      <c r="H119">
        <v>0</v>
      </c>
      <c r="I119">
        <v>0</v>
      </c>
      <c r="J119">
        <v>0</v>
      </c>
      <c r="K119">
        <v>0</v>
      </c>
      <c r="L119">
        <v>0</v>
      </c>
      <c r="M119">
        <v>0</v>
      </c>
      <c r="N119">
        <f>-ATR_WALL!$B$27*(1+$C$1)^N$168</f>
        <v>-163.7450824490557</v>
      </c>
      <c r="O119">
        <v>0</v>
      </c>
      <c r="P119">
        <v>0</v>
      </c>
      <c r="Q119">
        <v>0</v>
      </c>
      <c r="R119">
        <v>0</v>
      </c>
      <c r="S119">
        <v>0</v>
      </c>
      <c r="T119">
        <v>0</v>
      </c>
      <c r="U119">
        <v>0</v>
      </c>
      <c r="V119">
        <v>0</v>
      </c>
      <c r="W119">
        <v>0</v>
      </c>
      <c r="X119">
        <f>-ATR_WALL!$B$27*(1+$C$1)^X$168</f>
        <v>-199.60434180698033</v>
      </c>
      <c r="Y119">
        <v>0</v>
      </c>
      <c r="Z119">
        <v>0</v>
      </c>
      <c r="AA119">
        <v>0</v>
      </c>
      <c r="AB119">
        <v>0</v>
      </c>
      <c r="AC119">
        <v>0</v>
      </c>
      <c r="AD119">
        <v>0</v>
      </c>
      <c r="AE119">
        <v>0</v>
      </c>
      <c r="AF119">
        <v>0</v>
      </c>
      <c r="AG119">
        <v>0</v>
      </c>
      <c r="AH119">
        <f>-ATR_WALL!$B$27*(1+$C$1)^AH$168</f>
        <v>-243.3165788694352</v>
      </c>
      <c r="AI119">
        <v>0</v>
      </c>
      <c r="AJ119">
        <v>0</v>
      </c>
      <c r="AK119">
        <v>0</v>
      </c>
      <c r="AL119">
        <v>0</v>
      </c>
      <c r="AM119">
        <v>0</v>
      </c>
      <c r="AN119">
        <v>0</v>
      </c>
      <c r="AO119">
        <v>0</v>
      </c>
      <c r="AP119">
        <v>0</v>
      </c>
      <c r="AQ119">
        <v>0</v>
      </c>
      <c r="AR119">
        <f>-ATR_WALL!$B$27*(1+$C$1)^AR$168</f>
        <v>-296.60155193405575</v>
      </c>
      <c r="AS119">
        <v>0</v>
      </c>
      <c r="AT119">
        <v>0</v>
      </c>
      <c r="AU119">
        <v>0</v>
      </c>
      <c r="AV119">
        <v>0</v>
      </c>
      <c r="AW119">
        <v>0</v>
      </c>
      <c r="AX119">
        <v>0</v>
      </c>
      <c r="AY119">
        <v>0</v>
      </c>
      <c r="AZ119">
        <v>0</v>
      </c>
      <c r="BA119">
        <v>0</v>
      </c>
      <c r="BB119">
        <v>0</v>
      </c>
    </row>
    <row r="120" spans="1:54" x14ac:dyDescent="0.25">
      <c r="A120" s="177"/>
      <c r="B120" t="s">
        <v>356</v>
      </c>
      <c r="C120" s="72" t="s">
        <v>362</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row>
    <row r="121" spans="1:54" x14ac:dyDescent="0.25">
      <c r="A121" s="177"/>
      <c r="B121" t="s">
        <v>357</v>
      </c>
      <c r="C121" s="72" t="s">
        <v>362</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row>
    <row r="122" spans="1:54" x14ac:dyDescent="0.25">
      <c r="A122" s="177"/>
      <c r="B122" t="s">
        <v>358</v>
      </c>
      <c r="C122" s="72" t="s">
        <v>362</v>
      </c>
      <c r="D122">
        <f>SUM(D119:D121)</f>
        <v>-702.23759999999993</v>
      </c>
      <c r="E122" s="18">
        <f t="shared" ref="E122:BB122" si="172">SUM(E119:E121)</f>
        <v>0</v>
      </c>
      <c r="F122" s="18">
        <f t="shared" si="172"/>
        <v>0</v>
      </c>
      <c r="G122" s="18">
        <f t="shared" si="172"/>
        <v>0</v>
      </c>
      <c r="H122" s="18">
        <f t="shared" si="172"/>
        <v>0</v>
      </c>
      <c r="I122" s="18">
        <f t="shared" si="172"/>
        <v>0</v>
      </c>
      <c r="J122" s="18">
        <f t="shared" si="172"/>
        <v>0</v>
      </c>
      <c r="K122" s="18">
        <f t="shared" si="172"/>
        <v>0</v>
      </c>
      <c r="L122" s="18">
        <f t="shared" si="172"/>
        <v>0</v>
      </c>
      <c r="M122" s="18">
        <f t="shared" si="172"/>
        <v>0</v>
      </c>
      <c r="N122" s="18">
        <f t="shared" si="172"/>
        <v>-163.7450824490557</v>
      </c>
      <c r="O122" s="18">
        <f t="shared" si="172"/>
        <v>0</v>
      </c>
      <c r="P122" s="18">
        <f t="shared" si="172"/>
        <v>0</v>
      </c>
      <c r="Q122" s="18">
        <f t="shared" si="172"/>
        <v>0</v>
      </c>
      <c r="R122" s="18">
        <f t="shared" si="172"/>
        <v>0</v>
      </c>
      <c r="S122" s="18">
        <f t="shared" si="172"/>
        <v>0</v>
      </c>
      <c r="T122" s="18">
        <f t="shared" si="172"/>
        <v>0</v>
      </c>
      <c r="U122" s="18">
        <f t="shared" si="172"/>
        <v>0</v>
      </c>
      <c r="V122" s="18">
        <f t="shared" si="172"/>
        <v>0</v>
      </c>
      <c r="W122" s="18">
        <f t="shared" si="172"/>
        <v>0</v>
      </c>
      <c r="X122" s="18">
        <f t="shared" si="172"/>
        <v>-199.60434180698033</v>
      </c>
      <c r="Y122" s="18">
        <f t="shared" si="172"/>
        <v>0</v>
      </c>
      <c r="Z122" s="18">
        <f t="shared" si="172"/>
        <v>0</v>
      </c>
      <c r="AA122" s="18">
        <f t="shared" si="172"/>
        <v>0</v>
      </c>
      <c r="AB122" s="18">
        <f t="shared" si="172"/>
        <v>0</v>
      </c>
      <c r="AC122" s="18">
        <f t="shared" si="172"/>
        <v>0</v>
      </c>
      <c r="AD122" s="18">
        <f t="shared" si="172"/>
        <v>0</v>
      </c>
      <c r="AE122" s="18">
        <f t="shared" si="172"/>
        <v>0</v>
      </c>
      <c r="AF122" s="18">
        <f t="shared" si="172"/>
        <v>0</v>
      </c>
      <c r="AG122" s="18">
        <f t="shared" si="172"/>
        <v>0</v>
      </c>
      <c r="AH122" s="18">
        <f t="shared" si="172"/>
        <v>-243.3165788694352</v>
      </c>
      <c r="AI122" s="18">
        <f t="shared" si="172"/>
        <v>0</v>
      </c>
      <c r="AJ122" s="18">
        <f t="shared" si="172"/>
        <v>0</v>
      </c>
      <c r="AK122" s="18">
        <f t="shared" si="172"/>
        <v>0</v>
      </c>
      <c r="AL122" s="18">
        <f t="shared" si="172"/>
        <v>0</v>
      </c>
      <c r="AM122" s="18">
        <f t="shared" si="172"/>
        <v>0</v>
      </c>
      <c r="AN122" s="18">
        <f t="shared" si="172"/>
        <v>0</v>
      </c>
      <c r="AO122" s="18">
        <f t="shared" si="172"/>
        <v>0</v>
      </c>
      <c r="AP122" s="18">
        <f t="shared" si="172"/>
        <v>0</v>
      </c>
      <c r="AQ122" s="18">
        <f t="shared" si="172"/>
        <v>0</v>
      </c>
      <c r="AR122" s="18">
        <f t="shared" si="172"/>
        <v>-296.60155193405575</v>
      </c>
      <c r="AS122" s="18">
        <f t="shared" si="172"/>
        <v>0</v>
      </c>
      <c r="AT122" s="18">
        <f t="shared" si="172"/>
        <v>0</v>
      </c>
      <c r="AU122" s="18">
        <f t="shared" si="172"/>
        <v>0</v>
      </c>
      <c r="AV122" s="18">
        <f t="shared" si="172"/>
        <v>0</v>
      </c>
      <c r="AW122" s="18">
        <f t="shared" si="172"/>
        <v>0</v>
      </c>
      <c r="AX122" s="18">
        <f t="shared" si="172"/>
        <v>0</v>
      </c>
      <c r="AY122" s="18">
        <f t="shared" si="172"/>
        <v>0</v>
      </c>
      <c r="AZ122" s="18">
        <f t="shared" si="172"/>
        <v>0</v>
      </c>
      <c r="BA122" s="18">
        <f t="shared" si="172"/>
        <v>0</v>
      </c>
      <c r="BB122" s="18">
        <f t="shared" si="172"/>
        <v>0</v>
      </c>
    </row>
    <row r="123" spans="1:54" x14ac:dyDescent="0.25">
      <c r="A123" s="177"/>
      <c r="B123" t="s">
        <v>359</v>
      </c>
      <c r="C123" s="72"/>
      <c r="D123">
        <f t="shared" ref="D123:AI123" si="173">(1+$C$2)^D$168</f>
        <v>1</v>
      </c>
      <c r="E123" s="40">
        <f t="shared" si="173"/>
        <v>1.03</v>
      </c>
      <c r="F123" s="40">
        <f t="shared" si="173"/>
        <v>1.0609</v>
      </c>
      <c r="G123" s="40">
        <f t="shared" si="173"/>
        <v>1.092727</v>
      </c>
      <c r="H123" s="40">
        <f t="shared" si="173"/>
        <v>1.1255088099999999</v>
      </c>
      <c r="I123" s="40">
        <f t="shared" si="173"/>
        <v>1.1592740742999998</v>
      </c>
      <c r="J123" s="40">
        <f t="shared" si="173"/>
        <v>1.1940522965289999</v>
      </c>
      <c r="K123" s="40">
        <f t="shared" si="173"/>
        <v>1.22987386542487</v>
      </c>
      <c r="L123" s="40">
        <f t="shared" si="173"/>
        <v>1.2667700813876159</v>
      </c>
      <c r="M123" s="40">
        <f t="shared" si="173"/>
        <v>1.3047731838292445</v>
      </c>
      <c r="N123" s="40">
        <f t="shared" si="173"/>
        <v>1.3439163793441218</v>
      </c>
      <c r="O123" s="40">
        <f t="shared" si="173"/>
        <v>1.3842338707244455</v>
      </c>
      <c r="P123" s="40">
        <f t="shared" si="173"/>
        <v>1.4257608868461786</v>
      </c>
      <c r="Q123" s="40">
        <f t="shared" si="173"/>
        <v>1.4685337134515639</v>
      </c>
      <c r="R123" s="40">
        <f t="shared" si="173"/>
        <v>1.512589724855111</v>
      </c>
      <c r="S123" s="40">
        <f t="shared" si="173"/>
        <v>1.5579674166007644</v>
      </c>
      <c r="T123" s="40">
        <f t="shared" si="173"/>
        <v>1.6047064390987871</v>
      </c>
      <c r="U123" s="40">
        <f t="shared" si="173"/>
        <v>1.6528476322717507</v>
      </c>
      <c r="V123" s="40">
        <f t="shared" si="173"/>
        <v>1.7024330612399032</v>
      </c>
      <c r="W123" s="40">
        <f t="shared" si="173"/>
        <v>1.7535060530771003</v>
      </c>
      <c r="X123" s="40">
        <f t="shared" si="173"/>
        <v>1.8061112346694133</v>
      </c>
      <c r="Y123" s="40">
        <f t="shared" si="173"/>
        <v>1.8602945717094954</v>
      </c>
      <c r="Z123" s="40">
        <f t="shared" si="173"/>
        <v>1.9161034088607805</v>
      </c>
      <c r="AA123" s="40">
        <f t="shared" si="173"/>
        <v>1.973586511126604</v>
      </c>
      <c r="AB123" s="40">
        <f t="shared" si="173"/>
        <v>2.0327941064604018</v>
      </c>
      <c r="AC123" s="40">
        <f t="shared" si="173"/>
        <v>2.0937779296542138</v>
      </c>
      <c r="AD123" s="40">
        <f t="shared" si="173"/>
        <v>2.1565912675438406</v>
      </c>
      <c r="AE123" s="40">
        <f t="shared" si="173"/>
        <v>2.2212890055701555</v>
      </c>
      <c r="AF123" s="40">
        <f t="shared" si="173"/>
        <v>2.2879276757372602</v>
      </c>
      <c r="AG123" s="40">
        <f t="shared" si="173"/>
        <v>2.3565655060093778</v>
      </c>
      <c r="AH123" s="40">
        <f t="shared" si="173"/>
        <v>2.4272624711896591</v>
      </c>
      <c r="AI123" s="40">
        <f t="shared" si="173"/>
        <v>2.5000803453253493</v>
      </c>
      <c r="AJ123" s="40">
        <f t="shared" ref="AJ123:BB123" si="174">(1+$C$2)^AJ$168</f>
        <v>2.5750827556851092</v>
      </c>
      <c r="AK123" s="40">
        <f t="shared" si="174"/>
        <v>2.6523352383556626</v>
      </c>
      <c r="AL123" s="40">
        <f t="shared" si="174"/>
        <v>2.7319052955063321</v>
      </c>
      <c r="AM123" s="40">
        <f t="shared" si="174"/>
        <v>2.8138624543715225</v>
      </c>
      <c r="AN123" s="40">
        <f t="shared" si="174"/>
        <v>2.898278328002668</v>
      </c>
      <c r="AO123" s="40">
        <f t="shared" si="174"/>
        <v>2.9852266778427476</v>
      </c>
      <c r="AP123" s="40">
        <f t="shared" si="174"/>
        <v>3.0747834781780301</v>
      </c>
      <c r="AQ123" s="40">
        <f t="shared" si="174"/>
        <v>3.1670269825233714</v>
      </c>
      <c r="AR123" s="40">
        <f t="shared" si="174"/>
        <v>3.262037791999072</v>
      </c>
      <c r="AS123" s="40">
        <f t="shared" si="174"/>
        <v>3.3598989257590444</v>
      </c>
      <c r="AT123" s="40">
        <f t="shared" si="174"/>
        <v>3.4606958935318159</v>
      </c>
      <c r="AU123" s="40">
        <f t="shared" si="174"/>
        <v>3.5645167703377703</v>
      </c>
      <c r="AV123" s="40">
        <f t="shared" si="174"/>
        <v>3.6714522734479029</v>
      </c>
      <c r="AW123" s="40">
        <f t="shared" si="174"/>
        <v>3.78159584165134</v>
      </c>
      <c r="AX123" s="40">
        <f t="shared" si="174"/>
        <v>3.8950437169008802</v>
      </c>
      <c r="AY123" s="40">
        <f t="shared" si="174"/>
        <v>4.0118950284079071</v>
      </c>
      <c r="AZ123" s="40">
        <f t="shared" si="174"/>
        <v>4.1322518792601439</v>
      </c>
      <c r="BA123" s="40">
        <f t="shared" si="174"/>
        <v>4.2562194356379477</v>
      </c>
      <c r="BB123" s="40">
        <f t="shared" si="174"/>
        <v>4.3839060187070862</v>
      </c>
    </row>
    <row r="124" spans="1:54" x14ac:dyDescent="0.25">
      <c r="A124" s="177"/>
      <c r="B124" t="s">
        <v>360</v>
      </c>
      <c r="C124" s="72" t="s">
        <v>362</v>
      </c>
      <c r="D124">
        <f>D122/D123</f>
        <v>-702.23759999999993</v>
      </c>
      <c r="E124" s="18">
        <f>E122/E123</f>
        <v>0</v>
      </c>
      <c r="F124" s="18">
        <f>F122/F123</f>
        <v>0</v>
      </c>
      <c r="G124" s="18">
        <f t="shared" ref="G124:BB124" si="175">G122/G123</f>
        <v>0</v>
      </c>
      <c r="H124" s="18">
        <f t="shared" si="175"/>
        <v>0</v>
      </c>
      <c r="I124" s="18">
        <f t="shared" si="175"/>
        <v>0</v>
      </c>
      <c r="J124" s="18">
        <f t="shared" si="175"/>
        <v>0</v>
      </c>
      <c r="K124" s="18">
        <f t="shared" si="175"/>
        <v>0</v>
      </c>
      <c r="L124" s="18">
        <f t="shared" si="175"/>
        <v>0</v>
      </c>
      <c r="M124" s="18">
        <f t="shared" si="175"/>
        <v>0</v>
      </c>
      <c r="N124" s="18">
        <f t="shared" si="175"/>
        <v>-121.84171944460491</v>
      </c>
      <c r="O124" s="18">
        <f t="shared" si="175"/>
        <v>0</v>
      </c>
      <c r="P124" s="18">
        <f t="shared" si="175"/>
        <v>0</v>
      </c>
      <c r="Q124" s="18">
        <f t="shared" si="175"/>
        <v>0</v>
      </c>
      <c r="R124" s="18">
        <f t="shared" si="175"/>
        <v>0</v>
      </c>
      <c r="S124" s="18">
        <f t="shared" si="175"/>
        <v>0</v>
      </c>
      <c r="T124" s="18">
        <f t="shared" si="175"/>
        <v>0</v>
      </c>
      <c r="U124" s="18">
        <f t="shared" si="175"/>
        <v>0</v>
      </c>
      <c r="V124" s="18">
        <f t="shared" si="175"/>
        <v>0</v>
      </c>
      <c r="W124" s="18">
        <f t="shared" si="175"/>
        <v>0</v>
      </c>
      <c r="X124" s="18">
        <f t="shared" si="175"/>
        <v>-110.51608448884683</v>
      </c>
      <c r="Y124" s="18">
        <f t="shared" si="175"/>
        <v>0</v>
      </c>
      <c r="Z124" s="18">
        <f t="shared" si="175"/>
        <v>0</v>
      </c>
      <c r="AA124" s="18">
        <f t="shared" si="175"/>
        <v>0</v>
      </c>
      <c r="AB124" s="18">
        <f t="shared" si="175"/>
        <v>0</v>
      </c>
      <c r="AC124" s="18">
        <f t="shared" si="175"/>
        <v>0</v>
      </c>
      <c r="AD124" s="18">
        <f t="shared" si="175"/>
        <v>0</v>
      </c>
      <c r="AE124" s="18">
        <f t="shared" si="175"/>
        <v>0</v>
      </c>
      <c r="AF124" s="18">
        <f t="shared" si="175"/>
        <v>0</v>
      </c>
      <c r="AG124" s="18">
        <f t="shared" si="175"/>
        <v>0</v>
      </c>
      <c r="AH124" s="18">
        <f t="shared" si="175"/>
        <v>-100.2432088649152</v>
      </c>
      <c r="AI124" s="18">
        <f t="shared" si="175"/>
        <v>0</v>
      </c>
      <c r="AJ124" s="18">
        <f t="shared" si="175"/>
        <v>0</v>
      </c>
      <c r="AK124" s="18">
        <f t="shared" si="175"/>
        <v>0</v>
      </c>
      <c r="AL124" s="18">
        <f t="shared" si="175"/>
        <v>0</v>
      </c>
      <c r="AM124" s="18">
        <f t="shared" si="175"/>
        <v>0</v>
      </c>
      <c r="AN124" s="18">
        <f t="shared" si="175"/>
        <v>0</v>
      </c>
      <c r="AO124" s="18">
        <f t="shared" si="175"/>
        <v>0</v>
      </c>
      <c r="AP124" s="18">
        <f t="shared" si="175"/>
        <v>0</v>
      </c>
      <c r="AQ124" s="18">
        <f t="shared" si="175"/>
        <v>0</v>
      </c>
      <c r="AR124" s="18">
        <f t="shared" si="175"/>
        <v>-90.92523472951234</v>
      </c>
      <c r="AS124" s="18">
        <f t="shared" si="175"/>
        <v>0</v>
      </c>
      <c r="AT124" s="18">
        <f t="shared" si="175"/>
        <v>0</v>
      </c>
      <c r="AU124" s="18">
        <f t="shared" si="175"/>
        <v>0</v>
      </c>
      <c r="AV124" s="18">
        <f t="shared" si="175"/>
        <v>0</v>
      </c>
      <c r="AW124" s="18">
        <f t="shared" si="175"/>
        <v>0</v>
      </c>
      <c r="AX124" s="18">
        <f t="shared" si="175"/>
        <v>0</v>
      </c>
      <c r="AY124" s="18">
        <f t="shared" si="175"/>
        <v>0</v>
      </c>
      <c r="AZ124" s="18">
        <f t="shared" si="175"/>
        <v>0</v>
      </c>
      <c r="BA124" s="18">
        <f t="shared" si="175"/>
        <v>0</v>
      </c>
      <c r="BB124" s="18">
        <f t="shared" si="175"/>
        <v>0</v>
      </c>
    </row>
    <row r="125" spans="1:54" x14ac:dyDescent="0.25">
      <c r="A125" s="177"/>
      <c r="B125" s="76" t="s">
        <v>645</v>
      </c>
      <c r="C125" s="77" t="s">
        <v>362</v>
      </c>
      <c r="D125" s="76">
        <f>D124</f>
        <v>-702.23759999999993</v>
      </c>
      <c r="E125" s="78">
        <f>E124+D125</f>
        <v>-702.23759999999993</v>
      </c>
      <c r="F125" s="78">
        <f t="shared" ref="F125:BB125" si="176">F124+E125</f>
        <v>-702.23759999999993</v>
      </c>
      <c r="G125" s="78">
        <f t="shared" si="176"/>
        <v>-702.23759999999993</v>
      </c>
      <c r="H125" s="78">
        <f t="shared" si="176"/>
        <v>-702.23759999999993</v>
      </c>
      <c r="I125" s="78">
        <f t="shared" si="176"/>
        <v>-702.23759999999993</v>
      </c>
      <c r="J125" s="78">
        <f t="shared" si="176"/>
        <v>-702.23759999999993</v>
      </c>
      <c r="K125" s="78">
        <f t="shared" si="176"/>
        <v>-702.23759999999993</v>
      </c>
      <c r="L125" s="78">
        <f t="shared" si="176"/>
        <v>-702.23759999999993</v>
      </c>
      <c r="M125" s="78">
        <f t="shared" si="176"/>
        <v>-702.23759999999993</v>
      </c>
      <c r="N125" s="78">
        <f t="shared" si="176"/>
        <v>-824.07931944460483</v>
      </c>
      <c r="O125" s="78">
        <f t="shared" si="176"/>
        <v>-824.07931944460483</v>
      </c>
      <c r="P125" s="78">
        <f t="shared" si="176"/>
        <v>-824.07931944460483</v>
      </c>
      <c r="Q125" s="78">
        <f t="shared" si="176"/>
        <v>-824.07931944460483</v>
      </c>
      <c r="R125" s="78">
        <f t="shared" si="176"/>
        <v>-824.07931944460483</v>
      </c>
      <c r="S125" s="78">
        <f t="shared" si="176"/>
        <v>-824.07931944460483</v>
      </c>
      <c r="T125" s="78">
        <f t="shared" si="176"/>
        <v>-824.07931944460483</v>
      </c>
      <c r="U125" s="78">
        <f t="shared" si="176"/>
        <v>-824.07931944460483</v>
      </c>
      <c r="V125" s="78">
        <f t="shared" si="176"/>
        <v>-824.07931944460483</v>
      </c>
      <c r="W125" s="78">
        <f t="shared" si="176"/>
        <v>-824.07931944460483</v>
      </c>
      <c r="X125" s="78">
        <f t="shared" si="176"/>
        <v>-934.59540393345162</v>
      </c>
      <c r="Y125" s="78">
        <f t="shared" si="176"/>
        <v>-934.59540393345162</v>
      </c>
      <c r="Z125" s="78">
        <f t="shared" si="176"/>
        <v>-934.59540393345162</v>
      </c>
      <c r="AA125" s="78">
        <f t="shared" si="176"/>
        <v>-934.59540393345162</v>
      </c>
      <c r="AB125" s="78">
        <f t="shared" si="176"/>
        <v>-934.59540393345162</v>
      </c>
      <c r="AC125" s="78">
        <f t="shared" si="176"/>
        <v>-934.59540393345162</v>
      </c>
      <c r="AD125" s="78">
        <f t="shared" si="176"/>
        <v>-934.59540393345162</v>
      </c>
      <c r="AE125" s="78">
        <f t="shared" si="176"/>
        <v>-934.59540393345162</v>
      </c>
      <c r="AF125" s="78">
        <f t="shared" si="176"/>
        <v>-934.59540393345162</v>
      </c>
      <c r="AG125" s="78">
        <f t="shared" si="176"/>
        <v>-934.59540393345162</v>
      </c>
      <c r="AH125" s="78">
        <f t="shared" si="176"/>
        <v>-1034.8386127983667</v>
      </c>
      <c r="AI125" s="78">
        <f t="shared" si="176"/>
        <v>-1034.8386127983667</v>
      </c>
      <c r="AJ125" s="78">
        <f t="shared" si="176"/>
        <v>-1034.8386127983667</v>
      </c>
      <c r="AK125" s="78">
        <f t="shared" si="176"/>
        <v>-1034.8386127983667</v>
      </c>
      <c r="AL125" s="78">
        <f t="shared" si="176"/>
        <v>-1034.8386127983667</v>
      </c>
      <c r="AM125" s="78">
        <f t="shared" si="176"/>
        <v>-1034.8386127983667</v>
      </c>
      <c r="AN125" s="78">
        <f t="shared" si="176"/>
        <v>-1034.8386127983667</v>
      </c>
      <c r="AO125" s="78">
        <f t="shared" si="176"/>
        <v>-1034.8386127983667</v>
      </c>
      <c r="AP125" s="78">
        <f t="shared" si="176"/>
        <v>-1034.8386127983667</v>
      </c>
      <c r="AQ125" s="78">
        <f t="shared" si="176"/>
        <v>-1034.8386127983667</v>
      </c>
      <c r="AR125" s="78">
        <f t="shared" si="176"/>
        <v>-1125.7638475278791</v>
      </c>
      <c r="AS125" s="78">
        <f t="shared" si="176"/>
        <v>-1125.7638475278791</v>
      </c>
      <c r="AT125" s="78">
        <f t="shared" si="176"/>
        <v>-1125.7638475278791</v>
      </c>
      <c r="AU125" s="78">
        <f t="shared" si="176"/>
        <v>-1125.7638475278791</v>
      </c>
      <c r="AV125" s="78">
        <f t="shared" si="176"/>
        <v>-1125.7638475278791</v>
      </c>
      <c r="AW125" s="78">
        <f t="shared" si="176"/>
        <v>-1125.7638475278791</v>
      </c>
      <c r="AX125" s="78">
        <f t="shared" si="176"/>
        <v>-1125.7638475278791</v>
      </c>
      <c r="AY125" s="78">
        <f t="shared" si="176"/>
        <v>-1125.7638475278791</v>
      </c>
      <c r="AZ125" s="78">
        <f t="shared" si="176"/>
        <v>-1125.7638475278791</v>
      </c>
      <c r="BA125" s="78">
        <f t="shared" si="176"/>
        <v>-1125.7638475278791</v>
      </c>
      <c r="BB125" s="78">
        <f t="shared" si="176"/>
        <v>-1125.7638475278791</v>
      </c>
    </row>
    <row r="126" spans="1:54" x14ac:dyDescent="0.25">
      <c r="A126" s="177"/>
      <c r="B126" s="22" t="s">
        <v>361</v>
      </c>
      <c r="C126" s="75" t="s">
        <v>362</v>
      </c>
      <c r="D126" s="93">
        <f>SUM(D124:BB124)</f>
        <v>-1125.7638475278791</v>
      </c>
    </row>
    <row r="127" spans="1:54" x14ac:dyDescent="0.25">
      <c r="A127" s="180" t="s">
        <v>579</v>
      </c>
      <c r="B127" s="76" t="s">
        <v>363</v>
      </c>
      <c r="C127" s="77" t="s">
        <v>362</v>
      </c>
      <c r="D127" s="78">
        <f t="shared" ref="D127:BB127" si="177">D7+D15+D23+D31+D39+D47+D79+D103+D111+D119</f>
        <v>-11399.832850000001</v>
      </c>
      <c r="E127" s="78">
        <f t="shared" si="177"/>
        <v>0</v>
      </c>
      <c r="F127" s="78">
        <f t="shared" si="177"/>
        <v>0</v>
      </c>
      <c r="G127" s="78">
        <f t="shared" si="177"/>
        <v>0</v>
      </c>
      <c r="H127" s="78">
        <f t="shared" si="177"/>
        <v>0</v>
      </c>
      <c r="I127" s="78">
        <f t="shared" si="177"/>
        <v>-13.80101004</v>
      </c>
      <c r="J127" s="78">
        <f t="shared" si="177"/>
        <v>0</v>
      </c>
      <c r="K127" s="78">
        <f t="shared" si="177"/>
        <v>0</v>
      </c>
      <c r="L127" s="78">
        <f t="shared" si="177"/>
        <v>0</v>
      </c>
      <c r="M127" s="78">
        <f t="shared" si="177"/>
        <v>0</v>
      </c>
      <c r="N127" s="78">
        <f t="shared" si="177"/>
        <v>-11985.466876077298</v>
      </c>
      <c r="O127" s="78">
        <f t="shared" si="177"/>
        <v>0</v>
      </c>
      <c r="P127" s="78">
        <f t="shared" si="177"/>
        <v>0</v>
      </c>
      <c r="Q127" s="78">
        <f t="shared" si="177"/>
        <v>0</v>
      </c>
      <c r="R127" s="78">
        <f t="shared" si="177"/>
        <v>0</v>
      </c>
      <c r="S127" s="78">
        <f t="shared" si="177"/>
        <v>-16.823354229051617</v>
      </c>
      <c r="T127" s="78">
        <f t="shared" si="177"/>
        <v>-501.34133949909153</v>
      </c>
      <c r="U127" s="78">
        <f t="shared" si="177"/>
        <v>0</v>
      </c>
      <c r="V127" s="78">
        <f t="shared" si="177"/>
        <v>0</v>
      </c>
      <c r="W127" s="78">
        <f t="shared" si="177"/>
        <v>0</v>
      </c>
      <c r="X127" s="78">
        <f t="shared" si="177"/>
        <v>-14610.217242970219</v>
      </c>
      <c r="Y127" s="78">
        <f t="shared" si="177"/>
        <v>0</v>
      </c>
      <c r="Z127" s="78">
        <f t="shared" si="177"/>
        <v>0</v>
      </c>
      <c r="AA127" s="78">
        <f t="shared" si="177"/>
        <v>0</v>
      </c>
      <c r="AB127" s="78">
        <f t="shared" si="177"/>
        <v>0</v>
      </c>
      <c r="AC127" s="78">
        <f t="shared" si="177"/>
        <v>-7326.1467231314991</v>
      </c>
      <c r="AD127" s="78">
        <f t="shared" si="177"/>
        <v>0</v>
      </c>
      <c r="AE127" s="78">
        <f t="shared" si="177"/>
        <v>0</v>
      </c>
      <c r="AF127" s="78">
        <f t="shared" si="177"/>
        <v>0</v>
      </c>
      <c r="AG127" s="78">
        <f t="shared" si="177"/>
        <v>0</v>
      </c>
      <c r="AH127" s="78">
        <f t="shared" si="177"/>
        <v>-15364.435155552354</v>
      </c>
      <c r="AI127" s="78">
        <f t="shared" si="177"/>
        <v>0</v>
      </c>
      <c r="AJ127" s="78">
        <f t="shared" si="177"/>
        <v>-688.23422423533225</v>
      </c>
      <c r="AK127" s="78">
        <f t="shared" si="177"/>
        <v>0</v>
      </c>
      <c r="AL127" s="78">
        <f t="shared" si="177"/>
        <v>0</v>
      </c>
      <c r="AM127" s="78">
        <f t="shared" si="177"/>
        <v>-24.998619408280685</v>
      </c>
      <c r="AN127" s="78">
        <f t="shared" si="177"/>
        <v>0</v>
      </c>
      <c r="AO127" s="78">
        <f t="shared" si="177"/>
        <v>0</v>
      </c>
      <c r="AP127" s="78">
        <f t="shared" si="177"/>
        <v>0</v>
      </c>
      <c r="AQ127" s="78">
        <f t="shared" si="177"/>
        <v>0</v>
      </c>
      <c r="AR127" s="78">
        <f t="shared" si="177"/>
        <v>-31094.182837232765</v>
      </c>
      <c r="AS127" s="78">
        <f t="shared" si="177"/>
        <v>0</v>
      </c>
      <c r="AT127" s="78">
        <f t="shared" si="177"/>
        <v>0</v>
      </c>
      <c r="AU127" s="78">
        <f t="shared" si="177"/>
        <v>0</v>
      </c>
      <c r="AV127" s="78">
        <f t="shared" si="177"/>
        <v>0</v>
      </c>
      <c r="AW127" s="78">
        <f t="shared" si="177"/>
        <v>-30.473177566266791</v>
      </c>
      <c r="AX127" s="78">
        <f t="shared" si="177"/>
        <v>0</v>
      </c>
      <c r="AY127" s="78">
        <f t="shared" si="177"/>
        <v>0</v>
      </c>
      <c r="AZ127" s="78">
        <f t="shared" si="177"/>
        <v>0</v>
      </c>
      <c r="BA127" s="78">
        <f t="shared" si="177"/>
        <v>0</v>
      </c>
      <c r="BB127" s="78">
        <f t="shared" si="177"/>
        <v>-33.644850363420062</v>
      </c>
    </row>
    <row r="128" spans="1:54" x14ac:dyDescent="0.25">
      <c r="A128" s="180"/>
      <c r="B128" s="76" t="s">
        <v>356</v>
      </c>
      <c r="C128" s="77" t="s">
        <v>362</v>
      </c>
      <c r="D128" s="76">
        <v>0</v>
      </c>
      <c r="E128" s="78">
        <f>ABS('Annual Calculations'!$Q$18)*(1+$C$3)^E$168</f>
        <v>508.91071005830804</v>
      </c>
      <c r="F128" s="78">
        <f>ABS('Annual Calculations'!$Q$18)*(1+$C$3)^F$168</f>
        <v>519.0889242594742</v>
      </c>
      <c r="G128" s="78">
        <f>ABS('Annual Calculations'!$Q$18)*(1+$C$3)^G$168</f>
        <v>529.47070274466364</v>
      </c>
      <c r="H128" s="78">
        <f>ABS('Annual Calculations'!$Q$18)*(1+$C$3)^H$168</f>
        <v>540.06011679955691</v>
      </c>
      <c r="I128" s="78">
        <f>ABS('Annual Calculations'!$Q$18)*(1+$C$3)^I$168</f>
        <v>550.86131913554811</v>
      </c>
      <c r="J128" s="78">
        <f>ABS('Annual Calculations'!$Q$18)*(1+$C$3)^J$168</f>
        <v>561.8785455182591</v>
      </c>
      <c r="K128" s="78">
        <f>ABS('Annual Calculations'!$Q$18)*(1+$C$3)^K$168</f>
        <v>573.1161164286242</v>
      </c>
      <c r="L128" s="78">
        <f>ABS('Annual Calculations'!$Q$18)*(1+$C$3)^L$168</f>
        <v>584.57843875719664</v>
      </c>
      <c r="M128" s="78">
        <f>ABS('Annual Calculations'!$Q$18)*(1+$C$3)^M$168</f>
        <v>596.27000753234063</v>
      </c>
      <c r="N128" s="78">
        <f>ABS('Annual Calculations'!$Q$18)*(1+$C$3)^N$168</f>
        <v>608.19540768298748</v>
      </c>
      <c r="O128" s="78">
        <f>ABS('Annual Calculations'!$Q$18)*(1+$C$3)^O$168</f>
        <v>620.35931583664706</v>
      </c>
      <c r="P128" s="78">
        <f>ABS('Annual Calculations'!$Q$18)*(1+$C$3)^P$168</f>
        <v>632.7665021533802</v>
      </c>
      <c r="Q128" s="78">
        <f>ABS('Annual Calculations'!$Q$18)*(1+$C$3)^Q$168</f>
        <v>645.42183219644767</v>
      </c>
      <c r="R128" s="78">
        <f>ABS('Annual Calculations'!$Q$18)*(1+$C$3)^R$168</f>
        <v>658.33026884037668</v>
      </c>
      <c r="S128" s="78">
        <f>ABS('Annual Calculations'!$Q$18)*(1+$C$3)^S$168</f>
        <v>671.49687421718409</v>
      </c>
      <c r="T128" s="78">
        <f>ABS('Annual Calculations'!$Q$18)*(1+$C$3)^T$168</f>
        <v>684.92681170152787</v>
      </c>
      <c r="U128" s="78">
        <f>ABS('Annual Calculations'!$Q$18)*(1+$C$3)^U$168</f>
        <v>698.62534793555847</v>
      </c>
      <c r="V128" s="78">
        <f>ABS('Annual Calculations'!$Q$18)*(1+$C$3)^V$168</f>
        <v>712.59785489426963</v>
      </c>
      <c r="W128" s="78">
        <f>ABS('Annual Calculations'!$Q$18)*(1+$C$3)^W$168</f>
        <v>726.84981199215497</v>
      </c>
      <c r="X128" s="78">
        <f>ABS('Annual Calculations'!$Q$18)*(1+$C$3)^X$168</f>
        <v>741.38680823199809</v>
      </c>
      <c r="Y128" s="78">
        <f>ABS('Annual Calculations'!$Q$18)*(1+$C$3)^Y$168</f>
        <v>756.21454439663808</v>
      </c>
      <c r="Z128" s="78">
        <f>ABS('Annual Calculations'!$Q$18)*(1+$C$3)^Z$168</f>
        <v>771.33883528457079</v>
      </c>
      <c r="AA128" s="78">
        <f>ABS('Annual Calculations'!$Q$18)*(1+$C$3)^AA$168</f>
        <v>786.76561199026207</v>
      </c>
      <c r="AB128" s="78">
        <f>ABS('Annual Calculations'!$Q$18)*(1+$C$3)^AB$168</f>
        <v>802.50092423006743</v>
      </c>
      <c r="AC128" s="78">
        <f>ABS('Annual Calculations'!$Q$18)*(1+$C$3)^AC$168</f>
        <v>818.55094271466874</v>
      </c>
      <c r="AD128" s="78">
        <f>ABS('Annual Calculations'!$Q$18)*(1+$C$3)^AD$168</f>
        <v>834.92196156896216</v>
      </c>
      <c r="AE128" s="78">
        <f>ABS('Annual Calculations'!$Q$18)*(1+$C$3)^AE$168</f>
        <v>851.62040080034126</v>
      </c>
      <c r="AF128" s="78">
        <f>ABS('Annual Calculations'!$Q$18)*(1+$C$3)^AF$168</f>
        <v>868.65280881634828</v>
      </c>
      <c r="AG128" s="78">
        <f>ABS('Annual Calculations'!$Q$18)*(1+$C$3)^AG$168</f>
        <v>886.02586499267511</v>
      </c>
      <c r="AH128" s="78">
        <f>ABS('Annual Calculations'!$Q$18)*(1+$C$3)^AH$168</f>
        <v>903.74638229252866</v>
      </c>
      <c r="AI128" s="78">
        <f>ABS('Annual Calculations'!$Q$18)*(1+$C$3)^AI$168</f>
        <v>921.82130993837904</v>
      </c>
      <c r="AJ128" s="78">
        <f>ABS('Annual Calculations'!$Q$18)*(1+$C$3)^AJ$168</f>
        <v>940.25773613714682</v>
      </c>
      <c r="AK128" s="78">
        <f>ABS('Annual Calculations'!$Q$18)*(1+$C$3)^AK$168</f>
        <v>959.06289085988988</v>
      </c>
      <c r="AL128" s="78">
        <f>ABS('Annual Calculations'!$Q$18)*(1+$C$3)^AL$168</f>
        <v>978.24414867708754</v>
      </c>
      <c r="AM128" s="78">
        <f>ABS('Annual Calculations'!$Q$18)*(1+$C$3)^AM$168</f>
        <v>997.80903165062932</v>
      </c>
      <c r="AN128" s="78">
        <f>ABS('Annual Calculations'!$Q$18)*(1+$C$3)^AN$168</f>
        <v>1017.7652122836419</v>
      </c>
      <c r="AO128" s="78">
        <f>ABS('Annual Calculations'!$Q$18)*(1+$C$3)^AO$168</f>
        <v>1038.1205165293147</v>
      </c>
      <c r="AP128" s="78">
        <f>ABS('Annual Calculations'!$Q$18)*(1+$C$3)^AP$168</f>
        <v>1058.8829268599011</v>
      </c>
      <c r="AQ128" s="78">
        <f>ABS('Annual Calculations'!$Q$18)*(1+$C$3)^AQ$168</f>
        <v>1080.0605853970987</v>
      </c>
      <c r="AR128" s="78">
        <f>ABS('Annual Calculations'!$Q$18)*(1+$C$3)^AR$168</f>
        <v>1101.6617971050412</v>
      </c>
      <c r="AS128" s="78">
        <f>ABS('Annual Calculations'!$Q$18)*(1+$C$3)^AS$168</f>
        <v>1123.6950330471418</v>
      </c>
      <c r="AT128" s="78">
        <f>ABS('Annual Calculations'!$Q$18)*(1+$C$3)^AT$168</f>
        <v>1146.1689337080845</v>
      </c>
      <c r="AU128" s="78">
        <f>ABS('Annual Calculations'!$Q$18)*(1+$C$3)^AU$168</f>
        <v>1169.0923123822463</v>
      </c>
      <c r="AV128" s="78">
        <f>ABS('Annual Calculations'!$Q$18)*(1+$C$3)^AV$168</f>
        <v>1192.4741586298915</v>
      </c>
      <c r="AW128" s="78">
        <f>ABS('Annual Calculations'!$Q$18)*(1+$C$3)^AW$168</f>
        <v>1216.323641802489</v>
      </c>
      <c r="AX128" s="78">
        <f>ABS('Annual Calculations'!$Q$18)*(1+$C$3)^AX$168</f>
        <v>1240.650114638539</v>
      </c>
      <c r="AY128" s="78">
        <f>ABS('Annual Calculations'!$Q$18)*(1+$C$3)^AY$168</f>
        <v>1265.4631169313093</v>
      </c>
      <c r="AZ128" s="78">
        <f>ABS('Annual Calculations'!$Q$18)*(1+$C$3)^AZ$168</f>
        <v>1290.7723792699358</v>
      </c>
      <c r="BA128" s="78">
        <f>ABS('Annual Calculations'!$Q$18)*(1+$C$3)^BA$168</f>
        <v>1316.5878268553345</v>
      </c>
      <c r="BB128" s="78">
        <f>ABS('Annual Calculations'!$Q$18)*(1+$C$3)^BB$168</f>
        <v>1342.9195833924412</v>
      </c>
    </row>
    <row r="129" spans="1:54" x14ac:dyDescent="0.25">
      <c r="A129" s="180"/>
      <c r="B129" s="76" t="s">
        <v>357</v>
      </c>
      <c r="C129" s="77" t="s">
        <v>362</v>
      </c>
      <c r="D129" s="76">
        <v>0</v>
      </c>
      <c r="E129" s="78">
        <f>-'Annual Calculations'!$L$33*(1+$C$3)^E$168</f>
        <v>590.80921666666677</v>
      </c>
      <c r="F129" s="78">
        <f>-'Annual Calculations'!$L$33*(1+$C$3)^F$168</f>
        <v>602.62540100000012</v>
      </c>
      <c r="G129" s="78">
        <f>-'Annual Calculations'!$L$33*(1+$C$3)^G$168</f>
        <v>614.67790902000013</v>
      </c>
      <c r="H129" s="78">
        <f>-'Annual Calculations'!$L$33*(1+$C$3)^H$168</f>
        <v>626.97146720040007</v>
      </c>
      <c r="I129" s="78">
        <f>-'Annual Calculations'!$L$33*(1+$C$3)^I$168</f>
        <v>639.51089654440818</v>
      </c>
      <c r="J129" s="78">
        <f>-'Annual Calculations'!$L$33*(1+$C$3)^J$168</f>
        <v>652.30111447529634</v>
      </c>
      <c r="K129" s="78">
        <f>-'Annual Calculations'!$L$33*(1+$C$3)^K$168</f>
        <v>665.34713676480214</v>
      </c>
      <c r="L129" s="78">
        <f>-'Annual Calculations'!$L$33*(1+$C$3)^L$168</f>
        <v>678.65407950009819</v>
      </c>
      <c r="M129" s="78">
        <f>-'Annual Calculations'!$L$33*(1+$C$3)^M$168</f>
        <v>692.22716109010014</v>
      </c>
      <c r="N129" s="78">
        <f>-'Annual Calculations'!$L$33*(1+$C$3)^N$168</f>
        <v>706.07170431190218</v>
      </c>
      <c r="O129" s="78">
        <f>-'Annual Calculations'!$L$33*(1+$C$3)^O$168</f>
        <v>720.19313839814015</v>
      </c>
      <c r="P129" s="78">
        <f>-'Annual Calculations'!$L$33*(1+$C$3)^P$168</f>
        <v>734.59700116610304</v>
      </c>
      <c r="Q129" s="78">
        <f>-'Annual Calculations'!$L$33*(1+$C$3)^Q$168</f>
        <v>749.28894118942503</v>
      </c>
      <c r="R129" s="78">
        <f>-'Annual Calculations'!$L$33*(1+$C$3)^R$168</f>
        <v>764.2747200132136</v>
      </c>
      <c r="S129" s="78">
        <f>-'Annual Calculations'!$L$33*(1+$C$3)^S$168</f>
        <v>779.56021441347775</v>
      </c>
      <c r="T129" s="78">
        <f>-'Annual Calculations'!$L$33*(1+$C$3)^T$168</f>
        <v>795.15141870174739</v>
      </c>
      <c r="U129" s="78">
        <f>-'Annual Calculations'!$L$33*(1+$C$3)^U$168</f>
        <v>811.05444707578238</v>
      </c>
      <c r="V129" s="78">
        <f>-'Annual Calculations'!$L$33*(1+$C$3)^V$168</f>
        <v>827.27553601729801</v>
      </c>
      <c r="W129" s="78">
        <f>-'Annual Calculations'!$L$33*(1+$C$3)^W$168</f>
        <v>843.82104673764388</v>
      </c>
      <c r="X129" s="78">
        <f>-'Annual Calculations'!$L$33*(1+$C$3)^X$168</f>
        <v>860.6974676723969</v>
      </c>
      <c r="Y129" s="78">
        <f>-'Annual Calculations'!$L$33*(1+$C$3)^Y$168</f>
        <v>877.91141702584468</v>
      </c>
      <c r="Z129" s="78">
        <f>-'Annual Calculations'!$L$33*(1+$C$3)^Z$168</f>
        <v>895.46964536636165</v>
      </c>
      <c r="AA129" s="78">
        <f>-'Annual Calculations'!$L$33*(1+$C$3)^AA$168</f>
        <v>913.37903827368871</v>
      </c>
      <c r="AB129" s="78">
        <f>-'Annual Calculations'!$L$33*(1+$C$3)^AB$168</f>
        <v>931.6466190391626</v>
      </c>
      <c r="AC129" s="78">
        <f>-'Annual Calculations'!$L$33*(1+$C$3)^AC$168</f>
        <v>950.27955141994585</v>
      </c>
      <c r="AD129" s="78">
        <f>-'Annual Calculations'!$L$33*(1+$C$3)^AD$168</f>
        <v>969.2851424483448</v>
      </c>
      <c r="AE129" s="78">
        <f>-'Annual Calculations'!$L$33*(1+$C$3)^AE$168</f>
        <v>988.67084529731153</v>
      </c>
      <c r="AF129" s="78">
        <f>-'Annual Calculations'!$L$33*(1+$C$3)^AF$168</f>
        <v>1008.4442622032579</v>
      </c>
      <c r="AG129" s="78">
        <f>-'Annual Calculations'!$L$33*(1+$C$3)^AG$168</f>
        <v>1028.6131474473229</v>
      </c>
      <c r="AH129" s="78">
        <f>-'Annual Calculations'!$L$33*(1+$C$3)^AH$168</f>
        <v>1049.1854103962696</v>
      </c>
      <c r="AI129" s="78">
        <f>-'Annual Calculations'!$L$33*(1+$C$3)^AI$168</f>
        <v>1070.1691186041946</v>
      </c>
      <c r="AJ129" s="78">
        <f>-'Annual Calculations'!$L$33*(1+$C$3)^AJ$168</f>
        <v>1091.5725009762789</v>
      </c>
      <c r="AK129" s="78">
        <f>-'Annual Calculations'!$L$33*(1+$C$3)^AK$168</f>
        <v>1113.4039509958045</v>
      </c>
      <c r="AL129" s="78">
        <f>-'Annual Calculations'!$L$33*(1+$C$3)^AL$168</f>
        <v>1135.6720300157203</v>
      </c>
      <c r="AM129" s="78">
        <f>-'Annual Calculations'!$L$33*(1+$C$3)^AM$168</f>
        <v>1158.3854706160348</v>
      </c>
      <c r="AN129" s="78">
        <f>-'Annual Calculations'!$L$33*(1+$C$3)^AN$168</f>
        <v>1181.5531800283554</v>
      </c>
      <c r="AO129" s="78">
        <f>-'Annual Calculations'!$L$33*(1+$C$3)^AO$168</f>
        <v>1205.1842436289228</v>
      </c>
      <c r="AP129" s="78">
        <f>-'Annual Calculations'!$L$33*(1+$C$3)^AP$168</f>
        <v>1229.2879285015013</v>
      </c>
      <c r="AQ129" s="78">
        <f>-'Annual Calculations'!$L$33*(1+$C$3)^AQ$168</f>
        <v>1253.8736870715309</v>
      </c>
      <c r="AR129" s="78">
        <f>-'Annual Calculations'!$L$33*(1+$C$3)^AR$168</f>
        <v>1278.9511608129617</v>
      </c>
      <c r="AS129" s="78">
        <f>-'Annual Calculations'!$L$33*(1+$C$3)^AS$168</f>
        <v>1304.5301840292209</v>
      </c>
      <c r="AT129" s="78">
        <f>-'Annual Calculations'!$L$33*(1+$C$3)^AT$168</f>
        <v>1330.6207877098054</v>
      </c>
      <c r="AU129" s="78">
        <f>-'Annual Calculations'!$L$33*(1+$C$3)^AU$168</f>
        <v>1357.2332034640015</v>
      </c>
      <c r="AV129" s="78">
        <f>-'Annual Calculations'!$L$33*(1+$C$3)^AV$168</f>
        <v>1384.3778675332817</v>
      </c>
      <c r="AW129" s="78">
        <f>-'Annual Calculations'!$L$33*(1+$C$3)^AW$168</f>
        <v>1412.0654248839471</v>
      </c>
      <c r="AX129" s="78">
        <f>-'Annual Calculations'!$L$33*(1+$C$3)^AX$168</f>
        <v>1440.3067333816261</v>
      </c>
      <c r="AY129" s="78">
        <f>-'Annual Calculations'!$L$33*(1+$C$3)^AY$168</f>
        <v>1469.1128680492582</v>
      </c>
      <c r="AZ129" s="78">
        <f>-'Annual Calculations'!$L$33*(1+$C$3)^AZ$168</f>
        <v>1498.4951254102436</v>
      </c>
      <c r="BA129" s="78">
        <f>-'Annual Calculations'!$L$33*(1+$C$3)^BA$168</f>
        <v>1528.4650279184486</v>
      </c>
      <c r="BB129" s="78">
        <f>-'Annual Calculations'!$L$33*(1+$C$3)^BB$168</f>
        <v>1559.0343284768176</v>
      </c>
    </row>
    <row r="130" spans="1:54" x14ac:dyDescent="0.25">
      <c r="A130" s="180"/>
      <c r="B130" s="76" t="s">
        <v>358</v>
      </c>
      <c r="C130" s="77" t="s">
        <v>362</v>
      </c>
      <c r="D130" s="78">
        <f>SUM(D127:D129)</f>
        <v>-11399.832850000001</v>
      </c>
      <c r="E130" s="78">
        <f>SUM(E127:E129)</f>
        <v>1099.7199267249748</v>
      </c>
      <c r="F130" s="78">
        <f t="shared" ref="F130:BB130" si="178">SUM(F127:F129)</f>
        <v>1121.7143252594742</v>
      </c>
      <c r="G130" s="78">
        <f t="shared" si="178"/>
        <v>1144.1486117646637</v>
      </c>
      <c r="H130" s="78">
        <f t="shared" si="178"/>
        <v>1167.0315839999571</v>
      </c>
      <c r="I130" s="78">
        <f t="shared" si="178"/>
        <v>1176.5712056399561</v>
      </c>
      <c r="J130" s="78">
        <f t="shared" si="178"/>
        <v>1214.1796599935556</v>
      </c>
      <c r="K130" s="78">
        <f t="shared" si="178"/>
        <v>1238.4632531934262</v>
      </c>
      <c r="L130" s="78">
        <f t="shared" si="178"/>
        <v>1263.2325182572949</v>
      </c>
      <c r="M130" s="78">
        <f t="shared" si="178"/>
        <v>1288.4971686224408</v>
      </c>
      <c r="N130" s="78">
        <f t="shared" si="178"/>
        <v>-10671.199764082408</v>
      </c>
      <c r="O130" s="78">
        <f t="shared" si="178"/>
        <v>1340.5524542347871</v>
      </c>
      <c r="P130" s="78">
        <f t="shared" si="178"/>
        <v>1367.3635033194832</v>
      </c>
      <c r="Q130" s="78">
        <f t="shared" si="178"/>
        <v>1394.7107733858727</v>
      </c>
      <c r="R130" s="78">
        <f t="shared" si="178"/>
        <v>1422.6049888535904</v>
      </c>
      <c r="S130" s="78">
        <f t="shared" si="178"/>
        <v>1434.2337344016103</v>
      </c>
      <c r="T130" s="78">
        <f t="shared" si="178"/>
        <v>978.73689090418372</v>
      </c>
      <c r="U130" s="78">
        <f t="shared" si="178"/>
        <v>1509.679795011341</v>
      </c>
      <c r="V130" s="78">
        <f t="shared" si="178"/>
        <v>1539.8733909115676</v>
      </c>
      <c r="W130" s="78">
        <f t="shared" si="178"/>
        <v>1570.670858729799</v>
      </c>
      <c r="X130" s="78">
        <f t="shared" si="178"/>
        <v>-13008.132967065823</v>
      </c>
      <c r="Y130" s="78">
        <f t="shared" si="178"/>
        <v>1634.1259614224828</v>
      </c>
      <c r="Z130" s="78">
        <f t="shared" si="178"/>
        <v>1666.8084806509323</v>
      </c>
      <c r="AA130" s="78">
        <f t="shared" si="178"/>
        <v>1700.1446502639508</v>
      </c>
      <c r="AB130" s="78">
        <f t="shared" si="178"/>
        <v>1734.14754326923</v>
      </c>
      <c r="AC130" s="78">
        <f t="shared" si="178"/>
        <v>-5557.3162289968841</v>
      </c>
      <c r="AD130" s="78">
        <f t="shared" si="178"/>
        <v>1804.2071040173068</v>
      </c>
      <c r="AE130" s="78">
        <f t="shared" si="178"/>
        <v>1840.2912460976527</v>
      </c>
      <c r="AF130" s="78">
        <f t="shared" si="178"/>
        <v>1877.0970710196061</v>
      </c>
      <c r="AG130" s="78">
        <f t="shared" si="178"/>
        <v>1914.6390124399982</v>
      </c>
      <c r="AH130" s="78">
        <f t="shared" si="178"/>
        <v>-13411.503362863554</v>
      </c>
      <c r="AI130" s="78">
        <f t="shared" si="178"/>
        <v>1991.9904285425737</v>
      </c>
      <c r="AJ130" s="78">
        <f t="shared" si="178"/>
        <v>1343.5960128780935</v>
      </c>
      <c r="AK130" s="78">
        <f t="shared" si="178"/>
        <v>2072.4668418556944</v>
      </c>
      <c r="AL130" s="78">
        <f t="shared" si="178"/>
        <v>2113.916178692808</v>
      </c>
      <c r="AM130" s="78">
        <f t="shared" si="178"/>
        <v>2131.1958828583834</v>
      </c>
      <c r="AN130" s="78">
        <f t="shared" si="178"/>
        <v>2199.3183923119973</v>
      </c>
      <c r="AO130" s="78">
        <f t="shared" si="178"/>
        <v>2243.3047601582375</v>
      </c>
      <c r="AP130" s="78">
        <f t="shared" si="178"/>
        <v>2288.1708553614026</v>
      </c>
      <c r="AQ130" s="78">
        <f t="shared" si="178"/>
        <v>2333.9342724686294</v>
      </c>
      <c r="AR130" s="78">
        <f t="shared" si="178"/>
        <v>-28713.569879314764</v>
      </c>
      <c r="AS130" s="78">
        <f t="shared" si="178"/>
        <v>2428.2252170763627</v>
      </c>
      <c r="AT130" s="78">
        <f t="shared" si="178"/>
        <v>2476.7897214178902</v>
      </c>
      <c r="AU130" s="78">
        <f t="shared" si="178"/>
        <v>2526.325515846248</v>
      </c>
      <c r="AV130" s="78">
        <f t="shared" si="178"/>
        <v>2576.8520261631729</v>
      </c>
      <c r="AW130" s="78">
        <f t="shared" si="178"/>
        <v>2597.9158891201696</v>
      </c>
      <c r="AX130" s="78">
        <f t="shared" si="178"/>
        <v>2680.9568480201651</v>
      </c>
      <c r="AY130" s="78">
        <f t="shared" si="178"/>
        <v>2734.5759849805672</v>
      </c>
      <c r="AZ130" s="78">
        <f t="shared" si="178"/>
        <v>2789.2675046801796</v>
      </c>
      <c r="BA130" s="78">
        <f t="shared" si="178"/>
        <v>2845.0528547737831</v>
      </c>
      <c r="BB130" s="78">
        <f t="shared" si="178"/>
        <v>2868.3090615058386</v>
      </c>
    </row>
    <row r="131" spans="1:54" x14ac:dyDescent="0.25">
      <c r="A131" s="180"/>
      <c r="B131" s="76" t="s">
        <v>359</v>
      </c>
      <c r="C131" s="77"/>
      <c r="D131" s="76">
        <f t="shared" ref="D131:AI131" si="179">(1+$C$2)^D$168</f>
        <v>1</v>
      </c>
      <c r="E131" s="79">
        <f t="shared" si="179"/>
        <v>1.03</v>
      </c>
      <c r="F131" s="79">
        <f t="shared" si="179"/>
        <v>1.0609</v>
      </c>
      <c r="G131" s="79">
        <f t="shared" si="179"/>
        <v>1.092727</v>
      </c>
      <c r="H131" s="79">
        <f t="shared" si="179"/>
        <v>1.1255088099999999</v>
      </c>
      <c r="I131" s="79">
        <f t="shared" si="179"/>
        <v>1.1592740742999998</v>
      </c>
      <c r="J131" s="79">
        <f t="shared" si="179"/>
        <v>1.1940522965289999</v>
      </c>
      <c r="K131" s="79">
        <f t="shared" si="179"/>
        <v>1.22987386542487</v>
      </c>
      <c r="L131" s="79">
        <f t="shared" si="179"/>
        <v>1.2667700813876159</v>
      </c>
      <c r="M131" s="79">
        <f t="shared" si="179"/>
        <v>1.3047731838292445</v>
      </c>
      <c r="N131" s="79">
        <f t="shared" si="179"/>
        <v>1.3439163793441218</v>
      </c>
      <c r="O131" s="79">
        <f t="shared" si="179"/>
        <v>1.3842338707244455</v>
      </c>
      <c r="P131" s="79">
        <f t="shared" si="179"/>
        <v>1.4257608868461786</v>
      </c>
      <c r="Q131" s="79">
        <f t="shared" si="179"/>
        <v>1.4685337134515639</v>
      </c>
      <c r="R131" s="79">
        <f t="shared" si="179"/>
        <v>1.512589724855111</v>
      </c>
      <c r="S131" s="79">
        <f t="shared" si="179"/>
        <v>1.5579674166007644</v>
      </c>
      <c r="T131" s="79">
        <f t="shared" si="179"/>
        <v>1.6047064390987871</v>
      </c>
      <c r="U131" s="79">
        <f t="shared" si="179"/>
        <v>1.6528476322717507</v>
      </c>
      <c r="V131" s="79">
        <f t="shared" si="179"/>
        <v>1.7024330612399032</v>
      </c>
      <c r="W131" s="79">
        <f t="shared" si="179"/>
        <v>1.7535060530771003</v>
      </c>
      <c r="X131" s="79">
        <f t="shared" si="179"/>
        <v>1.8061112346694133</v>
      </c>
      <c r="Y131" s="79">
        <f t="shared" si="179"/>
        <v>1.8602945717094954</v>
      </c>
      <c r="Z131" s="79">
        <f t="shared" si="179"/>
        <v>1.9161034088607805</v>
      </c>
      <c r="AA131" s="79">
        <f t="shared" si="179"/>
        <v>1.973586511126604</v>
      </c>
      <c r="AB131" s="79">
        <f t="shared" si="179"/>
        <v>2.0327941064604018</v>
      </c>
      <c r="AC131" s="79">
        <f t="shared" si="179"/>
        <v>2.0937779296542138</v>
      </c>
      <c r="AD131" s="79">
        <f t="shared" si="179"/>
        <v>2.1565912675438406</v>
      </c>
      <c r="AE131" s="79">
        <f t="shared" si="179"/>
        <v>2.2212890055701555</v>
      </c>
      <c r="AF131" s="79">
        <f t="shared" si="179"/>
        <v>2.2879276757372602</v>
      </c>
      <c r="AG131" s="79">
        <f t="shared" si="179"/>
        <v>2.3565655060093778</v>
      </c>
      <c r="AH131" s="79">
        <f t="shared" si="179"/>
        <v>2.4272624711896591</v>
      </c>
      <c r="AI131" s="79">
        <f t="shared" si="179"/>
        <v>2.5000803453253493</v>
      </c>
      <c r="AJ131" s="79">
        <f t="shared" ref="AJ131:BB131" si="180">(1+$C$2)^AJ$168</f>
        <v>2.5750827556851092</v>
      </c>
      <c r="AK131" s="79">
        <f t="shared" si="180"/>
        <v>2.6523352383556626</v>
      </c>
      <c r="AL131" s="79">
        <f t="shared" si="180"/>
        <v>2.7319052955063321</v>
      </c>
      <c r="AM131" s="79">
        <f t="shared" si="180"/>
        <v>2.8138624543715225</v>
      </c>
      <c r="AN131" s="79">
        <f t="shared" si="180"/>
        <v>2.898278328002668</v>
      </c>
      <c r="AO131" s="79">
        <f t="shared" si="180"/>
        <v>2.9852266778427476</v>
      </c>
      <c r="AP131" s="79">
        <f t="shared" si="180"/>
        <v>3.0747834781780301</v>
      </c>
      <c r="AQ131" s="79">
        <f t="shared" si="180"/>
        <v>3.1670269825233714</v>
      </c>
      <c r="AR131" s="79">
        <f t="shared" si="180"/>
        <v>3.262037791999072</v>
      </c>
      <c r="AS131" s="79">
        <f t="shared" si="180"/>
        <v>3.3598989257590444</v>
      </c>
      <c r="AT131" s="79">
        <f t="shared" si="180"/>
        <v>3.4606958935318159</v>
      </c>
      <c r="AU131" s="79">
        <f t="shared" si="180"/>
        <v>3.5645167703377703</v>
      </c>
      <c r="AV131" s="79">
        <f t="shared" si="180"/>
        <v>3.6714522734479029</v>
      </c>
      <c r="AW131" s="79">
        <f t="shared" si="180"/>
        <v>3.78159584165134</v>
      </c>
      <c r="AX131" s="79">
        <f t="shared" si="180"/>
        <v>3.8950437169008802</v>
      </c>
      <c r="AY131" s="79">
        <f t="shared" si="180"/>
        <v>4.0118950284079071</v>
      </c>
      <c r="AZ131" s="79">
        <f t="shared" si="180"/>
        <v>4.1322518792601439</v>
      </c>
      <c r="BA131" s="79">
        <f t="shared" si="180"/>
        <v>4.2562194356379477</v>
      </c>
      <c r="BB131" s="79">
        <f t="shared" si="180"/>
        <v>4.3839060187070862</v>
      </c>
    </row>
    <row r="132" spans="1:54" s="76" customFormat="1" x14ac:dyDescent="0.25">
      <c r="A132" s="180"/>
      <c r="B132" s="76" t="s">
        <v>360</v>
      </c>
      <c r="C132" s="77" t="s">
        <v>362</v>
      </c>
      <c r="D132" s="76">
        <f>D130/D131</f>
        <v>-11399.832850000001</v>
      </c>
      <c r="E132" s="78">
        <f>E130/E131</f>
        <v>1067.6892492475483</v>
      </c>
      <c r="F132" s="78">
        <f>F130/F131</f>
        <v>1057.3233342063099</v>
      </c>
      <c r="G132" s="78">
        <f t="shared" ref="G132:BB132" si="181">G130/G131</f>
        <v>1047.0580591169282</v>
      </c>
      <c r="H132" s="78">
        <f t="shared" si="181"/>
        <v>1036.8924468924922</v>
      </c>
      <c r="I132" s="78">
        <f t="shared" si="181"/>
        <v>1014.9206574384929</v>
      </c>
      <c r="J132" s="78">
        <f t="shared" si="181"/>
        <v>1016.8563500301151</v>
      </c>
      <c r="K132" s="78">
        <f t="shared" si="181"/>
        <v>1006.9839582822495</v>
      </c>
      <c r="L132" s="78">
        <f t="shared" si="181"/>
        <v>997.20741499795611</v>
      </c>
      <c r="M132" s="78">
        <f t="shared" si="181"/>
        <v>987.52578960962637</v>
      </c>
      <c r="N132" s="78">
        <f t="shared" si="181"/>
        <v>-7940.3748091010893</v>
      </c>
      <c r="O132" s="78">
        <f t="shared" si="181"/>
        <v>968.44361533589881</v>
      </c>
      <c r="P132" s="78">
        <f t="shared" si="181"/>
        <v>959.04125013846328</v>
      </c>
      <c r="Q132" s="78">
        <f t="shared" si="181"/>
        <v>949.73017004003145</v>
      </c>
      <c r="R132" s="78">
        <f t="shared" si="181"/>
        <v>940.50948877750693</v>
      </c>
      <c r="S132" s="78">
        <f t="shared" si="181"/>
        <v>920.58005778508436</v>
      </c>
      <c r="T132" s="78">
        <f t="shared" si="181"/>
        <v>609.91647260657112</v>
      </c>
      <c r="U132" s="78">
        <f t="shared" si="181"/>
        <v>913.38110394142427</v>
      </c>
      <c r="V132" s="78">
        <f t="shared" si="181"/>
        <v>904.51332623325504</v>
      </c>
      <c r="W132" s="78">
        <f t="shared" si="181"/>
        <v>895.73164345429143</v>
      </c>
      <c r="X132" s="78">
        <f t="shared" si="181"/>
        <v>-7202.2878310962969</v>
      </c>
      <c r="Y132" s="78">
        <f t="shared" si="181"/>
        <v>878.42322730685726</v>
      </c>
      <c r="Z132" s="78">
        <f t="shared" si="181"/>
        <v>869.89484645921777</v>
      </c>
      <c r="AA132" s="78">
        <f t="shared" si="181"/>
        <v>861.44926542563292</v>
      </c>
      <c r="AB132" s="78">
        <f t="shared" si="181"/>
        <v>853.08568032441349</v>
      </c>
      <c r="AC132" s="78">
        <f t="shared" si="181"/>
        <v>-2654.2051811171168</v>
      </c>
      <c r="AD132" s="78">
        <f t="shared" si="181"/>
        <v>836.60132133991851</v>
      </c>
      <c r="AE132" s="78">
        <f t="shared" si="181"/>
        <v>828.47897841428824</v>
      </c>
      <c r="AF132" s="78">
        <f t="shared" si="181"/>
        <v>820.43549318696523</v>
      </c>
      <c r="AG132" s="78">
        <f t="shared" si="181"/>
        <v>812.47010004922777</v>
      </c>
      <c r="AH132" s="78">
        <f t="shared" si="181"/>
        <v>-5525.3618107028433</v>
      </c>
      <c r="AI132" s="78">
        <f t="shared" si="181"/>
        <v>796.77056470092964</v>
      </c>
      <c r="AJ132" s="78">
        <f t="shared" si="181"/>
        <v>521.76809071933121</v>
      </c>
      <c r="AK132" s="78">
        <f t="shared" si="181"/>
        <v>781.37439486742164</v>
      </c>
      <c r="AL132" s="78">
        <f t="shared" si="181"/>
        <v>773.78823569395149</v>
      </c>
      <c r="AM132" s="78">
        <f t="shared" si="181"/>
        <v>757.39163424545814</v>
      </c>
      <c r="AN132" s="78">
        <f t="shared" si="181"/>
        <v>758.83615837118202</v>
      </c>
      <c r="AO132" s="78">
        <f t="shared" si="181"/>
        <v>751.46881702777273</v>
      </c>
      <c r="AP132" s="78">
        <f t="shared" si="181"/>
        <v>744.17300327022156</v>
      </c>
      <c r="AQ132" s="78">
        <f t="shared" si="181"/>
        <v>736.94802265594717</v>
      </c>
      <c r="AR132" s="78">
        <f t="shared" si="181"/>
        <v>-8802.3412695406732</v>
      </c>
      <c r="AS132" s="78">
        <f t="shared" si="181"/>
        <v>722.70781673225349</v>
      </c>
      <c r="AT132" s="78">
        <f t="shared" si="181"/>
        <v>715.69123598728015</v>
      </c>
      <c r="AU132" s="78">
        <f t="shared" si="181"/>
        <v>708.74277738546186</v>
      </c>
      <c r="AV132" s="78">
        <f t="shared" si="181"/>
        <v>701.86177954676816</v>
      </c>
      <c r="AW132" s="78">
        <f t="shared" si="181"/>
        <v>686.98930237497746</v>
      </c>
      <c r="AX132" s="78">
        <f t="shared" si="181"/>
        <v>688.29955268211677</v>
      </c>
      <c r="AY132" s="78">
        <f t="shared" si="181"/>
        <v>681.6170327531637</v>
      </c>
      <c r="AZ132" s="78">
        <f t="shared" si="181"/>
        <v>674.9993916584732</v>
      </c>
      <c r="BA132" s="78">
        <f t="shared" si="181"/>
        <v>668.4459995064492</v>
      </c>
      <c r="BB132" s="78">
        <f t="shared" si="181"/>
        <v>654.28160395458667</v>
      </c>
    </row>
    <row r="133" spans="1:54" s="76" customFormat="1" x14ac:dyDescent="0.25">
      <c r="A133" s="180"/>
      <c r="B133" s="76" t="s">
        <v>645</v>
      </c>
      <c r="C133" s="77" t="s">
        <v>362</v>
      </c>
      <c r="D133" s="76">
        <f>D132</f>
        <v>-11399.832850000001</v>
      </c>
      <c r="E133" s="78">
        <f>E132+D133</f>
        <v>-10332.143600752452</v>
      </c>
      <c r="F133" s="78">
        <f t="shared" ref="F133:BB133" si="182">F132+E133</f>
        <v>-9274.8202665461413</v>
      </c>
      <c r="G133" s="78">
        <f t="shared" si="182"/>
        <v>-8227.7622074292121</v>
      </c>
      <c r="H133" s="78">
        <f t="shared" si="182"/>
        <v>-7190.8697605367197</v>
      </c>
      <c r="I133" s="78">
        <f t="shared" si="182"/>
        <v>-6175.9491030982272</v>
      </c>
      <c r="J133" s="78">
        <f t="shared" si="182"/>
        <v>-5159.092753068112</v>
      </c>
      <c r="K133" s="78">
        <f t="shared" si="182"/>
        <v>-4152.1087947858623</v>
      </c>
      <c r="L133" s="78">
        <f t="shared" si="182"/>
        <v>-3154.9013797879061</v>
      </c>
      <c r="M133" s="78">
        <f t="shared" si="182"/>
        <v>-2167.3755901782797</v>
      </c>
      <c r="N133" s="78">
        <f t="shared" si="182"/>
        <v>-10107.750399279368</v>
      </c>
      <c r="O133" s="78">
        <f t="shared" si="182"/>
        <v>-9139.3067839434698</v>
      </c>
      <c r="P133" s="78">
        <f t="shared" si="182"/>
        <v>-8180.2655338050063</v>
      </c>
      <c r="Q133" s="78">
        <f t="shared" si="182"/>
        <v>-7230.535363764975</v>
      </c>
      <c r="R133" s="78">
        <f t="shared" si="182"/>
        <v>-6290.0258749874683</v>
      </c>
      <c r="S133" s="78">
        <f t="shared" si="182"/>
        <v>-5369.4458172023842</v>
      </c>
      <c r="T133" s="78">
        <f t="shared" si="182"/>
        <v>-4759.5293445958132</v>
      </c>
      <c r="U133" s="78">
        <f t="shared" si="182"/>
        <v>-3846.1482406543892</v>
      </c>
      <c r="V133" s="78">
        <f t="shared" si="182"/>
        <v>-2941.634914421134</v>
      </c>
      <c r="W133" s="78">
        <f t="shared" si="182"/>
        <v>-2045.9032709668427</v>
      </c>
      <c r="X133" s="78">
        <f t="shared" si="182"/>
        <v>-9248.1911020631396</v>
      </c>
      <c r="Y133" s="78">
        <f t="shared" si="182"/>
        <v>-8369.7678747562823</v>
      </c>
      <c r="Z133" s="78">
        <f t="shared" si="182"/>
        <v>-7499.8730282970646</v>
      </c>
      <c r="AA133" s="78">
        <f t="shared" si="182"/>
        <v>-6638.4237628714318</v>
      </c>
      <c r="AB133" s="78">
        <f t="shared" si="182"/>
        <v>-5785.3380825470185</v>
      </c>
      <c r="AC133" s="78">
        <f t="shared" si="182"/>
        <v>-8439.5432636641344</v>
      </c>
      <c r="AD133" s="78">
        <f t="shared" si="182"/>
        <v>-7602.9419423242161</v>
      </c>
      <c r="AE133" s="78">
        <f t="shared" si="182"/>
        <v>-6774.4629639099276</v>
      </c>
      <c r="AF133" s="78">
        <f t="shared" si="182"/>
        <v>-5954.0274707229619</v>
      </c>
      <c r="AG133" s="78">
        <f t="shared" si="182"/>
        <v>-5141.5573706737341</v>
      </c>
      <c r="AH133" s="78">
        <f t="shared" si="182"/>
        <v>-10666.919181376577</v>
      </c>
      <c r="AI133" s="78">
        <f t="shared" si="182"/>
        <v>-9870.1486166756476</v>
      </c>
      <c r="AJ133" s="78">
        <f t="shared" si="182"/>
        <v>-9348.380525956316</v>
      </c>
      <c r="AK133" s="78">
        <f t="shared" si="182"/>
        <v>-8567.0061310888941</v>
      </c>
      <c r="AL133" s="78">
        <f t="shared" si="182"/>
        <v>-7793.2178953949424</v>
      </c>
      <c r="AM133" s="78">
        <f t="shared" si="182"/>
        <v>-7035.8262611494847</v>
      </c>
      <c r="AN133" s="78">
        <f t="shared" si="182"/>
        <v>-6276.9901027783026</v>
      </c>
      <c r="AO133" s="78">
        <f t="shared" si="182"/>
        <v>-5525.5212857505303</v>
      </c>
      <c r="AP133" s="78">
        <f t="shared" si="182"/>
        <v>-4781.3482824803086</v>
      </c>
      <c r="AQ133" s="78">
        <f t="shared" si="182"/>
        <v>-4044.4002598243615</v>
      </c>
      <c r="AR133" s="78">
        <f t="shared" si="182"/>
        <v>-12846.741529365034</v>
      </c>
      <c r="AS133" s="78">
        <f t="shared" si="182"/>
        <v>-12124.033712632779</v>
      </c>
      <c r="AT133" s="78">
        <f t="shared" si="182"/>
        <v>-11408.342476645499</v>
      </c>
      <c r="AU133" s="78">
        <f t="shared" si="182"/>
        <v>-10699.599699260038</v>
      </c>
      <c r="AV133" s="78">
        <f t="shared" si="182"/>
        <v>-9997.7379197132686</v>
      </c>
      <c r="AW133" s="78">
        <f t="shared" si="182"/>
        <v>-9310.7486173382913</v>
      </c>
      <c r="AX133" s="78">
        <f t="shared" si="182"/>
        <v>-8622.4490646561753</v>
      </c>
      <c r="AY133" s="78">
        <f t="shared" si="182"/>
        <v>-7940.8320319030117</v>
      </c>
      <c r="AZ133" s="78">
        <f t="shared" si="182"/>
        <v>-7265.8326402445382</v>
      </c>
      <c r="BA133" s="78">
        <f t="shared" si="182"/>
        <v>-6597.3866407380892</v>
      </c>
      <c r="BB133" s="78">
        <f t="shared" si="182"/>
        <v>-5943.1050367835023</v>
      </c>
    </row>
    <row r="134" spans="1:54" s="76" customFormat="1" x14ac:dyDescent="0.25">
      <c r="B134" s="80" t="s">
        <v>361</v>
      </c>
      <c r="C134" s="81" t="s">
        <v>362</v>
      </c>
      <c r="D134" s="92">
        <f>SUM(D132:BB132)</f>
        <v>-5943.1050367835023</v>
      </c>
    </row>
    <row r="135" spans="1:54" s="76" customFormat="1" x14ac:dyDescent="0.25">
      <c r="B135"/>
      <c r="C135" s="70"/>
      <c r="D135"/>
      <c r="E135" s="71"/>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row>
    <row r="136" spans="1:54" s="76" customFormat="1" x14ac:dyDescent="0.25">
      <c r="B136" s="76" t="s">
        <v>646</v>
      </c>
      <c r="C136" s="134" t="s">
        <v>362</v>
      </c>
      <c r="D136" s="76">
        <f>D133*'General variables'!$B$11</f>
        <v>-91198.662800000006</v>
      </c>
      <c r="E136" s="76">
        <f>E133*'General variables'!$B$11</f>
        <v>-82657.148806019613</v>
      </c>
      <c r="F136" s="76">
        <f>F133*'General variables'!$B$11</f>
        <v>-74198.56213236913</v>
      </c>
      <c r="G136" s="76">
        <f>G133*'General variables'!$B$11</f>
        <v>-65822.097659433697</v>
      </c>
      <c r="H136" s="76">
        <f>H133*'General variables'!$B$11</f>
        <v>-57526.958084293758</v>
      </c>
      <c r="I136" s="76">
        <f>I133*'General variables'!$B$11</f>
        <v>-49407.592824785817</v>
      </c>
      <c r="J136" s="76">
        <f>J133*'General variables'!$B$11</f>
        <v>-41272.742024544896</v>
      </c>
      <c r="K136" s="76">
        <f>K133*'General variables'!$B$11</f>
        <v>-33216.870358286898</v>
      </c>
      <c r="L136" s="76">
        <f>L133*'General variables'!$B$11</f>
        <v>-25239.211038303249</v>
      </c>
      <c r="M136" s="76">
        <f>M133*'General variables'!$B$11</f>
        <v>-17339.004721426238</v>
      </c>
      <c r="N136" s="76">
        <f>N133*'General variables'!$B$11</f>
        <v>-80862.003194234945</v>
      </c>
      <c r="O136" s="76">
        <f>O133*'General variables'!$B$11</f>
        <v>-73114.454271547758</v>
      </c>
      <c r="P136" s="76">
        <f>P133*'General variables'!$B$11</f>
        <v>-65442.12427044005</v>
      </c>
      <c r="Q136" s="76">
        <f>Q133*'General variables'!$B$11</f>
        <v>-57844.2829101198</v>
      </c>
      <c r="R136" s="76">
        <f>R133*'General variables'!$B$11</f>
        <v>-50320.206999899747</v>
      </c>
      <c r="S136" s="76">
        <f>S133*'General variables'!$B$11</f>
        <v>-42955.566537619074</v>
      </c>
      <c r="T136" s="76">
        <f>T133*'General variables'!$B$11</f>
        <v>-38076.234756766506</v>
      </c>
      <c r="U136" s="76">
        <f>U133*'General variables'!$B$11</f>
        <v>-30769.185925235113</v>
      </c>
      <c r="V136" s="76">
        <f>V133*'General variables'!$B$11</f>
        <v>-23533.079315369072</v>
      </c>
      <c r="W136" s="76">
        <f>W133*'General variables'!$B$11</f>
        <v>-16367.226167734741</v>
      </c>
      <c r="X136" s="76">
        <f>X133*'General variables'!$B$11</f>
        <v>-73985.528816505117</v>
      </c>
      <c r="Y136" s="76">
        <f>Y133*'General variables'!$B$11</f>
        <v>-66958.142998050258</v>
      </c>
      <c r="Z136" s="76">
        <f>Z133*'General variables'!$B$11</f>
        <v>-59998.984226376517</v>
      </c>
      <c r="AA136" s="76">
        <f>AA133*'General variables'!$B$11</f>
        <v>-53107.390102971454</v>
      </c>
      <c r="AB136" s="76">
        <f>AB133*'General variables'!$B$11</f>
        <v>-46282.704660376148</v>
      </c>
      <c r="AC136" s="76">
        <f>AC133*'General variables'!$B$11</f>
        <v>-67516.346109313075</v>
      </c>
      <c r="AD136" s="76">
        <f>AD133*'General variables'!$B$11</f>
        <v>-60823.535538593729</v>
      </c>
      <c r="AE136" s="76">
        <f>AE133*'General variables'!$B$11</f>
        <v>-54195.703711279421</v>
      </c>
      <c r="AF136" s="76">
        <f>AF133*'General variables'!$B$11</f>
        <v>-47632.219765783695</v>
      </c>
      <c r="AG136" s="76">
        <f>AG133*'General variables'!$B$11</f>
        <v>-41132.458965389873</v>
      </c>
      <c r="AH136" s="76">
        <f>AH133*'General variables'!$B$11</f>
        <v>-85335.353451012619</v>
      </c>
      <c r="AI136" s="76">
        <f>AI133*'General variables'!$B$11</f>
        <v>-78961.188933405181</v>
      </c>
      <c r="AJ136" s="76">
        <f>AJ133*'General variables'!$B$11</f>
        <v>-74787.044207650528</v>
      </c>
      <c r="AK136" s="76">
        <f>AK133*'General variables'!$B$11</f>
        <v>-68536.049048711153</v>
      </c>
      <c r="AL136" s="76">
        <f>AL133*'General variables'!$B$11</f>
        <v>-62345.743163159539</v>
      </c>
      <c r="AM136" s="76">
        <f>AM133*'General variables'!$B$11</f>
        <v>-56286.610089195878</v>
      </c>
      <c r="AN136" s="76">
        <f>AN133*'General variables'!$B$11</f>
        <v>-50215.920822226421</v>
      </c>
      <c r="AO136" s="76">
        <f>AO133*'General variables'!$B$11</f>
        <v>-44204.170286004242</v>
      </c>
      <c r="AP136" s="76">
        <f>AP133*'General variables'!$B$11</f>
        <v>-38250.786259842469</v>
      </c>
      <c r="AQ136" s="76">
        <f>AQ133*'General variables'!$B$11</f>
        <v>-32355.202078594892</v>
      </c>
      <c r="AR136" s="76">
        <f>AR133*'General variables'!$B$11</f>
        <v>-102773.93223492027</v>
      </c>
      <c r="AS136" s="76">
        <f>AS133*'General variables'!$B$11</f>
        <v>-96992.269701062236</v>
      </c>
      <c r="AT136" s="76">
        <f>AT133*'General variables'!$B$11</f>
        <v>-91266.739813163993</v>
      </c>
      <c r="AU136" s="76">
        <f>AU133*'General variables'!$B$11</f>
        <v>-85596.797594080301</v>
      </c>
      <c r="AV136" s="76">
        <f>AV133*'General variables'!$B$11</f>
        <v>-79981.903357706149</v>
      </c>
      <c r="AW136" s="76">
        <f>AW133*'General variables'!$B$11</f>
        <v>-74485.98893870633</v>
      </c>
      <c r="AX136" s="76">
        <f>AX133*'General variables'!$B$11</f>
        <v>-68979.592517249403</v>
      </c>
      <c r="AY136" s="76">
        <f>AY133*'General variables'!$B$11</f>
        <v>-63526.656255224094</v>
      </c>
      <c r="AZ136" s="76">
        <f>AZ133*'General variables'!$B$11</f>
        <v>-58126.661121956306</v>
      </c>
      <c r="BA136" s="76">
        <f>BA133*'General variables'!$B$11</f>
        <v>-52779.093125904714</v>
      </c>
      <c r="BB136" s="76">
        <f>BB133*'General variables'!$B$11</f>
        <v>-47544.840294268019</v>
      </c>
    </row>
    <row r="137" spans="1:54" s="83" customFormat="1" x14ac:dyDescent="0.25">
      <c r="A137" s="179" t="s">
        <v>717</v>
      </c>
      <c r="B137" s="83" t="s">
        <v>363</v>
      </c>
      <c r="C137" s="84" t="s">
        <v>362</v>
      </c>
      <c r="D137" s="85">
        <f>D7+D15+D23+D31+D39+D63+D87+D103+D111+D119</f>
        <v>-7291.8516</v>
      </c>
      <c r="E137" s="85">
        <f t="shared" ref="E137:BB137" si="183">E7+E15+E23+E31+E39+E63+E87+E103+E111+E119</f>
        <v>0</v>
      </c>
      <c r="F137" s="85">
        <f t="shared" si="183"/>
        <v>0</v>
      </c>
      <c r="G137" s="85">
        <f t="shared" si="183"/>
        <v>0</v>
      </c>
      <c r="H137" s="85">
        <f t="shared" si="183"/>
        <v>0</v>
      </c>
      <c r="I137" s="85">
        <f t="shared" si="183"/>
        <v>-13.80101004</v>
      </c>
      <c r="J137" s="85">
        <f t="shared" si="183"/>
        <v>0</v>
      </c>
      <c r="K137" s="85">
        <f t="shared" si="183"/>
        <v>0</v>
      </c>
      <c r="L137" s="85">
        <f t="shared" si="183"/>
        <v>0</v>
      </c>
      <c r="M137" s="85">
        <f t="shared" si="183"/>
        <v>0</v>
      </c>
      <c r="N137" s="85">
        <f t="shared" si="183"/>
        <v>-7279.9742510697797</v>
      </c>
      <c r="O137" s="85">
        <f t="shared" si="183"/>
        <v>0</v>
      </c>
      <c r="P137" s="85">
        <f t="shared" si="183"/>
        <v>0</v>
      </c>
      <c r="Q137" s="85">
        <f t="shared" si="183"/>
        <v>0</v>
      </c>
      <c r="R137" s="85">
        <f t="shared" si="183"/>
        <v>0</v>
      </c>
      <c r="S137" s="85">
        <f t="shared" si="183"/>
        <v>-16.823354229051617</v>
      </c>
      <c r="T137" s="85">
        <f t="shared" si="183"/>
        <v>-501.34133949909153</v>
      </c>
      <c r="U137" s="85">
        <f t="shared" si="183"/>
        <v>0</v>
      </c>
      <c r="V137" s="85">
        <f t="shared" si="183"/>
        <v>0</v>
      </c>
      <c r="W137" s="85">
        <f t="shared" si="183"/>
        <v>0</v>
      </c>
      <c r="X137" s="85">
        <f t="shared" si="183"/>
        <v>-8874.2479897595713</v>
      </c>
      <c r="Y137" s="85">
        <f t="shared" si="183"/>
        <v>0</v>
      </c>
      <c r="Z137" s="85">
        <f t="shared" si="183"/>
        <v>0</v>
      </c>
      <c r="AA137" s="85">
        <f t="shared" si="183"/>
        <v>0</v>
      </c>
      <c r="AB137" s="85">
        <f t="shared" si="183"/>
        <v>0</v>
      </c>
      <c r="AC137" s="85">
        <f t="shared" si="183"/>
        <v>-6671.7054646366305</v>
      </c>
      <c r="AD137" s="85">
        <f t="shared" si="183"/>
        <v>0</v>
      </c>
      <c r="AE137" s="85">
        <f t="shared" si="183"/>
        <v>0</v>
      </c>
      <c r="AF137" s="85">
        <f t="shared" si="183"/>
        <v>0</v>
      </c>
      <c r="AG137" s="85">
        <f t="shared" si="183"/>
        <v>0</v>
      </c>
      <c r="AH137" s="85">
        <f t="shared" si="183"/>
        <v>-8372.3206426270826</v>
      </c>
      <c r="AI137" s="85">
        <f t="shared" si="183"/>
        <v>0</v>
      </c>
      <c r="AJ137" s="85">
        <f t="shared" si="183"/>
        <v>-688.23422423533225</v>
      </c>
      <c r="AK137" s="85">
        <f t="shared" si="183"/>
        <v>0</v>
      </c>
      <c r="AL137" s="85">
        <f t="shared" si="183"/>
        <v>0</v>
      </c>
      <c r="AM137" s="85">
        <f t="shared" si="183"/>
        <v>-24.998619408280685</v>
      </c>
      <c r="AN137" s="85">
        <f t="shared" si="183"/>
        <v>0</v>
      </c>
      <c r="AO137" s="85">
        <f t="shared" si="183"/>
        <v>0</v>
      </c>
      <c r="AP137" s="85">
        <f t="shared" si="183"/>
        <v>0</v>
      </c>
      <c r="AQ137" s="85">
        <f t="shared" si="183"/>
        <v>0</v>
      </c>
      <c r="AR137" s="85">
        <f t="shared" si="183"/>
        <v>-22570.8342620125</v>
      </c>
      <c r="AS137" s="85">
        <f t="shared" si="183"/>
        <v>0</v>
      </c>
      <c r="AT137" s="85">
        <f t="shared" si="183"/>
        <v>0</v>
      </c>
      <c r="AU137" s="85">
        <f t="shared" si="183"/>
        <v>0</v>
      </c>
      <c r="AV137" s="85">
        <f t="shared" si="183"/>
        <v>0</v>
      </c>
      <c r="AW137" s="85">
        <f t="shared" si="183"/>
        <v>-30.473177566266791</v>
      </c>
      <c r="AX137" s="85">
        <f t="shared" si="183"/>
        <v>0</v>
      </c>
      <c r="AY137" s="85">
        <f t="shared" si="183"/>
        <v>0</v>
      </c>
      <c r="AZ137" s="85">
        <f t="shared" si="183"/>
        <v>0</v>
      </c>
      <c r="BA137" s="85">
        <f t="shared" si="183"/>
        <v>0</v>
      </c>
      <c r="BB137" s="85">
        <f t="shared" si="183"/>
        <v>-33.644850363420062</v>
      </c>
    </row>
    <row r="138" spans="1:54" s="83" customFormat="1" x14ac:dyDescent="0.25">
      <c r="A138" s="179"/>
      <c r="B138" s="83" t="s">
        <v>356</v>
      </c>
      <c r="C138" s="84" t="s">
        <v>362</v>
      </c>
      <c r="D138" s="83">
        <v>0</v>
      </c>
      <c r="E138" s="85">
        <f>ABS('Annual Calculations'!$Q$19)*(1+$C$3)^E$168</f>
        <v>497.70585158547965</v>
      </c>
      <c r="F138" s="85">
        <f>ABS('Annual Calculations'!$Q$19)*(1+$C$3)^F$168</f>
        <v>507.65996861718924</v>
      </c>
      <c r="G138" s="85">
        <f>ABS('Annual Calculations'!$Q$19)*(1+$C$3)^G$168</f>
        <v>517.81316798953299</v>
      </c>
      <c r="H138" s="85">
        <f>ABS('Annual Calculations'!$Q$19)*(1+$C$3)^H$168</f>
        <v>528.16943134932365</v>
      </c>
      <c r="I138" s="85">
        <f>ABS('Annual Calculations'!$Q$19)*(1+$C$3)^I$168</f>
        <v>538.73281997631011</v>
      </c>
      <c r="J138" s="85">
        <f>ABS('Annual Calculations'!$Q$19)*(1+$C$3)^J$168</f>
        <v>549.5074763758364</v>
      </c>
      <c r="K138" s="85">
        <f>ABS('Annual Calculations'!$Q$19)*(1+$C$3)^K$168</f>
        <v>560.49762590335297</v>
      </c>
      <c r="L138" s="85">
        <f>ABS('Annual Calculations'!$Q$19)*(1+$C$3)^L$168</f>
        <v>571.70757842142007</v>
      </c>
      <c r="M138" s="85">
        <f>ABS('Annual Calculations'!$Q$19)*(1+$C$3)^M$168</f>
        <v>583.1417299898485</v>
      </c>
      <c r="N138" s="85">
        <f>ABS('Annual Calculations'!$Q$19)*(1+$C$3)^N$168</f>
        <v>594.80456458964545</v>
      </c>
      <c r="O138" s="85">
        <f>ABS('Annual Calculations'!$Q$19)*(1+$C$3)^O$168</f>
        <v>606.70065588143825</v>
      </c>
      <c r="P138" s="85">
        <f>ABS('Annual Calculations'!$Q$19)*(1+$C$3)^P$168</f>
        <v>618.83466899906716</v>
      </c>
      <c r="Q138" s="85">
        <f>ABS('Annual Calculations'!$Q$19)*(1+$C$3)^Q$168</f>
        <v>631.21136237904852</v>
      </c>
      <c r="R138" s="85">
        <f>ABS('Annual Calculations'!$Q$19)*(1+$C$3)^R$168</f>
        <v>643.83558962662948</v>
      </c>
      <c r="S138" s="85">
        <f>ABS('Annual Calculations'!$Q$19)*(1+$C$3)^S$168</f>
        <v>656.71230141916192</v>
      </c>
      <c r="T138" s="85">
        <f>ABS('Annual Calculations'!$Q$19)*(1+$C$3)^T$168</f>
        <v>669.84654744754528</v>
      </c>
      <c r="U138" s="85">
        <f>ABS('Annual Calculations'!$Q$19)*(1+$C$3)^U$168</f>
        <v>683.24347839649624</v>
      </c>
      <c r="V138" s="85">
        <f>ABS('Annual Calculations'!$Q$19)*(1+$C$3)^V$168</f>
        <v>696.90834796442607</v>
      </c>
      <c r="W138" s="85">
        <f>ABS('Annual Calculations'!$Q$19)*(1+$C$3)^W$168</f>
        <v>710.84651492371461</v>
      </c>
      <c r="X138" s="85">
        <f>ABS('Annual Calculations'!$Q$19)*(1+$C$3)^X$168</f>
        <v>725.06344522218899</v>
      </c>
      <c r="Y138" s="85">
        <f>ABS('Annual Calculations'!$Q$19)*(1+$C$3)^Y$168</f>
        <v>739.56471412663268</v>
      </c>
      <c r="Z138" s="85">
        <f>ABS('Annual Calculations'!$Q$19)*(1+$C$3)^Z$168</f>
        <v>754.35600840916538</v>
      </c>
      <c r="AA138" s="85">
        <f>ABS('Annual Calculations'!$Q$19)*(1+$C$3)^AA$168</f>
        <v>769.44312857734849</v>
      </c>
      <c r="AB138" s="85">
        <f>ABS('Annual Calculations'!$Q$19)*(1+$C$3)^AB$168</f>
        <v>784.83199114889555</v>
      </c>
      <c r="AC138" s="85">
        <f>ABS('Annual Calculations'!$Q$19)*(1+$C$3)^AC$168</f>
        <v>800.52863097187344</v>
      </c>
      <c r="AD138" s="85">
        <f>ABS('Annual Calculations'!$Q$19)*(1+$C$3)^AD$168</f>
        <v>816.53920359131098</v>
      </c>
      <c r="AE138" s="85">
        <f>ABS('Annual Calculations'!$Q$19)*(1+$C$3)^AE$168</f>
        <v>832.86998766313707</v>
      </c>
      <c r="AF138" s="85">
        <f>ABS('Annual Calculations'!$Q$19)*(1+$C$3)^AF$168</f>
        <v>849.52738741639996</v>
      </c>
      <c r="AG138" s="85">
        <f>ABS('Annual Calculations'!$Q$19)*(1+$C$3)^AG$168</f>
        <v>866.51793516472787</v>
      </c>
      <c r="AH138" s="85">
        <f>ABS('Annual Calculations'!$Q$19)*(1+$C$3)^AH$168</f>
        <v>883.84829386802244</v>
      </c>
      <c r="AI138" s="85">
        <f>ABS('Annual Calculations'!$Q$19)*(1+$C$3)^AI$168</f>
        <v>901.52525974538275</v>
      </c>
      <c r="AJ138" s="85">
        <f>ABS('Annual Calculations'!$Q$19)*(1+$C$3)^AJ$168</f>
        <v>919.5557649402906</v>
      </c>
      <c r="AK138" s="85">
        <f>ABS('Annual Calculations'!$Q$19)*(1+$C$3)^AK$168</f>
        <v>937.94688023909646</v>
      </c>
      <c r="AL138" s="85">
        <f>ABS('Annual Calculations'!$Q$19)*(1+$C$3)^AL$168</f>
        <v>956.70581784387832</v>
      </c>
      <c r="AM138" s="85">
        <f>ABS('Annual Calculations'!$Q$19)*(1+$C$3)^AM$168</f>
        <v>975.83993420075581</v>
      </c>
      <c r="AN138" s="85">
        <f>ABS('Annual Calculations'!$Q$19)*(1+$C$3)^AN$168</f>
        <v>995.35673288477085</v>
      </c>
      <c r="AO138" s="85">
        <f>ABS('Annual Calculations'!$Q$19)*(1+$C$3)^AO$168</f>
        <v>1015.2638675424664</v>
      </c>
      <c r="AP138" s="85">
        <f>ABS('Annual Calculations'!$Q$19)*(1+$C$3)^AP$168</f>
        <v>1035.569144893316</v>
      </c>
      <c r="AQ138" s="85">
        <f>ABS('Annual Calculations'!$Q$19)*(1+$C$3)^AQ$168</f>
        <v>1056.2805277911818</v>
      </c>
      <c r="AR138" s="85">
        <f>ABS('Annual Calculations'!$Q$19)*(1+$C$3)^AR$168</f>
        <v>1077.4061383470057</v>
      </c>
      <c r="AS138" s="85">
        <f>ABS('Annual Calculations'!$Q$19)*(1+$C$3)^AS$168</f>
        <v>1098.9542611139457</v>
      </c>
      <c r="AT138" s="85">
        <f>ABS('Annual Calculations'!$Q$19)*(1+$C$3)^AT$168</f>
        <v>1120.9333463362248</v>
      </c>
      <c r="AU138" s="85">
        <f>ABS('Annual Calculations'!$Q$19)*(1+$C$3)^AU$168</f>
        <v>1143.352013262949</v>
      </c>
      <c r="AV138" s="85">
        <f>ABS('Annual Calculations'!$Q$19)*(1+$C$3)^AV$168</f>
        <v>1166.2190535282082</v>
      </c>
      <c r="AW138" s="85">
        <f>ABS('Annual Calculations'!$Q$19)*(1+$C$3)^AW$168</f>
        <v>1189.5434345987724</v>
      </c>
      <c r="AX138" s="85">
        <f>ABS('Annual Calculations'!$Q$19)*(1+$C$3)^AX$168</f>
        <v>1213.3343032907478</v>
      </c>
      <c r="AY138" s="85">
        <f>ABS('Annual Calculations'!$Q$19)*(1+$C$3)^AY$168</f>
        <v>1237.6009893565624</v>
      </c>
      <c r="AZ138" s="85">
        <f>ABS('Annual Calculations'!$Q$19)*(1+$C$3)^AZ$168</f>
        <v>1262.353009143694</v>
      </c>
      <c r="BA138" s="85">
        <f>ABS('Annual Calculations'!$Q$19)*(1+$C$3)^BA$168</f>
        <v>1287.6000693265678</v>
      </c>
      <c r="BB138" s="85">
        <f>ABS('Annual Calculations'!$Q$19)*(1+$C$3)^BB$168</f>
        <v>1313.3520707130992</v>
      </c>
    </row>
    <row r="139" spans="1:54" s="83" customFormat="1" x14ac:dyDescent="0.25">
      <c r="A139" s="179"/>
      <c r="B139" s="83" t="s">
        <v>357</v>
      </c>
      <c r="C139" s="84" t="s">
        <v>362</v>
      </c>
      <c r="D139" s="83">
        <v>0</v>
      </c>
      <c r="E139" s="85">
        <f>-'Annual Calculations'!$L$33*(1+$C$3)^E$168</f>
        <v>590.80921666666677</v>
      </c>
      <c r="F139" s="85">
        <f>-'Annual Calculations'!$L$33*(1+$C$3)^F$168</f>
        <v>602.62540100000012</v>
      </c>
      <c r="G139" s="85">
        <f>-'Annual Calculations'!$L$33*(1+$C$3)^G$168</f>
        <v>614.67790902000013</v>
      </c>
      <c r="H139" s="85">
        <f>-'Annual Calculations'!$L$33*(1+$C$3)^H$168</f>
        <v>626.97146720040007</v>
      </c>
      <c r="I139" s="85">
        <f>-'Annual Calculations'!$L$33*(1+$C$3)^I$168</f>
        <v>639.51089654440818</v>
      </c>
      <c r="J139" s="85">
        <f>-'Annual Calculations'!$L$33*(1+$C$3)^J$168</f>
        <v>652.30111447529634</v>
      </c>
      <c r="K139" s="85">
        <f>-'Annual Calculations'!$L$33*(1+$C$3)^K$168</f>
        <v>665.34713676480214</v>
      </c>
      <c r="L139" s="85">
        <f>-'Annual Calculations'!$L$33*(1+$C$3)^L$168</f>
        <v>678.65407950009819</v>
      </c>
      <c r="M139" s="85">
        <f>-'Annual Calculations'!$L$33*(1+$C$3)^M$168</f>
        <v>692.22716109010014</v>
      </c>
      <c r="N139" s="85">
        <f>-'Annual Calculations'!$L$33*(1+$C$3)^N$168</f>
        <v>706.07170431190218</v>
      </c>
      <c r="O139" s="85">
        <f>-'Annual Calculations'!$L$33*(1+$C$3)^O$168</f>
        <v>720.19313839814015</v>
      </c>
      <c r="P139" s="85">
        <f>-'Annual Calculations'!$L$33*(1+$C$3)^P$168</f>
        <v>734.59700116610304</v>
      </c>
      <c r="Q139" s="85">
        <f>-'Annual Calculations'!$L$33*(1+$C$3)^Q$168</f>
        <v>749.28894118942503</v>
      </c>
      <c r="R139" s="85">
        <f>-'Annual Calculations'!$L$33*(1+$C$3)^R$168</f>
        <v>764.2747200132136</v>
      </c>
      <c r="S139" s="85">
        <f>-'Annual Calculations'!$L$33*(1+$C$3)^S$168</f>
        <v>779.56021441347775</v>
      </c>
      <c r="T139" s="85">
        <f>-'Annual Calculations'!$L$33*(1+$C$3)^T$168</f>
        <v>795.15141870174739</v>
      </c>
      <c r="U139" s="85">
        <f>-'Annual Calculations'!$L$33*(1+$C$3)^U$168</f>
        <v>811.05444707578238</v>
      </c>
      <c r="V139" s="85">
        <f>-'Annual Calculations'!$L$33*(1+$C$3)^V$168</f>
        <v>827.27553601729801</v>
      </c>
      <c r="W139" s="85">
        <f>-'Annual Calculations'!$L$33*(1+$C$3)^W$168</f>
        <v>843.82104673764388</v>
      </c>
      <c r="X139" s="85">
        <f>-'Annual Calculations'!$L$33*(1+$C$3)^X$168</f>
        <v>860.6974676723969</v>
      </c>
      <c r="Y139" s="85">
        <f>-'Annual Calculations'!$L$33*(1+$C$3)^Y$168</f>
        <v>877.91141702584468</v>
      </c>
      <c r="Z139" s="85">
        <f>-'Annual Calculations'!$L$33*(1+$C$3)^Z$168</f>
        <v>895.46964536636165</v>
      </c>
      <c r="AA139" s="85">
        <f>-'Annual Calculations'!$L$33*(1+$C$3)^AA$168</f>
        <v>913.37903827368871</v>
      </c>
      <c r="AB139" s="85">
        <f>-'Annual Calculations'!$L$33*(1+$C$3)^AB$168</f>
        <v>931.6466190391626</v>
      </c>
      <c r="AC139" s="85">
        <f>-'Annual Calculations'!$L$33*(1+$C$3)^AC$168</f>
        <v>950.27955141994585</v>
      </c>
      <c r="AD139" s="85">
        <f>-'Annual Calculations'!$L$33*(1+$C$3)^AD$168</f>
        <v>969.2851424483448</v>
      </c>
      <c r="AE139" s="85">
        <f>-'Annual Calculations'!$L$33*(1+$C$3)^AE$168</f>
        <v>988.67084529731153</v>
      </c>
      <c r="AF139" s="85">
        <f>-'Annual Calculations'!$L$33*(1+$C$3)^AF$168</f>
        <v>1008.4442622032579</v>
      </c>
      <c r="AG139" s="85">
        <f>-'Annual Calculations'!$L$33*(1+$C$3)^AG$168</f>
        <v>1028.6131474473229</v>
      </c>
      <c r="AH139" s="85">
        <f>-'Annual Calculations'!$L$33*(1+$C$3)^AH$168</f>
        <v>1049.1854103962696</v>
      </c>
      <c r="AI139" s="85">
        <f>-'Annual Calculations'!$L$33*(1+$C$3)^AI$168</f>
        <v>1070.1691186041946</v>
      </c>
      <c r="AJ139" s="85">
        <f>-'Annual Calculations'!$L$33*(1+$C$3)^AJ$168</f>
        <v>1091.5725009762789</v>
      </c>
      <c r="AK139" s="85">
        <f>-'Annual Calculations'!$L$33*(1+$C$3)^AK$168</f>
        <v>1113.4039509958045</v>
      </c>
      <c r="AL139" s="85">
        <f>-'Annual Calculations'!$L$33*(1+$C$3)^AL$168</f>
        <v>1135.6720300157203</v>
      </c>
      <c r="AM139" s="85">
        <f>-'Annual Calculations'!$L$33*(1+$C$3)^AM$168</f>
        <v>1158.3854706160348</v>
      </c>
      <c r="AN139" s="85">
        <f>-'Annual Calculations'!$L$33*(1+$C$3)^AN$168</f>
        <v>1181.5531800283554</v>
      </c>
      <c r="AO139" s="85">
        <f>-'Annual Calculations'!$L$33*(1+$C$3)^AO$168</f>
        <v>1205.1842436289228</v>
      </c>
      <c r="AP139" s="85">
        <f>-'Annual Calculations'!$L$33*(1+$C$3)^AP$168</f>
        <v>1229.2879285015013</v>
      </c>
      <c r="AQ139" s="85">
        <f>-'Annual Calculations'!$L$33*(1+$C$3)^AQ$168</f>
        <v>1253.8736870715309</v>
      </c>
      <c r="AR139" s="85">
        <f>-'Annual Calculations'!$L$33*(1+$C$3)^AR$168</f>
        <v>1278.9511608129617</v>
      </c>
      <c r="AS139" s="85">
        <f>-'Annual Calculations'!$L$33*(1+$C$3)^AS$168</f>
        <v>1304.5301840292209</v>
      </c>
      <c r="AT139" s="85">
        <f>-'Annual Calculations'!$L$33*(1+$C$3)^AT$168</f>
        <v>1330.6207877098054</v>
      </c>
      <c r="AU139" s="85">
        <f>-'Annual Calculations'!$L$33*(1+$C$3)^AU$168</f>
        <v>1357.2332034640015</v>
      </c>
      <c r="AV139" s="85">
        <f>-'Annual Calculations'!$L$33*(1+$C$3)^AV$168</f>
        <v>1384.3778675332817</v>
      </c>
      <c r="AW139" s="85">
        <f>-'Annual Calculations'!$L$33*(1+$C$3)^AW$168</f>
        <v>1412.0654248839471</v>
      </c>
      <c r="AX139" s="85">
        <f>-'Annual Calculations'!$L$33*(1+$C$3)^AX$168</f>
        <v>1440.3067333816261</v>
      </c>
      <c r="AY139" s="85">
        <f>-'Annual Calculations'!$L$33*(1+$C$3)^AY$168</f>
        <v>1469.1128680492582</v>
      </c>
      <c r="AZ139" s="85">
        <f>-'Annual Calculations'!$L$33*(1+$C$3)^AZ$168</f>
        <v>1498.4951254102436</v>
      </c>
      <c r="BA139" s="85">
        <f>-'Annual Calculations'!$L$33*(1+$C$3)^BA$168</f>
        <v>1528.4650279184486</v>
      </c>
      <c r="BB139" s="85">
        <f>-'Annual Calculations'!$L$33*(1+$C$3)^BB$168</f>
        <v>1559.0343284768176</v>
      </c>
    </row>
    <row r="140" spans="1:54" s="83" customFormat="1" x14ac:dyDescent="0.25">
      <c r="A140" s="179"/>
      <c r="B140" s="83" t="s">
        <v>358</v>
      </c>
      <c r="C140" s="84" t="s">
        <v>362</v>
      </c>
      <c r="D140" s="85">
        <f>SUM(D137:D139)</f>
        <v>-7291.8516</v>
      </c>
      <c r="E140" s="85">
        <f>SUM(E137:E139)</f>
        <v>1088.5150682521464</v>
      </c>
      <c r="F140" s="85">
        <f t="shared" ref="F140:BB140" si="184">SUM(F137:F139)</f>
        <v>1110.2853696171894</v>
      </c>
      <c r="G140" s="85">
        <f t="shared" si="184"/>
        <v>1132.491077009533</v>
      </c>
      <c r="H140" s="85">
        <f t="shared" si="184"/>
        <v>1155.1408985497237</v>
      </c>
      <c r="I140" s="85">
        <f t="shared" si="184"/>
        <v>1164.4427064807182</v>
      </c>
      <c r="J140" s="85">
        <f t="shared" si="184"/>
        <v>1201.8085908511327</v>
      </c>
      <c r="K140" s="85">
        <f t="shared" si="184"/>
        <v>1225.844762668155</v>
      </c>
      <c r="L140" s="85">
        <f t="shared" si="184"/>
        <v>1250.3616579215181</v>
      </c>
      <c r="M140" s="85">
        <f t="shared" si="184"/>
        <v>1275.3688910799488</v>
      </c>
      <c r="N140" s="85">
        <f t="shared" si="184"/>
        <v>-5979.0979821682322</v>
      </c>
      <c r="O140" s="85">
        <f t="shared" si="184"/>
        <v>1326.8937942795783</v>
      </c>
      <c r="P140" s="85">
        <f t="shared" si="184"/>
        <v>1353.4316701651701</v>
      </c>
      <c r="Q140" s="85">
        <f t="shared" si="184"/>
        <v>1380.5003035684736</v>
      </c>
      <c r="R140" s="85">
        <f t="shared" si="184"/>
        <v>1408.1103096398431</v>
      </c>
      <c r="S140" s="85">
        <f t="shared" si="184"/>
        <v>1419.449161603588</v>
      </c>
      <c r="T140" s="85">
        <f t="shared" si="184"/>
        <v>963.65662665020113</v>
      </c>
      <c r="U140" s="85">
        <f t="shared" si="184"/>
        <v>1494.2979254722786</v>
      </c>
      <c r="V140" s="85">
        <f t="shared" si="184"/>
        <v>1524.1838839817242</v>
      </c>
      <c r="W140" s="85">
        <f t="shared" si="184"/>
        <v>1554.6675616613584</v>
      </c>
      <c r="X140" s="85">
        <f t="shared" si="184"/>
        <v>-7288.4870768649853</v>
      </c>
      <c r="Y140" s="85">
        <f t="shared" si="184"/>
        <v>1617.4761311524774</v>
      </c>
      <c r="Z140" s="85">
        <f t="shared" si="184"/>
        <v>1649.8256537755269</v>
      </c>
      <c r="AA140" s="85">
        <f t="shared" si="184"/>
        <v>1682.8221668510373</v>
      </c>
      <c r="AB140" s="85">
        <f t="shared" si="184"/>
        <v>1716.4786101880582</v>
      </c>
      <c r="AC140" s="85">
        <f t="shared" si="184"/>
        <v>-4920.8972822448113</v>
      </c>
      <c r="AD140" s="85">
        <f t="shared" si="184"/>
        <v>1785.8243460396557</v>
      </c>
      <c r="AE140" s="85">
        <f t="shared" si="184"/>
        <v>1821.5408329604486</v>
      </c>
      <c r="AF140" s="85">
        <f t="shared" si="184"/>
        <v>1857.9716496196579</v>
      </c>
      <c r="AG140" s="85">
        <f t="shared" si="184"/>
        <v>1895.1310826120507</v>
      </c>
      <c r="AH140" s="85">
        <f t="shared" si="184"/>
        <v>-6439.2869383627904</v>
      </c>
      <c r="AI140" s="85">
        <f t="shared" si="184"/>
        <v>1971.6943783495774</v>
      </c>
      <c r="AJ140" s="85">
        <f t="shared" si="184"/>
        <v>1322.8940416812372</v>
      </c>
      <c r="AK140" s="85">
        <f t="shared" si="184"/>
        <v>2051.3508312349009</v>
      </c>
      <c r="AL140" s="85">
        <f t="shared" si="184"/>
        <v>2092.3778478595987</v>
      </c>
      <c r="AM140" s="85">
        <f t="shared" si="184"/>
        <v>2109.2267854085098</v>
      </c>
      <c r="AN140" s="85">
        <f t="shared" si="184"/>
        <v>2176.9099129131264</v>
      </c>
      <c r="AO140" s="85">
        <f t="shared" si="184"/>
        <v>2220.4481111713894</v>
      </c>
      <c r="AP140" s="85">
        <f t="shared" si="184"/>
        <v>2264.8570733948172</v>
      </c>
      <c r="AQ140" s="85">
        <f t="shared" si="184"/>
        <v>2310.1542148627127</v>
      </c>
      <c r="AR140" s="85">
        <f t="shared" si="184"/>
        <v>-20214.476962852532</v>
      </c>
      <c r="AS140" s="85">
        <f t="shared" si="184"/>
        <v>2403.4844451431663</v>
      </c>
      <c r="AT140" s="85">
        <f t="shared" si="184"/>
        <v>2451.5541340460304</v>
      </c>
      <c r="AU140" s="85">
        <f t="shared" si="184"/>
        <v>2500.5852167269504</v>
      </c>
      <c r="AV140" s="85">
        <f t="shared" si="184"/>
        <v>2550.5969210614899</v>
      </c>
      <c r="AW140" s="85">
        <f t="shared" si="184"/>
        <v>2571.135681916453</v>
      </c>
      <c r="AX140" s="85">
        <f t="shared" si="184"/>
        <v>2653.641036672374</v>
      </c>
      <c r="AY140" s="85">
        <f t="shared" si="184"/>
        <v>2706.7138574058208</v>
      </c>
      <c r="AZ140" s="85">
        <f t="shared" si="184"/>
        <v>2760.8481345539376</v>
      </c>
      <c r="BA140" s="85">
        <f t="shared" si="184"/>
        <v>2816.0650972450167</v>
      </c>
      <c r="BB140" s="85">
        <f t="shared" si="184"/>
        <v>2838.7415488264969</v>
      </c>
    </row>
    <row r="141" spans="1:54" s="83" customFormat="1" x14ac:dyDescent="0.25">
      <c r="A141" s="179"/>
      <c r="B141" s="83" t="s">
        <v>359</v>
      </c>
      <c r="C141" s="84"/>
      <c r="D141" s="83">
        <f t="shared" ref="D141:AI141" si="185">(1+$C$2)^D$168</f>
        <v>1</v>
      </c>
      <c r="E141" s="86">
        <f t="shared" si="185"/>
        <v>1.03</v>
      </c>
      <c r="F141" s="86">
        <f t="shared" si="185"/>
        <v>1.0609</v>
      </c>
      <c r="G141" s="86">
        <f t="shared" si="185"/>
        <v>1.092727</v>
      </c>
      <c r="H141" s="86">
        <f t="shared" si="185"/>
        <v>1.1255088099999999</v>
      </c>
      <c r="I141" s="86">
        <f t="shared" si="185"/>
        <v>1.1592740742999998</v>
      </c>
      <c r="J141" s="86">
        <f t="shared" si="185"/>
        <v>1.1940522965289999</v>
      </c>
      <c r="K141" s="86">
        <f t="shared" si="185"/>
        <v>1.22987386542487</v>
      </c>
      <c r="L141" s="86">
        <f t="shared" si="185"/>
        <v>1.2667700813876159</v>
      </c>
      <c r="M141" s="86">
        <f t="shared" si="185"/>
        <v>1.3047731838292445</v>
      </c>
      <c r="N141" s="86">
        <f t="shared" si="185"/>
        <v>1.3439163793441218</v>
      </c>
      <c r="O141" s="86">
        <f t="shared" si="185"/>
        <v>1.3842338707244455</v>
      </c>
      <c r="P141" s="86">
        <f t="shared" si="185"/>
        <v>1.4257608868461786</v>
      </c>
      <c r="Q141" s="86">
        <f t="shared" si="185"/>
        <v>1.4685337134515639</v>
      </c>
      <c r="R141" s="86">
        <f t="shared" si="185"/>
        <v>1.512589724855111</v>
      </c>
      <c r="S141" s="86">
        <f t="shared" si="185"/>
        <v>1.5579674166007644</v>
      </c>
      <c r="T141" s="86">
        <f t="shared" si="185"/>
        <v>1.6047064390987871</v>
      </c>
      <c r="U141" s="86">
        <f t="shared" si="185"/>
        <v>1.6528476322717507</v>
      </c>
      <c r="V141" s="86">
        <f t="shared" si="185"/>
        <v>1.7024330612399032</v>
      </c>
      <c r="W141" s="86">
        <f t="shared" si="185"/>
        <v>1.7535060530771003</v>
      </c>
      <c r="X141" s="86">
        <f t="shared" si="185"/>
        <v>1.8061112346694133</v>
      </c>
      <c r="Y141" s="86">
        <f t="shared" si="185"/>
        <v>1.8602945717094954</v>
      </c>
      <c r="Z141" s="86">
        <f t="shared" si="185"/>
        <v>1.9161034088607805</v>
      </c>
      <c r="AA141" s="86">
        <f t="shared" si="185"/>
        <v>1.973586511126604</v>
      </c>
      <c r="AB141" s="86">
        <f t="shared" si="185"/>
        <v>2.0327941064604018</v>
      </c>
      <c r="AC141" s="86">
        <f t="shared" si="185"/>
        <v>2.0937779296542138</v>
      </c>
      <c r="AD141" s="86">
        <f t="shared" si="185"/>
        <v>2.1565912675438406</v>
      </c>
      <c r="AE141" s="86">
        <f t="shared" si="185"/>
        <v>2.2212890055701555</v>
      </c>
      <c r="AF141" s="86">
        <f t="shared" si="185"/>
        <v>2.2879276757372602</v>
      </c>
      <c r="AG141" s="86">
        <f t="shared" si="185"/>
        <v>2.3565655060093778</v>
      </c>
      <c r="AH141" s="86">
        <f t="shared" si="185"/>
        <v>2.4272624711896591</v>
      </c>
      <c r="AI141" s="86">
        <f t="shared" si="185"/>
        <v>2.5000803453253493</v>
      </c>
      <c r="AJ141" s="86">
        <f t="shared" ref="AJ141:BB141" si="186">(1+$C$2)^AJ$168</f>
        <v>2.5750827556851092</v>
      </c>
      <c r="AK141" s="86">
        <f t="shared" si="186"/>
        <v>2.6523352383556626</v>
      </c>
      <c r="AL141" s="86">
        <f t="shared" si="186"/>
        <v>2.7319052955063321</v>
      </c>
      <c r="AM141" s="86">
        <f t="shared" si="186"/>
        <v>2.8138624543715225</v>
      </c>
      <c r="AN141" s="86">
        <f t="shared" si="186"/>
        <v>2.898278328002668</v>
      </c>
      <c r="AO141" s="86">
        <f t="shared" si="186"/>
        <v>2.9852266778427476</v>
      </c>
      <c r="AP141" s="86">
        <f t="shared" si="186"/>
        <v>3.0747834781780301</v>
      </c>
      <c r="AQ141" s="86">
        <f t="shared" si="186"/>
        <v>3.1670269825233714</v>
      </c>
      <c r="AR141" s="86">
        <f t="shared" si="186"/>
        <v>3.262037791999072</v>
      </c>
      <c r="AS141" s="86">
        <f t="shared" si="186"/>
        <v>3.3598989257590444</v>
      </c>
      <c r="AT141" s="86">
        <f t="shared" si="186"/>
        <v>3.4606958935318159</v>
      </c>
      <c r="AU141" s="86">
        <f t="shared" si="186"/>
        <v>3.5645167703377703</v>
      </c>
      <c r="AV141" s="86">
        <f t="shared" si="186"/>
        <v>3.6714522734479029</v>
      </c>
      <c r="AW141" s="86">
        <f t="shared" si="186"/>
        <v>3.78159584165134</v>
      </c>
      <c r="AX141" s="86">
        <f t="shared" si="186"/>
        <v>3.8950437169008802</v>
      </c>
      <c r="AY141" s="86">
        <f t="shared" si="186"/>
        <v>4.0118950284079071</v>
      </c>
      <c r="AZ141" s="86">
        <f t="shared" si="186"/>
        <v>4.1322518792601439</v>
      </c>
      <c r="BA141" s="86">
        <f t="shared" si="186"/>
        <v>4.2562194356379477</v>
      </c>
      <c r="BB141" s="86">
        <f t="shared" si="186"/>
        <v>4.3839060187070862</v>
      </c>
    </row>
    <row r="142" spans="1:54" s="83" customFormat="1" x14ac:dyDescent="0.25">
      <c r="A142" s="179"/>
      <c r="B142" s="83" t="s">
        <v>360</v>
      </c>
      <c r="C142" s="84" t="s">
        <v>362</v>
      </c>
      <c r="D142" s="83">
        <f>D140/D141</f>
        <v>-7291.8516</v>
      </c>
      <c r="E142" s="85">
        <f>E140/E141</f>
        <v>1056.8107458758702</v>
      </c>
      <c r="F142" s="85">
        <f>F140/F141</f>
        <v>1046.5504473722212</v>
      </c>
      <c r="G142" s="85">
        <f t="shared" ref="G142:BB142" si="187">G140/G141</f>
        <v>1036.3897634171508</v>
      </c>
      <c r="H142" s="85">
        <f t="shared" si="187"/>
        <v>1026.3277268791203</v>
      </c>
      <c r="I142" s="85">
        <f t="shared" si="187"/>
        <v>1004.4585075223383</v>
      </c>
      <c r="J142" s="85">
        <f t="shared" si="187"/>
        <v>1006.495774384991</v>
      </c>
      <c r="K142" s="85">
        <f t="shared" si="187"/>
        <v>996.72397075018489</v>
      </c>
      <c r="L142" s="85">
        <f t="shared" si="187"/>
        <v>987.04703899532888</v>
      </c>
      <c r="M142" s="85">
        <f t="shared" si="187"/>
        <v>977.46405803420942</v>
      </c>
      <c r="N142" s="85">
        <f t="shared" si="187"/>
        <v>-4449.0104251026696</v>
      </c>
      <c r="O142" s="85">
        <f t="shared" si="187"/>
        <v>958.57630877442841</v>
      </c>
      <c r="P142" s="85">
        <f t="shared" si="187"/>
        <v>949.26974266982268</v>
      </c>
      <c r="Q142" s="85">
        <f t="shared" si="187"/>
        <v>940.05353157594095</v>
      </c>
      <c r="R142" s="85">
        <f t="shared" si="187"/>
        <v>930.92679825966957</v>
      </c>
      <c r="S142" s="85">
        <f t="shared" si="187"/>
        <v>911.0904030975172</v>
      </c>
      <c r="T142" s="85">
        <f t="shared" si="187"/>
        <v>600.51895048878634</v>
      </c>
      <c r="U142" s="85">
        <f t="shared" si="187"/>
        <v>904.07481990245287</v>
      </c>
      <c r="V142" s="85">
        <f t="shared" si="187"/>
        <v>895.29739446650672</v>
      </c>
      <c r="W142" s="85">
        <f t="shared" si="187"/>
        <v>886.60518675323954</v>
      </c>
      <c r="X142" s="85">
        <f t="shared" si="187"/>
        <v>-4035.4585791605768</v>
      </c>
      <c r="Y142" s="85">
        <f t="shared" si="187"/>
        <v>869.47312310120708</v>
      </c>
      <c r="Z142" s="85">
        <f t="shared" si="187"/>
        <v>861.03163646915641</v>
      </c>
      <c r="AA142" s="85">
        <f t="shared" si="187"/>
        <v>852.67210601799945</v>
      </c>
      <c r="AB142" s="85">
        <f t="shared" si="187"/>
        <v>844.3937360566598</v>
      </c>
      <c r="AC142" s="85">
        <f t="shared" si="187"/>
        <v>-2350.2479477646871</v>
      </c>
      <c r="AD142" s="85">
        <f t="shared" si="187"/>
        <v>828.07733338990363</v>
      </c>
      <c r="AE142" s="85">
        <f t="shared" si="187"/>
        <v>820.03774762883654</v>
      </c>
      <c r="AF142" s="85">
        <f t="shared" si="187"/>
        <v>812.07621609845967</v>
      </c>
      <c r="AG142" s="85">
        <f t="shared" si="187"/>
        <v>804.19198099070763</v>
      </c>
      <c r="AH142" s="85">
        <f t="shared" si="187"/>
        <v>-2652.9009593291912</v>
      </c>
      <c r="AI142" s="85">
        <f t="shared" si="187"/>
        <v>788.65240552618718</v>
      </c>
      <c r="AJ142" s="85">
        <f t="shared" si="187"/>
        <v>513.7287486239552</v>
      </c>
      <c r="AK142" s="85">
        <f t="shared" si="187"/>
        <v>773.41310463704917</v>
      </c>
      <c r="AL142" s="85">
        <f t="shared" si="187"/>
        <v>765.90423954348557</v>
      </c>
      <c r="AM142" s="85">
        <f t="shared" si="187"/>
        <v>749.5841817469385</v>
      </c>
      <c r="AN142" s="85">
        <f t="shared" si="187"/>
        <v>751.10450638235682</v>
      </c>
      <c r="AO142" s="85">
        <f t="shared" si="187"/>
        <v>743.81222962136337</v>
      </c>
      <c r="AP142" s="85">
        <f t="shared" si="187"/>
        <v>736.59075166387436</v>
      </c>
      <c r="AQ142" s="85">
        <f t="shared" si="187"/>
        <v>729.43938514286549</v>
      </c>
      <c r="AR142" s="85">
        <f t="shared" si="187"/>
        <v>-6196.8861956269702</v>
      </c>
      <c r="AS142" s="85">
        <f t="shared" si="187"/>
        <v>715.34427024473314</v>
      </c>
      <c r="AT142" s="85">
        <f t="shared" si="187"/>
        <v>708.39918024235726</v>
      </c>
      <c r="AU142" s="85">
        <f t="shared" si="187"/>
        <v>701.52151829825652</v>
      </c>
      <c r="AV142" s="85">
        <f t="shared" si="187"/>
        <v>694.7106297710892</v>
      </c>
      <c r="AW142" s="85">
        <f t="shared" si="187"/>
        <v>679.90758123789726</v>
      </c>
      <c r="AX142" s="85">
        <f t="shared" si="187"/>
        <v>681.28658611918297</v>
      </c>
      <c r="AY142" s="85">
        <f t="shared" si="187"/>
        <v>674.67215324423921</v>
      </c>
      <c r="AZ142" s="85">
        <f t="shared" si="187"/>
        <v>668.12193816419813</v>
      </c>
      <c r="BA142" s="85">
        <f t="shared" si="187"/>
        <v>661.63531740532267</v>
      </c>
      <c r="BB142" s="85">
        <f t="shared" si="187"/>
        <v>647.53704498065554</v>
      </c>
    </row>
    <row r="143" spans="1:54" s="83" customFormat="1" x14ac:dyDescent="0.25">
      <c r="A143" s="179"/>
      <c r="B143" s="83" t="s">
        <v>645</v>
      </c>
      <c r="C143" s="84" t="s">
        <v>362</v>
      </c>
      <c r="D143" s="83">
        <f>D142</f>
        <v>-7291.8516</v>
      </c>
      <c r="E143" s="85">
        <f>E142+D143</f>
        <v>-6235.0408541241295</v>
      </c>
      <c r="F143" s="85">
        <f t="shared" ref="F143:BB143" si="188">F142+E143</f>
        <v>-5188.4904067519083</v>
      </c>
      <c r="G143" s="85">
        <f t="shared" si="188"/>
        <v>-4152.1006433347575</v>
      </c>
      <c r="H143" s="85">
        <f t="shared" si="188"/>
        <v>-3125.7729164556372</v>
      </c>
      <c r="I143" s="85">
        <f t="shared" si="188"/>
        <v>-2121.3144089332991</v>
      </c>
      <c r="J143" s="85">
        <f t="shared" si="188"/>
        <v>-1114.8186345483082</v>
      </c>
      <c r="K143" s="85">
        <f t="shared" si="188"/>
        <v>-118.09466379812329</v>
      </c>
      <c r="L143" s="85">
        <f t="shared" si="188"/>
        <v>868.95237519720558</v>
      </c>
      <c r="M143" s="85">
        <f t="shared" si="188"/>
        <v>1846.4164332314149</v>
      </c>
      <c r="N143" s="85">
        <f t="shared" si="188"/>
        <v>-2602.5939918712547</v>
      </c>
      <c r="O143" s="85">
        <f t="shared" si="188"/>
        <v>-1644.0176830968262</v>
      </c>
      <c r="P143" s="85">
        <f t="shared" si="188"/>
        <v>-694.74794042700353</v>
      </c>
      <c r="Q143" s="85">
        <f t="shared" si="188"/>
        <v>245.30559114893742</v>
      </c>
      <c r="R143" s="85">
        <f t="shared" si="188"/>
        <v>1176.2323894086071</v>
      </c>
      <c r="S143" s="85">
        <f t="shared" si="188"/>
        <v>2087.3227925061242</v>
      </c>
      <c r="T143" s="85">
        <f t="shared" si="188"/>
        <v>2687.8417429949104</v>
      </c>
      <c r="U143" s="85">
        <f t="shared" si="188"/>
        <v>3591.9165628973633</v>
      </c>
      <c r="V143" s="85">
        <f t="shared" si="188"/>
        <v>4487.2139573638697</v>
      </c>
      <c r="W143" s="85">
        <f t="shared" si="188"/>
        <v>5373.8191441171093</v>
      </c>
      <c r="X143" s="85">
        <f t="shared" si="188"/>
        <v>1338.3605649565325</v>
      </c>
      <c r="Y143" s="85">
        <f t="shared" si="188"/>
        <v>2207.8336880577394</v>
      </c>
      <c r="Z143" s="85">
        <f t="shared" si="188"/>
        <v>3068.8653245268961</v>
      </c>
      <c r="AA143" s="85">
        <f t="shared" si="188"/>
        <v>3921.5374305448954</v>
      </c>
      <c r="AB143" s="85">
        <f t="shared" si="188"/>
        <v>4765.9311666015556</v>
      </c>
      <c r="AC143" s="85">
        <f t="shared" si="188"/>
        <v>2415.6832188368685</v>
      </c>
      <c r="AD143" s="85">
        <f t="shared" si="188"/>
        <v>3243.7605522267722</v>
      </c>
      <c r="AE143" s="85">
        <f t="shared" si="188"/>
        <v>4063.798299855609</v>
      </c>
      <c r="AF143" s="85">
        <f t="shared" si="188"/>
        <v>4875.8745159540686</v>
      </c>
      <c r="AG143" s="85">
        <f t="shared" si="188"/>
        <v>5680.0664969447762</v>
      </c>
      <c r="AH143" s="85">
        <f t="shared" si="188"/>
        <v>3027.165537615585</v>
      </c>
      <c r="AI143" s="85">
        <f t="shared" si="188"/>
        <v>3815.817943141772</v>
      </c>
      <c r="AJ143" s="85">
        <f t="shared" si="188"/>
        <v>4329.5466917657268</v>
      </c>
      <c r="AK143" s="85">
        <f t="shared" si="188"/>
        <v>5102.9597964027762</v>
      </c>
      <c r="AL143" s="85">
        <f t="shared" si="188"/>
        <v>5868.8640359462615</v>
      </c>
      <c r="AM143" s="85">
        <f t="shared" si="188"/>
        <v>6618.4482176931997</v>
      </c>
      <c r="AN143" s="85">
        <f t="shared" si="188"/>
        <v>7369.5527240755564</v>
      </c>
      <c r="AO143" s="85">
        <f t="shared" si="188"/>
        <v>8113.3649536969197</v>
      </c>
      <c r="AP143" s="85">
        <f t="shared" si="188"/>
        <v>8849.9557053607932</v>
      </c>
      <c r="AQ143" s="85">
        <f t="shared" si="188"/>
        <v>9579.3950905036581</v>
      </c>
      <c r="AR143" s="85">
        <f t="shared" si="188"/>
        <v>3382.5088948766879</v>
      </c>
      <c r="AS143" s="85">
        <f t="shared" si="188"/>
        <v>4097.8531651214207</v>
      </c>
      <c r="AT143" s="85">
        <f t="shared" si="188"/>
        <v>4806.2523453637777</v>
      </c>
      <c r="AU143" s="85">
        <f t="shared" si="188"/>
        <v>5507.7738636620343</v>
      </c>
      <c r="AV143" s="85">
        <f t="shared" si="188"/>
        <v>6202.4844934331231</v>
      </c>
      <c r="AW143" s="85">
        <f t="shared" si="188"/>
        <v>6882.3920746710201</v>
      </c>
      <c r="AX143" s="85">
        <f t="shared" si="188"/>
        <v>7563.6786607902031</v>
      </c>
      <c r="AY143" s="85">
        <f t="shared" si="188"/>
        <v>8238.350814034442</v>
      </c>
      <c r="AZ143" s="85">
        <f t="shared" si="188"/>
        <v>8906.4727521986406</v>
      </c>
      <c r="BA143" s="85">
        <f t="shared" si="188"/>
        <v>9568.1080696039626</v>
      </c>
      <c r="BB143" s="85">
        <f t="shared" si="188"/>
        <v>10215.645114584619</v>
      </c>
    </row>
    <row r="144" spans="1:54" s="83" customFormat="1" x14ac:dyDescent="0.25">
      <c r="B144" s="87" t="s">
        <v>361</v>
      </c>
      <c r="C144" s="88" t="s">
        <v>362</v>
      </c>
      <c r="D144" s="91">
        <f>SUM(D142:BB142)</f>
        <v>10215.645114584619</v>
      </c>
    </row>
    <row r="145" spans="1:54" s="83" customFormat="1" x14ac:dyDescent="0.25">
      <c r="C145" s="132"/>
      <c r="E145" s="133"/>
    </row>
    <row r="146" spans="1:54" s="83" customFormat="1" x14ac:dyDescent="0.25">
      <c r="B146" s="83" t="s">
        <v>646</v>
      </c>
      <c r="C146" s="132" t="s">
        <v>362</v>
      </c>
      <c r="D146" s="83">
        <f>D143*'General variables'!$B$11</f>
        <v>-58334.8128</v>
      </c>
      <c r="E146" s="83">
        <f>E143*'General variables'!$B$11</f>
        <v>-49880.326832993036</v>
      </c>
      <c r="F146" s="83">
        <f>F143*'General variables'!$B$11</f>
        <v>-41507.923254015266</v>
      </c>
      <c r="G146" s="83">
        <f>G143*'General variables'!$B$11</f>
        <v>-33216.80514667806</v>
      </c>
      <c r="H146" s="83">
        <f>H143*'General variables'!$B$11</f>
        <v>-25006.183331645097</v>
      </c>
      <c r="I146" s="83">
        <f>I143*'General variables'!$B$11</f>
        <v>-16970.515271466393</v>
      </c>
      <c r="J146" s="83">
        <f>J143*'General variables'!$B$11</f>
        <v>-8918.5490763864655</v>
      </c>
      <c r="K146" s="83">
        <f>K143*'General variables'!$B$11</f>
        <v>-944.75731038498634</v>
      </c>
      <c r="L146" s="83">
        <f>L143*'General variables'!$B$11</f>
        <v>6951.6190015776447</v>
      </c>
      <c r="M146" s="83">
        <f>M143*'General variables'!$B$11</f>
        <v>14771.331465851319</v>
      </c>
      <c r="N146" s="83">
        <f>N143*'General variables'!$B$11</f>
        <v>-20820.751934970038</v>
      </c>
      <c r="O146" s="83">
        <f>O143*'General variables'!$B$11</f>
        <v>-13152.14146477461</v>
      </c>
      <c r="P146" s="83">
        <f>P143*'General variables'!$B$11</f>
        <v>-5557.9835234160282</v>
      </c>
      <c r="Q146" s="83">
        <f>Q143*'General variables'!$B$11</f>
        <v>1962.4447291914994</v>
      </c>
      <c r="R146" s="83">
        <f>R143*'General variables'!$B$11</f>
        <v>9409.8591152688568</v>
      </c>
      <c r="S146" s="83">
        <f>S143*'General variables'!$B$11</f>
        <v>16698.582340048994</v>
      </c>
      <c r="T146" s="83">
        <f>T143*'General variables'!$B$11</f>
        <v>21502.733943959283</v>
      </c>
      <c r="U146" s="83">
        <f>U143*'General variables'!$B$11</f>
        <v>28735.332503178906</v>
      </c>
      <c r="V146" s="83">
        <f>V143*'General variables'!$B$11</f>
        <v>35897.711658910957</v>
      </c>
      <c r="W146" s="83">
        <f>W143*'General variables'!$B$11</f>
        <v>42990.553152936875</v>
      </c>
      <c r="X146" s="83">
        <f>X143*'General variables'!$B$11</f>
        <v>10706.88451965226</v>
      </c>
      <c r="Y146" s="83">
        <f>Y143*'General variables'!$B$11</f>
        <v>17662.669504461915</v>
      </c>
      <c r="Z146" s="83">
        <f>Z143*'General variables'!$B$11</f>
        <v>24550.922596215169</v>
      </c>
      <c r="AA146" s="83">
        <f>AA143*'General variables'!$B$11</f>
        <v>31372.299444359163</v>
      </c>
      <c r="AB146" s="83">
        <f>AB143*'General variables'!$B$11</f>
        <v>38127.449332812444</v>
      </c>
      <c r="AC146" s="83">
        <f>AC143*'General variables'!$B$11</f>
        <v>19325.465750694948</v>
      </c>
      <c r="AD146" s="83">
        <f>AD143*'General variables'!$B$11</f>
        <v>25950.084417814178</v>
      </c>
      <c r="AE146" s="83">
        <f>AE143*'General variables'!$B$11</f>
        <v>32510.386398844872</v>
      </c>
      <c r="AF146" s="83">
        <f>AF143*'General variables'!$B$11</f>
        <v>39006.996127632548</v>
      </c>
      <c r="AG146" s="83">
        <f>AG143*'General variables'!$B$11</f>
        <v>45440.53197555821</v>
      </c>
      <c r="AH146" s="83">
        <f>AH143*'General variables'!$B$11</f>
        <v>24217.32430092468</v>
      </c>
      <c r="AI146" s="83">
        <f>AI143*'General variables'!$B$11</f>
        <v>30526.543545134176</v>
      </c>
      <c r="AJ146" s="83">
        <f>AJ143*'General variables'!$B$11</f>
        <v>34636.373534125814</v>
      </c>
      <c r="AK146" s="83">
        <f>AK143*'General variables'!$B$11</f>
        <v>40823.67837122221</v>
      </c>
      <c r="AL146" s="83">
        <f>AL143*'General variables'!$B$11</f>
        <v>46950.912287570092</v>
      </c>
      <c r="AM146" s="83">
        <f>AM143*'General variables'!$B$11</f>
        <v>52947.585741545598</v>
      </c>
      <c r="AN146" s="83">
        <f>AN143*'General variables'!$B$11</f>
        <v>58956.421792604451</v>
      </c>
      <c r="AO146" s="83">
        <f>AO143*'General variables'!$B$11</f>
        <v>64906.919629575357</v>
      </c>
      <c r="AP146" s="83">
        <f>AP143*'General variables'!$B$11</f>
        <v>70799.645642886346</v>
      </c>
      <c r="AQ146" s="83">
        <f>AQ143*'General variables'!$B$11</f>
        <v>76635.160724029265</v>
      </c>
      <c r="AR146" s="83">
        <f>AR143*'General variables'!$B$11</f>
        <v>27060.071159013503</v>
      </c>
      <c r="AS146" s="83">
        <f>AS143*'General variables'!$B$11</f>
        <v>32782.825320971366</v>
      </c>
      <c r="AT146" s="83">
        <f>AT143*'General variables'!$B$11</f>
        <v>38450.018762910222</v>
      </c>
      <c r="AU146" s="83">
        <f>AU143*'General variables'!$B$11</f>
        <v>44062.190909296274</v>
      </c>
      <c r="AV146" s="83">
        <f>AV143*'General variables'!$B$11</f>
        <v>49619.875947464985</v>
      </c>
      <c r="AW146" s="83">
        <f>AW143*'General variables'!$B$11</f>
        <v>55059.13659736816</v>
      </c>
      <c r="AX146" s="83">
        <f>AX143*'General variables'!$B$11</f>
        <v>60509.429286321625</v>
      </c>
      <c r="AY146" s="83">
        <f>AY143*'General variables'!$B$11</f>
        <v>65906.806512275536</v>
      </c>
      <c r="AZ146" s="83">
        <f>AZ143*'General variables'!$B$11</f>
        <v>71251.782017589125</v>
      </c>
      <c r="BA146" s="83">
        <f>BA143*'General variables'!$B$11</f>
        <v>76544.864556831701</v>
      </c>
      <c r="BB146" s="83">
        <f>BB143*'General variables'!$B$11</f>
        <v>81725.160916676949</v>
      </c>
    </row>
    <row r="147" spans="1:54" x14ac:dyDescent="0.25">
      <c r="A147" s="180" t="s">
        <v>718</v>
      </c>
      <c r="B147" s="76" t="s">
        <v>363</v>
      </c>
      <c r="C147" s="77" t="s">
        <v>362</v>
      </c>
      <c r="D147" s="78">
        <f>D7+D15+D23+D31+D39+D71+D95+D103+D111+D119</f>
        <v>-4985.4891000000007</v>
      </c>
      <c r="E147" s="78">
        <f t="shared" ref="E147:BB147" si="189">E7+E15+E23+E31+E39+E71+E95+E103+E111+E119</f>
        <v>0</v>
      </c>
      <c r="F147" s="78">
        <f t="shared" si="189"/>
        <v>0</v>
      </c>
      <c r="G147" s="78">
        <f t="shared" si="189"/>
        <v>0</v>
      </c>
      <c r="H147" s="78">
        <f t="shared" si="189"/>
        <v>0</v>
      </c>
      <c r="I147" s="78">
        <f t="shared" si="189"/>
        <v>-13.80101004</v>
      </c>
      <c r="J147" s="78">
        <f t="shared" si="189"/>
        <v>0</v>
      </c>
      <c r="K147" s="78">
        <f t="shared" si="189"/>
        <v>0</v>
      </c>
      <c r="L147" s="78">
        <f t="shared" si="189"/>
        <v>0</v>
      </c>
      <c r="M147" s="78">
        <f t="shared" si="189"/>
        <v>0</v>
      </c>
      <c r="N147" s="78">
        <f t="shared" si="189"/>
        <v>-6870.7849469033845</v>
      </c>
      <c r="O147" s="78">
        <f t="shared" si="189"/>
        <v>0</v>
      </c>
      <c r="P147" s="78">
        <f t="shared" si="189"/>
        <v>0</v>
      </c>
      <c r="Q147" s="78">
        <f t="shared" si="189"/>
        <v>0</v>
      </c>
      <c r="R147" s="78">
        <f t="shared" si="189"/>
        <v>0</v>
      </c>
      <c r="S147" s="78">
        <f t="shared" si="189"/>
        <v>-16.823354229051617</v>
      </c>
      <c r="T147" s="78">
        <f t="shared" si="189"/>
        <v>-501.34133949909153</v>
      </c>
      <c r="U147" s="78">
        <f t="shared" si="189"/>
        <v>0</v>
      </c>
      <c r="V147" s="78">
        <f t="shared" si="189"/>
        <v>0</v>
      </c>
      <c r="W147" s="78">
        <f t="shared" si="189"/>
        <v>0</v>
      </c>
      <c r="X147" s="78">
        <f t="shared" si="189"/>
        <v>-8375.448511259201</v>
      </c>
      <c r="Y147" s="78">
        <f t="shared" si="189"/>
        <v>0</v>
      </c>
      <c r="Z147" s="78">
        <f t="shared" si="189"/>
        <v>0</v>
      </c>
      <c r="AA147" s="78">
        <f t="shared" si="189"/>
        <v>0</v>
      </c>
      <c r="AB147" s="78">
        <f t="shared" si="189"/>
        <v>0</v>
      </c>
      <c r="AC147" s="78">
        <f t="shared" si="189"/>
        <v>-5362.8229476468932</v>
      </c>
      <c r="AD147" s="78">
        <f t="shared" si="189"/>
        <v>0</v>
      </c>
      <c r="AE147" s="78">
        <f t="shared" si="189"/>
        <v>0</v>
      </c>
      <c r="AF147" s="78">
        <f t="shared" si="189"/>
        <v>0</v>
      </c>
      <c r="AG147" s="78">
        <f t="shared" si="189"/>
        <v>0</v>
      </c>
      <c r="AH147" s="78">
        <f t="shared" si="189"/>
        <v>-7764.2868616388305</v>
      </c>
      <c r="AI147" s="78">
        <f t="shared" si="189"/>
        <v>0</v>
      </c>
      <c r="AJ147" s="78">
        <f t="shared" si="189"/>
        <v>-688.23422423533225</v>
      </c>
      <c r="AK147" s="78">
        <f t="shared" si="189"/>
        <v>0</v>
      </c>
      <c r="AL147" s="78">
        <f t="shared" si="189"/>
        <v>0</v>
      </c>
      <c r="AM147" s="78">
        <f t="shared" si="189"/>
        <v>-24.998619408280685</v>
      </c>
      <c r="AN147" s="78">
        <f t="shared" si="189"/>
        <v>0</v>
      </c>
      <c r="AO147" s="78">
        <f t="shared" si="189"/>
        <v>0</v>
      </c>
      <c r="AP147" s="78">
        <f t="shared" si="189"/>
        <v>0</v>
      </c>
      <c r="AQ147" s="78">
        <f t="shared" si="189"/>
        <v>0</v>
      </c>
      <c r="AR147" s="78">
        <f t="shared" si="189"/>
        <v>-21829.64447581951</v>
      </c>
      <c r="AS147" s="78">
        <f t="shared" si="189"/>
        <v>0</v>
      </c>
      <c r="AT147" s="78">
        <f t="shared" si="189"/>
        <v>0</v>
      </c>
      <c r="AU147" s="78">
        <f t="shared" si="189"/>
        <v>0</v>
      </c>
      <c r="AV147" s="78">
        <f t="shared" si="189"/>
        <v>0</v>
      </c>
      <c r="AW147" s="78">
        <f t="shared" si="189"/>
        <v>-30.473177566266791</v>
      </c>
      <c r="AX147" s="78">
        <f t="shared" si="189"/>
        <v>0</v>
      </c>
      <c r="AY147" s="78">
        <f t="shared" si="189"/>
        <v>0</v>
      </c>
      <c r="AZ147" s="78">
        <f t="shared" si="189"/>
        <v>0</v>
      </c>
      <c r="BA147" s="78">
        <f t="shared" si="189"/>
        <v>0</v>
      </c>
      <c r="BB147" s="78">
        <f t="shared" si="189"/>
        <v>-33.644850363420062</v>
      </c>
    </row>
    <row r="148" spans="1:54" x14ac:dyDescent="0.25">
      <c r="A148" s="180"/>
      <c r="B148" s="76" t="s">
        <v>356</v>
      </c>
      <c r="C148" s="77" t="s">
        <v>362</v>
      </c>
      <c r="D148" s="76">
        <v>0</v>
      </c>
      <c r="E148" s="78">
        <f>ABS('Annual Calculations'!$Q$20)*(1+$C$3)^E$168</f>
        <v>386.87512298114046</v>
      </c>
      <c r="F148" s="78">
        <f>ABS('Annual Calculations'!$Q$20)*(1+$C$3)^F$168</f>
        <v>394.61262544076328</v>
      </c>
      <c r="G148" s="78">
        <f>ABS('Annual Calculations'!$Q$20)*(1+$C$3)^G$168</f>
        <v>402.50487794957854</v>
      </c>
      <c r="H148" s="78">
        <f>ABS('Annual Calculations'!$Q$20)*(1+$C$3)^H$168</f>
        <v>410.55497550857012</v>
      </c>
      <c r="I148" s="78">
        <f>ABS('Annual Calculations'!$Q$20)*(1+$C$3)^I$168</f>
        <v>418.76607501874156</v>
      </c>
      <c r="J148" s="78">
        <f>ABS('Annual Calculations'!$Q$20)*(1+$C$3)^J$168</f>
        <v>427.14139651911637</v>
      </c>
      <c r="K148" s="78">
        <f>ABS('Annual Calculations'!$Q$20)*(1+$C$3)^K$168</f>
        <v>435.68422444949863</v>
      </c>
      <c r="L148" s="78">
        <f>ABS('Annual Calculations'!$Q$20)*(1+$C$3)^L$168</f>
        <v>444.39790893848863</v>
      </c>
      <c r="M148" s="78">
        <f>ABS('Annual Calculations'!$Q$20)*(1+$C$3)^M$168</f>
        <v>453.28586711725842</v>
      </c>
      <c r="N148" s="78">
        <f>ABS('Annual Calculations'!$Q$20)*(1+$C$3)^N$168</f>
        <v>462.3515844596036</v>
      </c>
      <c r="O148" s="78">
        <f>ABS('Annual Calculations'!$Q$20)*(1+$C$3)^O$168</f>
        <v>471.5986161487956</v>
      </c>
      <c r="P148" s="78">
        <f>ABS('Annual Calculations'!$Q$20)*(1+$C$3)^P$168</f>
        <v>481.03058847177158</v>
      </c>
      <c r="Q148" s="78">
        <f>ABS('Annual Calculations'!$Q$20)*(1+$C$3)^Q$168</f>
        <v>490.65120024120699</v>
      </c>
      <c r="R148" s="78">
        <f>ABS('Annual Calculations'!$Q$20)*(1+$C$3)^R$168</f>
        <v>500.46422424603116</v>
      </c>
      <c r="S148" s="78">
        <f>ABS('Annual Calculations'!$Q$20)*(1+$C$3)^S$168</f>
        <v>510.47350873095166</v>
      </c>
      <c r="T148" s="78">
        <f>ABS('Annual Calculations'!$Q$20)*(1+$C$3)^T$168</f>
        <v>520.68297890557074</v>
      </c>
      <c r="U148" s="78">
        <f>ABS('Annual Calculations'!$Q$20)*(1+$C$3)^U$168</f>
        <v>531.09663848368223</v>
      </c>
      <c r="V148" s="78">
        <f>ABS('Annual Calculations'!$Q$20)*(1+$C$3)^V$168</f>
        <v>541.71857125335578</v>
      </c>
      <c r="W148" s="78">
        <f>ABS('Annual Calculations'!$Q$20)*(1+$C$3)^W$168</f>
        <v>552.55294267842294</v>
      </c>
      <c r="X148" s="78">
        <f>ABS('Annual Calculations'!$Q$20)*(1+$C$3)^X$168</f>
        <v>563.60400153199146</v>
      </c>
      <c r="Y148" s="78">
        <f>ABS('Annual Calculations'!$Q$20)*(1+$C$3)^Y$168</f>
        <v>574.87608156263116</v>
      </c>
      <c r="Z148" s="78">
        <f>ABS('Annual Calculations'!$Q$20)*(1+$C$3)^Z$168</f>
        <v>586.37360319388381</v>
      </c>
      <c r="AA148" s="78">
        <f>ABS('Annual Calculations'!$Q$20)*(1+$C$3)^AA$168</f>
        <v>598.10107525776141</v>
      </c>
      <c r="AB148" s="78">
        <f>ABS('Annual Calculations'!$Q$20)*(1+$C$3)^AB$168</f>
        <v>610.06309676291664</v>
      </c>
      <c r="AC148" s="78">
        <f>ABS('Annual Calculations'!$Q$20)*(1+$C$3)^AC$168</f>
        <v>622.26435869817499</v>
      </c>
      <c r="AD148" s="78">
        <f>ABS('Annual Calculations'!$Q$20)*(1+$C$3)^AD$168</f>
        <v>634.70964587213859</v>
      </c>
      <c r="AE148" s="78">
        <f>ABS('Annual Calculations'!$Q$20)*(1+$C$3)^AE$168</f>
        <v>647.40383878958119</v>
      </c>
      <c r="AF148" s="78">
        <f>ABS('Annual Calculations'!$Q$20)*(1+$C$3)^AF$168</f>
        <v>660.35191556537302</v>
      </c>
      <c r="AG148" s="78">
        <f>ABS('Annual Calculations'!$Q$20)*(1+$C$3)^AG$168</f>
        <v>673.55895387668033</v>
      </c>
      <c r="AH148" s="78">
        <f>ABS('Annual Calculations'!$Q$20)*(1+$C$3)^AH$168</f>
        <v>687.03013295421397</v>
      </c>
      <c r="AI148" s="78">
        <f>ABS('Annual Calculations'!$Q$20)*(1+$C$3)^AI$168</f>
        <v>700.77073561329814</v>
      </c>
      <c r="AJ148" s="78">
        <f>ABS('Annual Calculations'!$Q$20)*(1+$C$3)^AJ$168</f>
        <v>714.78615032556422</v>
      </c>
      <c r="AK148" s="78">
        <f>ABS('Annual Calculations'!$Q$20)*(1+$C$3)^AK$168</f>
        <v>729.08187333207559</v>
      </c>
      <c r="AL148" s="78">
        <f>ABS('Annual Calculations'!$Q$20)*(1+$C$3)^AL$168</f>
        <v>743.66351079871708</v>
      </c>
      <c r="AM148" s="78">
        <f>ABS('Annual Calculations'!$Q$20)*(1+$C$3)^AM$168</f>
        <v>758.53678101469131</v>
      </c>
      <c r="AN148" s="78">
        <f>ABS('Annual Calculations'!$Q$20)*(1+$C$3)^AN$168</f>
        <v>773.70751663498515</v>
      </c>
      <c r="AO148" s="78">
        <f>ABS('Annual Calculations'!$Q$20)*(1+$C$3)^AO$168</f>
        <v>789.18166696768492</v>
      </c>
      <c r="AP148" s="78">
        <f>ABS('Annual Calculations'!$Q$20)*(1+$C$3)^AP$168</f>
        <v>804.96530030703877</v>
      </c>
      <c r="AQ148" s="78">
        <f>ABS('Annual Calculations'!$Q$20)*(1+$C$3)^AQ$168</f>
        <v>821.06460631317918</v>
      </c>
      <c r="AR148" s="78">
        <f>ABS('Annual Calculations'!$Q$20)*(1+$C$3)^AR$168</f>
        <v>837.48589843944296</v>
      </c>
      <c r="AS148" s="78">
        <f>ABS('Annual Calculations'!$Q$20)*(1+$C$3)^AS$168</f>
        <v>854.23561640823186</v>
      </c>
      <c r="AT148" s="78">
        <f>ABS('Annual Calculations'!$Q$20)*(1+$C$3)^AT$168</f>
        <v>871.32032873639639</v>
      </c>
      <c r="AU148" s="78">
        <f>ABS('Annual Calculations'!$Q$20)*(1+$C$3)^AU$168</f>
        <v>888.74673531112433</v>
      </c>
      <c r="AV148" s="78">
        <f>ABS('Annual Calculations'!$Q$20)*(1+$C$3)^AV$168</f>
        <v>906.52167001734688</v>
      </c>
      <c r="AW148" s="78">
        <f>ABS('Annual Calculations'!$Q$20)*(1+$C$3)^AW$168</f>
        <v>924.65210341769375</v>
      </c>
      <c r="AX148" s="78">
        <f>ABS('Annual Calculations'!$Q$20)*(1+$C$3)^AX$168</f>
        <v>943.1451454860478</v>
      </c>
      <c r="AY148" s="78">
        <f>ABS('Annual Calculations'!$Q$20)*(1+$C$3)^AY$168</f>
        <v>962.00804839576836</v>
      </c>
      <c r="AZ148" s="78">
        <f>ABS('Annual Calculations'!$Q$20)*(1+$C$3)^AZ$168</f>
        <v>981.24820936368394</v>
      </c>
      <c r="BA148" s="78">
        <f>ABS('Annual Calculations'!$Q$20)*(1+$C$3)^BA$168</f>
        <v>1000.8731735509576</v>
      </c>
      <c r="BB148" s="78">
        <f>ABS('Annual Calculations'!$Q$20)*(1+$C$3)^BB$168</f>
        <v>1020.8906370219768</v>
      </c>
    </row>
    <row r="149" spans="1:54" x14ac:dyDescent="0.25">
      <c r="A149" s="180"/>
      <c r="B149" s="76" t="s">
        <v>357</v>
      </c>
      <c r="C149" s="77" t="s">
        <v>362</v>
      </c>
      <c r="D149" s="76">
        <v>0</v>
      </c>
      <c r="E149" s="78">
        <f>-'Annual Calculations'!$L$33*(1+$C$3)^E$168</f>
        <v>590.80921666666677</v>
      </c>
      <c r="F149" s="78">
        <f>-'Annual Calculations'!$L$33*(1+$C$3)^F$168</f>
        <v>602.62540100000012</v>
      </c>
      <c r="G149" s="78">
        <f>-'Annual Calculations'!$L$33*(1+$C$3)^G$168</f>
        <v>614.67790902000013</v>
      </c>
      <c r="H149" s="78">
        <f>-'Annual Calculations'!$L$33*(1+$C$3)^H$168</f>
        <v>626.97146720040007</v>
      </c>
      <c r="I149" s="78">
        <f>-'Annual Calculations'!$L$33*(1+$C$3)^I$168</f>
        <v>639.51089654440818</v>
      </c>
      <c r="J149" s="78">
        <f>-'Annual Calculations'!$L$33*(1+$C$3)^J$168</f>
        <v>652.30111447529634</v>
      </c>
      <c r="K149" s="78">
        <f>-'Annual Calculations'!$L$33*(1+$C$3)^K$168</f>
        <v>665.34713676480214</v>
      </c>
      <c r="L149" s="78">
        <f>-'Annual Calculations'!$L$33*(1+$C$3)^L$168</f>
        <v>678.65407950009819</v>
      </c>
      <c r="M149" s="78">
        <f>-'Annual Calculations'!$L$33*(1+$C$3)^M$168</f>
        <v>692.22716109010014</v>
      </c>
      <c r="N149" s="78">
        <f>-'Annual Calculations'!$L$33*(1+$C$3)^N$168</f>
        <v>706.07170431190218</v>
      </c>
      <c r="O149" s="78">
        <f>-'Annual Calculations'!$L$33*(1+$C$3)^O$168</f>
        <v>720.19313839814015</v>
      </c>
      <c r="P149" s="78">
        <f>-'Annual Calculations'!$L$33*(1+$C$3)^P$168</f>
        <v>734.59700116610304</v>
      </c>
      <c r="Q149" s="78">
        <f>-'Annual Calculations'!$L$33*(1+$C$3)^Q$168</f>
        <v>749.28894118942503</v>
      </c>
      <c r="R149" s="78">
        <f>-'Annual Calculations'!$L$33*(1+$C$3)^R$168</f>
        <v>764.2747200132136</v>
      </c>
      <c r="S149" s="78">
        <f>-'Annual Calculations'!$L$33*(1+$C$3)^S$168</f>
        <v>779.56021441347775</v>
      </c>
      <c r="T149" s="78">
        <f>-'Annual Calculations'!$L$33*(1+$C$3)^T$168</f>
        <v>795.15141870174739</v>
      </c>
      <c r="U149" s="78">
        <f>-'Annual Calculations'!$L$33*(1+$C$3)^U$168</f>
        <v>811.05444707578238</v>
      </c>
      <c r="V149" s="78">
        <f>-'Annual Calculations'!$L$33*(1+$C$3)^V$168</f>
        <v>827.27553601729801</v>
      </c>
      <c r="W149" s="78">
        <f>-'Annual Calculations'!$L$33*(1+$C$3)^W$168</f>
        <v>843.82104673764388</v>
      </c>
      <c r="X149" s="78">
        <f>-'Annual Calculations'!$L$33*(1+$C$3)^X$168</f>
        <v>860.6974676723969</v>
      </c>
      <c r="Y149" s="78">
        <f>-'Annual Calculations'!$L$33*(1+$C$3)^Y$168</f>
        <v>877.91141702584468</v>
      </c>
      <c r="Z149" s="78">
        <f>-'Annual Calculations'!$L$33*(1+$C$3)^Z$168</f>
        <v>895.46964536636165</v>
      </c>
      <c r="AA149" s="78">
        <f>-'Annual Calculations'!$L$33*(1+$C$3)^AA$168</f>
        <v>913.37903827368871</v>
      </c>
      <c r="AB149" s="78">
        <f>-'Annual Calculations'!$L$33*(1+$C$3)^AB$168</f>
        <v>931.6466190391626</v>
      </c>
      <c r="AC149" s="78">
        <f>-'Annual Calculations'!$L$33*(1+$C$3)^AC$168</f>
        <v>950.27955141994585</v>
      </c>
      <c r="AD149" s="78">
        <f>-'Annual Calculations'!$L$33*(1+$C$3)^AD$168</f>
        <v>969.2851424483448</v>
      </c>
      <c r="AE149" s="78">
        <f>-'Annual Calculations'!$L$33*(1+$C$3)^AE$168</f>
        <v>988.67084529731153</v>
      </c>
      <c r="AF149" s="78">
        <f>-'Annual Calculations'!$L$33*(1+$C$3)^AF$168</f>
        <v>1008.4442622032579</v>
      </c>
      <c r="AG149" s="78">
        <f>-'Annual Calculations'!$L$33*(1+$C$3)^AG$168</f>
        <v>1028.6131474473229</v>
      </c>
      <c r="AH149" s="78">
        <f>-'Annual Calculations'!$L$33*(1+$C$3)^AH$168</f>
        <v>1049.1854103962696</v>
      </c>
      <c r="AI149" s="78">
        <f>-'Annual Calculations'!$L$33*(1+$C$3)^AI$168</f>
        <v>1070.1691186041946</v>
      </c>
      <c r="AJ149" s="78">
        <f>-'Annual Calculations'!$L$33*(1+$C$3)^AJ$168</f>
        <v>1091.5725009762789</v>
      </c>
      <c r="AK149" s="78">
        <f>-'Annual Calculations'!$L$33*(1+$C$3)^AK$168</f>
        <v>1113.4039509958045</v>
      </c>
      <c r="AL149" s="78">
        <f>-'Annual Calculations'!$L$33*(1+$C$3)^AL$168</f>
        <v>1135.6720300157203</v>
      </c>
      <c r="AM149" s="78">
        <f>-'Annual Calculations'!$L$33*(1+$C$3)^AM$168</f>
        <v>1158.3854706160348</v>
      </c>
      <c r="AN149" s="78">
        <f>-'Annual Calculations'!$L$33*(1+$C$3)^AN$168</f>
        <v>1181.5531800283554</v>
      </c>
      <c r="AO149" s="78">
        <f>-'Annual Calculations'!$L$33*(1+$C$3)^AO$168</f>
        <v>1205.1842436289228</v>
      </c>
      <c r="AP149" s="78">
        <f>-'Annual Calculations'!$L$33*(1+$C$3)^AP$168</f>
        <v>1229.2879285015013</v>
      </c>
      <c r="AQ149" s="78">
        <f>-'Annual Calculations'!$L$33*(1+$C$3)^AQ$168</f>
        <v>1253.8736870715309</v>
      </c>
      <c r="AR149" s="78">
        <f>-'Annual Calculations'!$L$33*(1+$C$3)^AR$168</f>
        <v>1278.9511608129617</v>
      </c>
      <c r="AS149" s="78">
        <f>-'Annual Calculations'!$L$33*(1+$C$3)^AS$168</f>
        <v>1304.5301840292209</v>
      </c>
      <c r="AT149" s="78">
        <f>-'Annual Calculations'!$L$33*(1+$C$3)^AT$168</f>
        <v>1330.6207877098054</v>
      </c>
      <c r="AU149" s="78">
        <f>-'Annual Calculations'!$L$33*(1+$C$3)^AU$168</f>
        <v>1357.2332034640015</v>
      </c>
      <c r="AV149" s="78">
        <f>-'Annual Calculations'!$L$33*(1+$C$3)^AV$168</f>
        <v>1384.3778675332817</v>
      </c>
      <c r="AW149" s="78">
        <f>-'Annual Calculations'!$L$33*(1+$C$3)^AW$168</f>
        <v>1412.0654248839471</v>
      </c>
      <c r="AX149" s="78">
        <f>-'Annual Calculations'!$L$33*(1+$C$3)^AX$168</f>
        <v>1440.3067333816261</v>
      </c>
      <c r="AY149" s="78">
        <f>-'Annual Calculations'!$L$33*(1+$C$3)^AY$168</f>
        <v>1469.1128680492582</v>
      </c>
      <c r="AZ149" s="78">
        <f>-'Annual Calculations'!$L$33*(1+$C$3)^AZ$168</f>
        <v>1498.4951254102436</v>
      </c>
      <c r="BA149" s="78">
        <f>-'Annual Calculations'!$L$33*(1+$C$3)^BA$168</f>
        <v>1528.4650279184486</v>
      </c>
      <c r="BB149" s="78">
        <f>-'Annual Calculations'!$L$33*(1+$C$3)^BB$168</f>
        <v>1559.0343284768176</v>
      </c>
    </row>
    <row r="150" spans="1:54" x14ac:dyDescent="0.25">
      <c r="A150" s="180"/>
      <c r="B150" s="76" t="s">
        <v>358</v>
      </c>
      <c r="C150" s="77" t="s">
        <v>362</v>
      </c>
      <c r="D150" s="78">
        <f>SUM(D147:D149)</f>
        <v>-4985.4891000000007</v>
      </c>
      <c r="E150" s="78">
        <f>SUM(E147:E149)</f>
        <v>977.68433964780729</v>
      </c>
      <c r="F150" s="78">
        <f t="shared" ref="F150:BB150" si="190">SUM(F147:F149)</f>
        <v>997.23802644076341</v>
      </c>
      <c r="G150" s="78">
        <f t="shared" si="190"/>
        <v>1017.1827869695787</v>
      </c>
      <c r="H150" s="78">
        <f t="shared" si="190"/>
        <v>1037.5264427089701</v>
      </c>
      <c r="I150" s="78">
        <f t="shared" si="190"/>
        <v>1044.4759615231496</v>
      </c>
      <c r="J150" s="78">
        <f t="shared" si="190"/>
        <v>1079.4425109944127</v>
      </c>
      <c r="K150" s="78">
        <f t="shared" si="190"/>
        <v>1101.0313612143009</v>
      </c>
      <c r="L150" s="78">
        <f t="shared" si="190"/>
        <v>1123.0519884385867</v>
      </c>
      <c r="M150" s="78">
        <f t="shared" si="190"/>
        <v>1145.5130282073585</v>
      </c>
      <c r="N150" s="78">
        <f t="shared" si="190"/>
        <v>-5702.3616581318784</v>
      </c>
      <c r="O150" s="78">
        <f t="shared" si="190"/>
        <v>1191.7917545469359</v>
      </c>
      <c r="P150" s="78">
        <f t="shared" si="190"/>
        <v>1215.6275896378747</v>
      </c>
      <c r="Q150" s="78">
        <f t="shared" si="190"/>
        <v>1239.9401414306321</v>
      </c>
      <c r="R150" s="78">
        <f t="shared" si="190"/>
        <v>1264.7389442592448</v>
      </c>
      <c r="S150" s="78">
        <f t="shared" si="190"/>
        <v>1273.2103689153778</v>
      </c>
      <c r="T150" s="78">
        <f t="shared" si="190"/>
        <v>814.49305810822659</v>
      </c>
      <c r="U150" s="78">
        <f t="shared" si="190"/>
        <v>1342.1510855594647</v>
      </c>
      <c r="V150" s="78">
        <f t="shared" si="190"/>
        <v>1368.9941072706538</v>
      </c>
      <c r="W150" s="78">
        <f t="shared" si="190"/>
        <v>1396.3739894160667</v>
      </c>
      <c r="X150" s="78">
        <f t="shared" si="190"/>
        <v>-6951.147042054813</v>
      </c>
      <c r="Y150" s="78">
        <f t="shared" si="190"/>
        <v>1452.787498588476</v>
      </c>
      <c r="Z150" s="78">
        <f t="shared" si="190"/>
        <v>1481.8432485602455</v>
      </c>
      <c r="AA150" s="78">
        <f t="shared" si="190"/>
        <v>1511.4801135314501</v>
      </c>
      <c r="AB150" s="78">
        <f t="shared" si="190"/>
        <v>1541.7097158020792</v>
      </c>
      <c r="AC150" s="78">
        <f t="shared" si="190"/>
        <v>-3790.2790375287723</v>
      </c>
      <c r="AD150" s="78">
        <f t="shared" si="190"/>
        <v>1603.9947883204834</v>
      </c>
      <c r="AE150" s="78">
        <f t="shared" si="190"/>
        <v>1636.0746840868928</v>
      </c>
      <c r="AF150" s="78">
        <f t="shared" si="190"/>
        <v>1668.796177768631</v>
      </c>
      <c r="AG150" s="78">
        <f t="shared" si="190"/>
        <v>1702.1721013240033</v>
      </c>
      <c r="AH150" s="78">
        <f t="shared" si="190"/>
        <v>-6028.0713182883474</v>
      </c>
      <c r="AI150" s="78">
        <f t="shared" si="190"/>
        <v>1770.9398542174927</v>
      </c>
      <c r="AJ150" s="78">
        <f t="shared" si="190"/>
        <v>1118.1244270665109</v>
      </c>
      <c r="AK150" s="78">
        <f t="shared" si="190"/>
        <v>1842.48582432788</v>
      </c>
      <c r="AL150" s="78">
        <f t="shared" si="190"/>
        <v>1879.3355408144375</v>
      </c>
      <c r="AM150" s="78">
        <f t="shared" si="190"/>
        <v>1891.9236322224456</v>
      </c>
      <c r="AN150" s="78">
        <f t="shared" si="190"/>
        <v>1955.2606966633407</v>
      </c>
      <c r="AO150" s="78">
        <f t="shared" si="190"/>
        <v>1994.3659105966076</v>
      </c>
      <c r="AP150" s="78">
        <f t="shared" si="190"/>
        <v>2034.2532288085399</v>
      </c>
      <c r="AQ150" s="78">
        <f t="shared" si="190"/>
        <v>2074.9382933847101</v>
      </c>
      <c r="AR150" s="78">
        <f t="shared" si="190"/>
        <v>-19713.207416567107</v>
      </c>
      <c r="AS150" s="78">
        <f t="shared" si="190"/>
        <v>2158.7658004374525</v>
      </c>
      <c r="AT150" s="78">
        <f t="shared" si="190"/>
        <v>2201.9411164462017</v>
      </c>
      <c r="AU150" s="78">
        <f t="shared" si="190"/>
        <v>2245.9799387751259</v>
      </c>
      <c r="AV150" s="78">
        <f t="shared" si="190"/>
        <v>2290.8995375506283</v>
      </c>
      <c r="AW150" s="78">
        <f t="shared" si="190"/>
        <v>2306.2443507353742</v>
      </c>
      <c r="AX150" s="78">
        <f t="shared" si="190"/>
        <v>2383.4518788676742</v>
      </c>
      <c r="AY150" s="78">
        <f t="shared" si="190"/>
        <v>2431.1209164450265</v>
      </c>
      <c r="AZ150" s="78">
        <f t="shared" si="190"/>
        <v>2479.7433347739275</v>
      </c>
      <c r="BA150" s="78">
        <f t="shared" si="190"/>
        <v>2529.3382014694062</v>
      </c>
      <c r="BB150" s="78">
        <f t="shared" si="190"/>
        <v>2546.2801151353742</v>
      </c>
    </row>
    <row r="151" spans="1:54" x14ac:dyDescent="0.25">
      <c r="A151" s="180"/>
      <c r="B151" s="76" t="s">
        <v>359</v>
      </c>
      <c r="C151" s="77"/>
      <c r="D151" s="76">
        <f t="shared" ref="D151:AI151" si="191">(1+$C$2)^D$168</f>
        <v>1</v>
      </c>
      <c r="E151" s="79">
        <f t="shared" si="191"/>
        <v>1.03</v>
      </c>
      <c r="F151" s="79">
        <f t="shared" si="191"/>
        <v>1.0609</v>
      </c>
      <c r="G151" s="79">
        <f t="shared" si="191"/>
        <v>1.092727</v>
      </c>
      <c r="H151" s="79">
        <f t="shared" si="191"/>
        <v>1.1255088099999999</v>
      </c>
      <c r="I151" s="79">
        <f t="shared" si="191"/>
        <v>1.1592740742999998</v>
      </c>
      <c r="J151" s="79">
        <f t="shared" si="191"/>
        <v>1.1940522965289999</v>
      </c>
      <c r="K151" s="79">
        <f t="shared" si="191"/>
        <v>1.22987386542487</v>
      </c>
      <c r="L151" s="79">
        <f t="shared" si="191"/>
        <v>1.2667700813876159</v>
      </c>
      <c r="M151" s="79">
        <f t="shared" si="191"/>
        <v>1.3047731838292445</v>
      </c>
      <c r="N151" s="79">
        <f t="shared" si="191"/>
        <v>1.3439163793441218</v>
      </c>
      <c r="O151" s="79">
        <f t="shared" si="191"/>
        <v>1.3842338707244455</v>
      </c>
      <c r="P151" s="79">
        <f t="shared" si="191"/>
        <v>1.4257608868461786</v>
      </c>
      <c r="Q151" s="79">
        <f t="shared" si="191"/>
        <v>1.4685337134515639</v>
      </c>
      <c r="R151" s="79">
        <f t="shared" si="191"/>
        <v>1.512589724855111</v>
      </c>
      <c r="S151" s="79">
        <f t="shared" si="191"/>
        <v>1.5579674166007644</v>
      </c>
      <c r="T151" s="79">
        <f t="shared" si="191"/>
        <v>1.6047064390987871</v>
      </c>
      <c r="U151" s="79">
        <f t="shared" si="191"/>
        <v>1.6528476322717507</v>
      </c>
      <c r="V151" s="79">
        <f t="shared" si="191"/>
        <v>1.7024330612399032</v>
      </c>
      <c r="W151" s="79">
        <f t="shared" si="191"/>
        <v>1.7535060530771003</v>
      </c>
      <c r="X151" s="79">
        <f t="shared" si="191"/>
        <v>1.8061112346694133</v>
      </c>
      <c r="Y151" s="79">
        <f t="shared" si="191"/>
        <v>1.8602945717094954</v>
      </c>
      <c r="Z151" s="79">
        <f t="shared" si="191"/>
        <v>1.9161034088607805</v>
      </c>
      <c r="AA151" s="79">
        <f t="shared" si="191"/>
        <v>1.973586511126604</v>
      </c>
      <c r="AB151" s="79">
        <f t="shared" si="191"/>
        <v>2.0327941064604018</v>
      </c>
      <c r="AC151" s="79">
        <f t="shared" si="191"/>
        <v>2.0937779296542138</v>
      </c>
      <c r="AD151" s="79">
        <f t="shared" si="191"/>
        <v>2.1565912675438406</v>
      </c>
      <c r="AE151" s="79">
        <f t="shared" si="191"/>
        <v>2.2212890055701555</v>
      </c>
      <c r="AF151" s="79">
        <f t="shared" si="191"/>
        <v>2.2879276757372602</v>
      </c>
      <c r="AG151" s="79">
        <f t="shared" si="191"/>
        <v>2.3565655060093778</v>
      </c>
      <c r="AH151" s="79">
        <f t="shared" si="191"/>
        <v>2.4272624711896591</v>
      </c>
      <c r="AI151" s="79">
        <f t="shared" si="191"/>
        <v>2.5000803453253493</v>
      </c>
      <c r="AJ151" s="79">
        <f t="shared" ref="AJ151:BB151" si="192">(1+$C$2)^AJ$168</f>
        <v>2.5750827556851092</v>
      </c>
      <c r="AK151" s="79">
        <f t="shared" si="192"/>
        <v>2.6523352383556626</v>
      </c>
      <c r="AL151" s="79">
        <f t="shared" si="192"/>
        <v>2.7319052955063321</v>
      </c>
      <c r="AM151" s="79">
        <f t="shared" si="192"/>
        <v>2.8138624543715225</v>
      </c>
      <c r="AN151" s="79">
        <f t="shared" si="192"/>
        <v>2.898278328002668</v>
      </c>
      <c r="AO151" s="79">
        <f t="shared" si="192"/>
        <v>2.9852266778427476</v>
      </c>
      <c r="AP151" s="79">
        <f t="shared" si="192"/>
        <v>3.0747834781780301</v>
      </c>
      <c r="AQ151" s="79">
        <f t="shared" si="192"/>
        <v>3.1670269825233714</v>
      </c>
      <c r="AR151" s="79">
        <f t="shared" si="192"/>
        <v>3.262037791999072</v>
      </c>
      <c r="AS151" s="79">
        <f t="shared" si="192"/>
        <v>3.3598989257590444</v>
      </c>
      <c r="AT151" s="79">
        <f t="shared" si="192"/>
        <v>3.4606958935318159</v>
      </c>
      <c r="AU151" s="79">
        <f t="shared" si="192"/>
        <v>3.5645167703377703</v>
      </c>
      <c r="AV151" s="79">
        <f t="shared" si="192"/>
        <v>3.6714522734479029</v>
      </c>
      <c r="AW151" s="79">
        <f t="shared" si="192"/>
        <v>3.78159584165134</v>
      </c>
      <c r="AX151" s="79">
        <f t="shared" si="192"/>
        <v>3.8950437169008802</v>
      </c>
      <c r="AY151" s="79">
        <f t="shared" si="192"/>
        <v>4.0118950284079071</v>
      </c>
      <c r="AZ151" s="79">
        <f t="shared" si="192"/>
        <v>4.1322518792601439</v>
      </c>
      <c r="BA151" s="79">
        <f t="shared" si="192"/>
        <v>4.2562194356379477</v>
      </c>
      <c r="BB151" s="79">
        <f t="shared" si="192"/>
        <v>4.3839060187070862</v>
      </c>
    </row>
    <row r="152" spans="1:54" s="76" customFormat="1" x14ac:dyDescent="0.25">
      <c r="A152" s="180"/>
      <c r="B152" s="76" t="s">
        <v>360</v>
      </c>
      <c r="C152" s="77" t="s">
        <v>362</v>
      </c>
      <c r="D152" s="76">
        <f>D150/D151</f>
        <v>-4985.4891000000007</v>
      </c>
      <c r="E152" s="78">
        <f>E150/E151</f>
        <v>949.20809674544398</v>
      </c>
      <c r="F152" s="78">
        <f>F150/F151</f>
        <v>939.9924841556824</v>
      </c>
      <c r="G152" s="78">
        <f t="shared" ref="G152:BB152" si="193">G150/G151</f>
        <v>930.8663435328117</v>
      </c>
      <c r="H152" s="78">
        <f t="shared" si="193"/>
        <v>921.82880621695904</v>
      </c>
      <c r="I152" s="78">
        <f t="shared" si="193"/>
        <v>900.97413948796509</v>
      </c>
      <c r="J152" s="78">
        <f t="shared" si="193"/>
        <v>904.01610895289321</v>
      </c>
      <c r="K152" s="78">
        <f t="shared" si="193"/>
        <v>895.23925352616595</v>
      </c>
      <c r="L152" s="78">
        <f t="shared" si="193"/>
        <v>886.54761028804774</v>
      </c>
      <c r="M152" s="78">
        <f t="shared" si="193"/>
        <v>877.94035193573666</v>
      </c>
      <c r="N152" s="78">
        <f t="shared" si="193"/>
        <v>-4243.0926103563306</v>
      </c>
      <c r="O152" s="78">
        <f t="shared" si="193"/>
        <v>860.97572075967616</v>
      </c>
      <c r="P152" s="78">
        <f t="shared" si="193"/>
        <v>852.61673317948544</v>
      </c>
      <c r="Q152" s="78">
        <f t="shared" si="193"/>
        <v>844.33890081851951</v>
      </c>
      <c r="R152" s="78">
        <f t="shared" si="193"/>
        <v>836.14143576202889</v>
      </c>
      <c r="S152" s="78">
        <f t="shared" si="193"/>
        <v>817.2252868377177</v>
      </c>
      <c r="T152" s="78">
        <f t="shared" si="193"/>
        <v>507.56514603733433</v>
      </c>
      <c r="U152" s="78">
        <f t="shared" si="193"/>
        <v>812.02347957188886</v>
      </c>
      <c r="V152" s="78">
        <f t="shared" si="193"/>
        <v>804.13975646924894</v>
      </c>
      <c r="W152" s="78">
        <f t="shared" si="193"/>
        <v>796.33257436760573</v>
      </c>
      <c r="X152" s="78">
        <f t="shared" si="193"/>
        <v>-3848.6815809698101</v>
      </c>
      <c r="Y152" s="78">
        <f t="shared" si="193"/>
        <v>780.94486791597433</v>
      </c>
      <c r="Z152" s="78">
        <f t="shared" si="193"/>
        <v>773.36287890708127</v>
      </c>
      <c r="AA152" s="78">
        <f t="shared" si="193"/>
        <v>765.85450144196386</v>
      </c>
      <c r="AB152" s="78">
        <f t="shared" si="193"/>
        <v>758.41902084544006</v>
      </c>
      <c r="AC152" s="78">
        <f t="shared" si="193"/>
        <v>-1810.2583773794647</v>
      </c>
      <c r="AD152" s="78">
        <f t="shared" si="193"/>
        <v>743.76392618304817</v>
      </c>
      <c r="AE152" s="78">
        <f t="shared" si="193"/>
        <v>736.54291719097978</v>
      </c>
      <c r="AF152" s="78">
        <f t="shared" si="193"/>
        <v>729.39201508232964</v>
      </c>
      <c r="AG152" s="78">
        <f t="shared" si="193"/>
        <v>722.31053920774377</v>
      </c>
      <c r="AH152" s="78">
        <f t="shared" si="193"/>
        <v>-2483.4855685523971</v>
      </c>
      <c r="AI152" s="78">
        <f t="shared" si="193"/>
        <v>708.35317654042456</v>
      </c>
      <c r="AJ152" s="78">
        <f t="shared" si="193"/>
        <v>434.20912380310284</v>
      </c>
      <c r="AK152" s="78">
        <f t="shared" si="193"/>
        <v>694.66551500863238</v>
      </c>
      <c r="AL152" s="78">
        <f t="shared" si="193"/>
        <v>687.92118962019913</v>
      </c>
      <c r="AM152" s="78">
        <f t="shared" si="193"/>
        <v>672.35824881319854</v>
      </c>
      <c r="AN152" s="78">
        <f t="shared" si="193"/>
        <v>674.62833978777928</v>
      </c>
      <c r="AO152" s="78">
        <f t="shared" si="193"/>
        <v>668.07855008110187</v>
      </c>
      <c r="AP152" s="78">
        <f t="shared" si="193"/>
        <v>661.59235056575142</v>
      </c>
      <c r="AQ152" s="78">
        <f t="shared" si="193"/>
        <v>655.16912386122931</v>
      </c>
      <c r="AR152" s="78">
        <f t="shared" si="193"/>
        <v>-6043.2185871415913</v>
      </c>
      <c r="AS152" s="78">
        <f t="shared" si="193"/>
        <v>642.50914927441147</v>
      </c>
      <c r="AT152" s="78">
        <f t="shared" si="193"/>
        <v>636.27119636883458</v>
      </c>
      <c r="AU152" s="78">
        <f t="shared" si="193"/>
        <v>630.09380611282666</v>
      </c>
      <c r="AV152" s="78">
        <f t="shared" si="193"/>
        <v>623.9763905194983</v>
      </c>
      <c r="AW152" s="78">
        <f t="shared" si="193"/>
        <v>609.86008217321501</v>
      </c>
      <c r="AX152" s="78">
        <f t="shared" si="193"/>
        <v>611.91915986095398</v>
      </c>
      <c r="AY152" s="78">
        <f t="shared" si="193"/>
        <v>605.97819714385696</v>
      </c>
      <c r="AZ152" s="78">
        <f t="shared" si="193"/>
        <v>600.09491367644102</v>
      </c>
      <c r="BA152" s="78">
        <f t="shared" si="193"/>
        <v>594.26874946599025</v>
      </c>
      <c r="BB152" s="78">
        <f t="shared" si="193"/>
        <v>580.82452139024872</v>
      </c>
    </row>
    <row r="153" spans="1:54" s="76" customFormat="1" x14ac:dyDescent="0.25">
      <c r="A153" s="180"/>
      <c r="B153" s="76" t="s">
        <v>645</v>
      </c>
      <c r="C153" s="77" t="s">
        <v>362</v>
      </c>
      <c r="D153" s="76">
        <f>D152</f>
        <v>-4985.4891000000007</v>
      </c>
      <c r="E153" s="78">
        <f>E152+D153</f>
        <v>-4036.2810032545567</v>
      </c>
      <c r="F153" s="78">
        <f t="shared" ref="F153:BB153" si="194">F152+E153</f>
        <v>-3096.2885190988745</v>
      </c>
      <c r="G153" s="78">
        <f t="shared" si="194"/>
        <v>-2165.4221755660628</v>
      </c>
      <c r="H153" s="78">
        <f t="shared" si="194"/>
        <v>-1243.5933693491038</v>
      </c>
      <c r="I153" s="78">
        <f t="shared" si="194"/>
        <v>-342.61922986113871</v>
      </c>
      <c r="J153" s="78">
        <f t="shared" si="194"/>
        <v>561.3968790917545</v>
      </c>
      <c r="K153" s="78">
        <f t="shared" si="194"/>
        <v>1456.6361326179203</v>
      </c>
      <c r="L153" s="78">
        <f t="shared" si="194"/>
        <v>2343.1837429059678</v>
      </c>
      <c r="M153" s="78">
        <f t="shared" si="194"/>
        <v>3221.1240948417044</v>
      </c>
      <c r="N153" s="78">
        <f t="shared" si="194"/>
        <v>-1021.9685155146262</v>
      </c>
      <c r="O153" s="78">
        <f t="shared" si="194"/>
        <v>-160.99279475495007</v>
      </c>
      <c r="P153" s="78">
        <f t="shared" si="194"/>
        <v>691.62393842453537</v>
      </c>
      <c r="Q153" s="78">
        <f t="shared" si="194"/>
        <v>1535.962839243055</v>
      </c>
      <c r="R153" s="78">
        <f t="shared" si="194"/>
        <v>2372.1042750050838</v>
      </c>
      <c r="S153" s="78">
        <f t="shared" si="194"/>
        <v>3189.3295618428015</v>
      </c>
      <c r="T153" s="78">
        <f t="shared" si="194"/>
        <v>3696.8947078801357</v>
      </c>
      <c r="U153" s="78">
        <f t="shared" si="194"/>
        <v>4508.9181874520245</v>
      </c>
      <c r="V153" s="78">
        <f t="shared" si="194"/>
        <v>5313.0579439212734</v>
      </c>
      <c r="W153" s="78">
        <f t="shared" si="194"/>
        <v>6109.3905182888793</v>
      </c>
      <c r="X153" s="78">
        <f t="shared" si="194"/>
        <v>2260.7089373190693</v>
      </c>
      <c r="Y153" s="78">
        <f t="shared" si="194"/>
        <v>3041.6538052350434</v>
      </c>
      <c r="Z153" s="78">
        <f t="shared" si="194"/>
        <v>3815.0166841421246</v>
      </c>
      <c r="AA153" s="78">
        <f t="shared" si="194"/>
        <v>4580.8711855840884</v>
      </c>
      <c r="AB153" s="78">
        <f t="shared" si="194"/>
        <v>5339.2902064295286</v>
      </c>
      <c r="AC153" s="78">
        <f t="shared" si="194"/>
        <v>3529.0318290500636</v>
      </c>
      <c r="AD153" s="78">
        <f t="shared" si="194"/>
        <v>4272.7957552331118</v>
      </c>
      <c r="AE153" s="78">
        <f t="shared" si="194"/>
        <v>5009.3386724240918</v>
      </c>
      <c r="AF153" s="78">
        <f t="shared" si="194"/>
        <v>5738.7306875064214</v>
      </c>
      <c r="AG153" s="78">
        <f t="shared" si="194"/>
        <v>6461.0412267141655</v>
      </c>
      <c r="AH153" s="78">
        <f t="shared" si="194"/>
        <v>3977.5556581617684</v>
      </c>
      <c r="AI153" s="78">
        <f t="shared" si="194"/>
        <v>4685.9088347021934</v>
      </c>
      <c r="AJ153" s="78">
        <f t="shared" si="194"/>
        <v>5120.117958505296</v>
      </c>
      <c r="AK153" s="78">
        <f t="shared" si="194"/>
        <v>5814.7834735139286</v>
      </c>
      <c r="AL153" s="78">
        <f t="shared" si="194"/>
        <v>6502.7046631341273</v>
      </c>
      <c r="AM153" s="78">
        <f t="shared" si="194"/>
        <v>7175.062911947326</v>
      </c>
      <c r="AN153" s="78">
        <f t="shared" si="194"/>
        <v>7849.6912517351057</v>
      </c>
      <c r="AO153" s="78">
        <f t="shared" si="194"/>
        <v>8517.7698018162082</v>
      </c>
      <c r="AP153" s="78">
        <f t="shared" si="194"/>
        <v>9179.3621523819602</v>
      </c>
      <c r="AQ153" s="78">
        <f t="shared" si="194"/>
        <v>9834.5312762431895</v>
      </c>
      <c r="AR153" s="78">
        <f t="shared" si="194"/>
        <v>3791.3126891015982</v>
      </c>
      <c r="AS153" s="78">
        <f t="shared" si="194"/>
        <v>4433.8218383760095</v>
      </c>
      <c r="AT153" s="78">
        <f t="shared" si="194"/>
        <v>5070.0930347448439</v>
      </c>
      <c r="AU153" s="78">
        <f t="shared" si="194"/>
        <v>5700.1868408576702</v>
      </c>
      <c r="AV153" s="78">
        <f t="shared" si="194"/>
        <v>6324.1632313771688</v>
      </c>
      <c r="AW153" s="78">
        <f t="shared" si="194"/>
        <v>6934.023313550384</v>
      </c>
      <c r="AX153" s="78">
        <f t="shared" si="194"/>
        <v>7545.9424734113381</v>
      </c>
      <c r="AY153" s="78">
        <f t="shared" si="194"/>
        <v>8151.9206705551951</v>
      </c>
      <c r="AZ153" s="78">
        <f t="shared" si="194"/>
        <v>8752.0155842316362</v>
      </c>
      <c r="BA153" s="78">
        <f t="shared" si="194"/>
        <v>9346.2843336976257</v>
      </c>
      <c r="BB153" s="78">
        <f t="shared" si="194"/>
        <v>9927.108855087874</v>
      </c>
    </row>
    <row r="154" spans="1:54" s="76" customFormat="1" x14ac:dyDescent="0.25">
      <c r="B154" s="80" t="s">
        <v>361</v>
      </c>
      <c r="C154" s="81" t="s">
        <v>362</v>
      </c>
      <c r="D154" s="92">
        <f>SUM(D152:BB152)</f>
        <v>9927.108855087874</v>
      </c>
    </row>
    <row r="155" spans="1:54" s="76" customFormat="1" x14ac:dyDescent="0.25">
      <c r="B155"/>
      <c r="C155" s="70"/>
      <c r="D155"/>
      <c r="E155" s="71"/>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row>
    <row r="156" spans="1:54" s="76" customFormat="1" x14ac:dyDescent="0.25">
      <c r="B156" s="76" t="s">
        <v>646</v>
      </c>
      <c r="C156" s="134" t="s">
        <v>362</v>
      </c>
      <c r="D156" s="76">
        <f>D153*'General variables'!$B$11</f>
        <v>-39883.912800000006</v>
      </c>
      <c r="E156" s="76">
        <f>E153*'General variables'!$B$11</f>
        <v>-32290.248026036454</v>
      </c>
      <c r="F156" s="76">
        <f>F153*'General variables'!$B$11</f>
        <v>-24770.308152790996</v>
      </c>
      <c r="G156" s="76">
        <f>G153*'General variables'!$B$11</f>
        <v>-17323.377404528503</v>
      </c>
      <c r="H156" s="76">
        <f>H153*'General variables'!$B$11</f>
        <v>-9948.7469547928304</v>
      </c>
      <c r="I156" s="76">
        <f>I153*'General variables'!$B$11</f>
        <v>-2740.9538388891096</v>
      </c>
      <c r="J156" s="76">
        <f>J153*'General variables'!$B$11</f>
        <v>4491.175032734036</v>
      </c>
      <c r="K156" s="76">
        <f>K153*'General variables'!$B$11</f>
        <v>11653.089060943363</v>
      </c>
      <c r="L156" s="76">
        <f>L153*'General variables'!$B$11</f>
        <v>18745.469943247743</v>
      </c>
      <c r="M156" s="76">
        <f>M153*'General variables'!$B$11</f>
        <v>25768.992758733635</v>
      </c>
      <c r="N156" s="76">
        <f>N153*'General variables'!$B$11</f>
        <v>-8175.7481241170099</v>
      </c>
      <c r="O156" s="76">
        <f>O153*'General variables'!$B$11</f>
        <v>-1287.9423580396005</v>
      </c>
      <c r="P156" s="76">
        <f>P153*'General variables'!$B$11</f>
        <v>5532.9915073962829</v>
      </c>
      <c r="Q156" s="76">
        <f>Q153*'General variables'!$B$11</f>
        <v>12287.70271394444</v>
      </c>
      <c r="R156" s="76">
        <f>R153*'General variables'!$B$11</f>
        <v>18976.83420004067</v>
      </c>
      <c r="S156" s="76">
        <f>S153*'General variables'!$B$11</f>
        <v>25514.636494742412</v>
      </c>
      <c r="T156" s="76">
        <f>T153*'General variables'!$B$11</f>
        <v>29575.157663041085</v>
      </c>
      <c r="U156" s="76">
        <f>U153*'General variables'!$B$11</f>
        <v>36071.345499616196</v>
      </c>
      <c r="V156" s="76">
        <f>V153*'General variables'!$B$11</f>
        <v>42504.463551370187</v>
      </c>
      <c r="W156" s="76">
        <f>W153*'General variables'!$B$11</f>
        <v>48875.124146311035</v>
      </c>
      <c r="X156" s="76">
        <f>X153*'General variables'!$B$11</f>
        <v>18085.671498552554</v>
      </c>
      <c r="Y156" s="76">
        <f>Y153*'General variables'!$B$11</f>
        <v>24333.230441880347</v>
      </c>
      <c r="Z156" s="76">
        <f>Z153*'General variables'!$B$11</f>
        <v>30520.133473136997</v>
      </c>
      <c r="AA156" s="76">
        <f>AA153*'General variables'!$B$11</f>
        <v>36646.969484672707</v>
      </c>
      <c r="AB156" s="76">
        <f>AB153*'General variables'!$B$11</f>
        <v>42714.321651436228</v>
      </c>
      <c r="AC156" s="76">
        <f>AC153*'General variables'!$B$11</f>
        <v>28232.254632400509</v>
      </c>
      <c r="AD156" s="76">
        <f>AD153*'General variables'!$B$11</f>
        <v>34182.366041864894</v>
      </c>
      <c r="AE156" s="76">
        <f>AE153*'General variables'!$B$11</f>
        <v>40074.709379392734</v>
      </c>
      <c r="AF156" s="76">
        <f>AF153*'General variables'!$B$11</f>
        <v>45909.845500051371</v>
      </c>
      <c r="AG156" s="76">
        <f>AG153*'General variables'!$B$11</f>
        <v>51688.329813713324</v>
      </c>
      <c r="AH156" s="76">
        <f>AH153*'General variables'!$B$11</f>
        <v>31820.445265294147</v>
      </c>
      <c r="AI156" s="76">
        <f>AI153*'General variables'!$B$11</f>
        <v>37487.270677617547</v>
      </c>
      <c r="AJ156" s="76">
        <f>AJ153*'General variables'!$B$11</f>
        <v>40960.943668042368</v>
      </c>
      <c r="AK156" s="76">
        <f>AK153*'General variables'!$B$11</f>
        <v>46518.267788111429</v>
      </c>
      <c r="AL156" s="76">
        <f>AL153*'General variables'!$B$11</f>
        <v>52021.637305073018</v>
      </c>
      <c r="AM156" s="76">
        <f>AM153*'General variables'!$B$11</f>
        <v>57400.503295578608</v>
      </c>
      <c r="AN156" s="76">
        <f>AN153*'General variables'!$B$11</f>
        <v>62797.530013880845</v>
      </c>
      <c r="AO156" s="76">
        <f>AO153*'General variables'!$B$11</f>
        <v>68142.158414529666</v>
      </c>
      <c r="AP156" s="76">
        <f>AP153*'General variables'!$B$11</f>
        <v>73434.897219055681</v>
      </c>
      <c r="AQ156" s="76">
        <f>AQ153*'General variables'!$B$11</f>
        <v>78676.250209945516</v>
      </c>
      <c r="AR156" s="76">
        <f>AR153*'General variables'!$B$11</f>
        <v>30330.501512812785</v>
      </c>
      <c r="AS156" s="76">
        <f>AS153*'General variables'!$B$11</f>
        <v>35470.574707008076</v>
      </c>
      <c r="AT156" s="76">
        <f>AT153*'General variables'!$B$11</f>
        <v>40560.744277958751</v>
      </c>
      <c r="AU156" s="76">
        <f>AU153*'General variables'!$B$11</f>
        <v>45601.494726861361</v>
      </c>
      <c r="AV156" s="76">
        <f>AV153*'General variables'!$B$11</f>
        <v>50593.305851017351</v>
      </c>
      <c r="AW156" s="76">
        <f>AW153*'General variables'!$B$11</f>
        <v>55472.186508403072</v>
      </c>
      <c r="AX156" s="76">
        <f>AX153*'General variables'!$B$11</f>
        <v>60367.539787290705</v>
      </c>
      <c r="AY156" s="76">
        <f>AY153*'General variables'!$B$11</f>
        <v>65215.365364441561</v>
      </c>
      <c r="AZ156" s="76">
        <f>AZ153*'General variables'!$B$11</f>
        <v>70016.12467385309</v>
      </c>
      <c r="BA156" s="76">
        <f>BA153*'General variables'!$B$11</f>
        <v>74770.274669581006</v>
      </c>
      <c r="BB156" s="76">
        <f>BB153*'General variables'!$B$11</f>
        <v>79416.870840702992</v>
      </c>
    </row>
    <row r="157" spans="1:54" s="76" customFormat="1" x14ac:dyDescent="0.25">
      <c r="C157" s="134"/>
    </row>
    <row r="158" spans="1:54" x14ac:dyDescent="0.25">
      <c r="A158" s="183" t="s">
        <v>857</v>
      </c>
      <c r="B158" s="76" t="s">
        <v>363</v>
      </c>
      <c r="C158" s="77" t="s">
        <v>362</v>
      </c>
      <c r="D158" s="78">
        <f>D7+D15+D23+D31+D39+D55+D87+D103+D111+D119</f>
        <v>-3428.2015999999994</v>
      </c>
      <c r="E158" s="78">
        <f t="shared" ref="E158:BB158" si="195">E7+E15+E23+E31+E39+E55+E87+E103+E111+E119</f>
        <v>0</v>
      </c>
      <c r="F158" s="78">
        <f t="shared" si="195"/>
        <v>0</v>
      </c>
      <c r="G158" s="78">
        <f t="shared" si="195"/>
        <v>0</v>
      </c>
      <c r="H158" s="78">
        <f t="shared" si="195"/>
        <v>0</v>
      </c>
      <c r="I158" s="78">
        <f t="shared" si="195"/>
        <v>-13.80101004</v>
      </c>
      <c r="J158" s="78">
        <f t="shared" si="195"/>
        <v>0</v>
      </c>
      <c r="K158" s="78">
        <f t="shared" si="195"/>
        <v>0</v>
      </c>
      <c r="L158" s="78">
        <f t="shared" si="195"/>
        <v>0</v>
      </c>
      <c r="M158" s="78">
        <f t="shared" si="195"/>
        <v>0</v>
      </c>
      <c r="N158" s="78">
        <f t="shared" si="195"/>
        <v>-2385.203181743389</v>
      </c>
      <c r="O158" s="78">
        <f t="shared" si="195"/>
        <v>0</v>
      </c>
      <c r="P158" s="78">
        <f t="shared" si="195"/>
        <v>0</v>
      </c>
      <c r="Q158" s="78">
        <f t="shared" si="195"/>
        <v>0</v>
      </c>
      <c r="R158" s="78">
        <f t="shared" si="195"/>
        <v>0</v>
      </c>
      <c r="S158" s="78">
        <f t="shared" si="195"/>
        <v>-16.823354229051617</v>
      </c>
      <c r="T158" s="78">
        <f t="shared" si="195"/>
        <v>-501.34133949909153</v>
      </c>
      <c r="U158" s="78">
        <f t="shared" si="195"/>
        <v>0</v>
      </c>
      <c r="V158" s="78">
        <f t="shared" si="195"/>
        <v>0</v>
      </c>
      <c r="W158" s="78">
        <f t="shared" si="195"/>
        <v>0</v>
      </c>
      <c r="X158" s="78">
        <f t="shared" si="195"/>
        <v>-2907.5493690989315</v>
      </c>
      <c r="Y158" s="78">
        <f t="shared" si="195"/>
        <v>0</v>
      </c>
      <c r="Z158" s="78">
        <f t="shared" si="195"/>
        <v>0</v>
      </c>
      <c r="AA158" s="78">
        <f t="shared" si="195"/>
        <v>0</v>
      </c>
      <c r="AB158" s="78">
        <f t="shared" si="195"/>
        <v>0</v>
      </c>
      <c r="AC158" s="78">
        <f t="shared" si="195"/>
        <v>-7326.1467231314991</v>
      </c>
      <c r="AD158" s="78">
        <f t="shared" si="195"/>
        <v>0</v>
      </c>
      <c r="AE158" s="78">
        <f t="shared" si="195"/>
        <v>0</v>
      </c>
      <c r="AF158" s="78">
        <f t="shared" si="195"/>
        <v>0</v>
      </c>
      <c r="AG158" s="78">
        <f t="shared" si="195"/>
        <v>0</v>
      </c>
      <c r="AH158" s="78">
        <f t="shared" si="195"/>
        <v>-1098.9483182513459</v>
      </c>
      <c r="AI158" s="78">
        <f t="shared" si="195"/>
        <v>0</v>
      </c>
      <c r="AJ158" s="78">
        <f t="shared" si="195"/>
        <v>-688.23422423533225</v>
      </c>
      <c r="AK158" s="78">
        <f t="shared" si="195"/>
        <v>0</v>
      </c>
      <c r="AL158" s="78">
        <f t="shared" si="195"/>
        <v>0</v>
      </c>
      <c r="AM158" s="78">
        <f t="shared" si="195"/>
        <v>-24.998619408280685</v>
      </c>
      <c r="AN158" s="78">
        <f t="shared" si="195"/>
        <v>0</v>
      </c>
      <c r="AO158" s="78">
        <f t="shared" si="195"/>
        <v>0</v>
      </c>
      <c r="AP158" s="78">
        <f t="shared" si="195"/>
        <v>0</v>
      </c>
      <c r="AQ158" s="78">
        <f t="shared" si="195"/>
        <v>0</v>
      </c>
      <c r="AR158" s="78">
        <f t="shared" si="195"/>
        <v>-13704.633984054186</v>
      </c>
      <c r="AS158" s="78">
        <f t="shared" si="195"/>
        <v>0</v>
      </c>
      <c r="AT158" s="78">
        <f t="shared" si="195"/>
        <v>0</v>
      </c>
      <c r="AU158" s="78">
        <f t="shared" si="195"/>
        <v>0</v>
      </c>
      <c r="AV158" s="78">
        <f t="shared" si="195"/>
        <v>0</v>
      </c>
      <c r="AW158" s="78">
        <f t="shared" si="195"/>
        <v>-30.473177566266791</v>
      </c>
      <c r="AX158" s="78">
        <f t="shared" si="195"/>
        <v>0</v>
      </c>
      <c r="AY158" s="78">
        <f t="shared" si="195"/>
        <v>0</v>
      </c>
      <c r="AZ158" s="78">
        <f t="shared" si="195"/>
        <v>0</v>
      </c>
      <c r="BA158" s="78">
        <f t="shared" si="195"/>
        <v>0</v>
      </c>
      <c r="BB158" s="78">
        <f t="shared" si="195"/>
        <v>-33.644850363420062</v>
      </c>
    </row>
    <row r="159" spans="1:54" x14ac:dyDescent="0.25">
      <c r="A159" s="183"/>
      <c r="B159" s="76" t="s">
        <v>356</v>
      </c>
      <c r="C159" s="77" t="s">
        <v>362</v>
      </c>
      <c r="D159" s="76">
        <v>0</v>
      </c>
      <c r="E159" s="78">
        <f>ABS('Annual Calculations'!$Q$18)*(1+$C$3)^E$168</f>
        <v>508.91071005830804</v>
      </c>
      <c r="F159" s="78">
        <f>ABS('Annual Calculations'!$Q$18)*(1+$C$3)^F$168</f>
        <v>519.0889242594742</v>
      </c>
      <c r="G159" s="78">
        <f>ABS('Annual Calculations'!$Q$18)*(1+$C$3)^G$168</f>
        <v>529.47070274466364</v>
      </c>
      <c r="H159" s="78">
        <f>ABS('Annual Calculations'!$Q$18)*(1+$C$3)^H$168</f>
        <v>540.06011679955691</v>
      </c>
      <c r="I159" s="78">
        <f>ABS('Annual Calculations'!$Q$18)*(1+$C$3)^I$168</f>
        <v>550.86131913554811</v>
      </c>
      <c r="J159" s="78">
        <f>ABS('Annual Calculations'!$Q$18)*(1+$C$3)^J$168</f>
        <v>561.8785455182591</v>
      </c>
      <c r="K159" s="78">
        <f>ABS('Annual Calculations'!$Q$18)*(1+$C$3)^K$168</f>
        <v>573.1161164286242</v>
      </c>
      <c r="L159" s="78">
        <f>ABS('Annual Calculations'!$Q$18)*(1+$C$3)^L$168</f>
        <v>584.57843875719664</v>
      </c>
      <c r="M159" s="78">
        <f>ABS('Annual Calculations'!$Q$18)*(1+$C$3)^M$168</f>
        <v>596.27000753234063</v>
      </c>
      <c r="N159" s="78">
        <f>ABS('Annual Calculations'!$Q$18)*(1+$C$3)^N$168</f>
        <v>608.19540768298748</v>
      </c>
      <c r="O159" s="78">
        <f>ABS('Annual Calculations'!$Q$18)*(1+$C$3)^O$168</f>
        <v>620.35931583664706</v>
      </c>
      <c r="P159" s="78">
        <f>ABS('Annual Calculations'!$Q$18)*(1+$C$3)^P$168</f>
        <v>632.7665021533802</v>
      </c>
      <c r="Q159" s="78">
        <f>ABS('Annual Calculations'!$Q$18)*(1+$C$3)^Q$168</f>
        <v>645.42183219644767</v>
      </c>
      <c r="R159" s="78">
        <f>ABS('Annual Calculations'!$Q$18)*(1+$C$3)^R$168</f>
        <v>658.33026884037668</v>
      </c>
      <c r="S159" s="78">
        <f>ABS('Annual Calculations'!$Q$18)*(1+$C$3)^S$168</f>
        <v>671.49687421718409</v>
      </c>
      <c r="T159" s="78">
        <f>ABS('Annual Calculations'!$Q$18)*(1+$C$3)^T$168</f>
        <v>684.92681170152787</v>
      </c>
      <c r="U159" s="78">
        <f>ABS('Annual Calculations'!$Q$18)*(1+$C$3)^U$168</f>
        <v>698.62534793555847</v>
      </c>
      <c r="V159" s="78">
        <f>ABS('Annual Calculations'!$Q$18)*(1+$C$3)^V$168</f>
        <v>712.59785489426963</v>
      </c>
      <c r="W159" s="78">
        <f>ABS('Annual Calculations'!$Q$18)*(1+$C$3)^W$168</f>
        <v>726.84981199215497</v>
      </c>
      <c r="X159" s="78">
        <f>ABS('Annual Calculations'!$Q$18)*(1+$C$3)^X$168</f>
        <v>741.38680823199809</v>
      </c>
      <c r="Y159" s="78">
        <f>ABS('Annual Calculations'!$Q$18)*(1+$C$3)^Y$168</f>
        <v>756.21454439663808</v>
      </c>
      <c r="Z159" s="78">
        <f>ABS('Annual Calculations'!$Q$18)*(1+$C$3)^Z$168</f>
        <v>771.33883528457079</v>
      </c>
      <c r="AA159" s="78">
        <f>ABS('Annual Calculations'!$Q$18)*(1+$C$3)^AA$168</f>
        <v>786.76561199026207</v>
      </c>
      <c r="AB159" s="78">
        <f>ABS('Annual Calculations'!$Q$18)*(1+$C$3)^AB$168</f>
        <v>802.50092423006743</v>
      </c>
      <c r="AC159" s="78">
        <f>ABS('Annual Calculations'!$Q$18)*(1+$C$3)^AC$168</f>
        <v>818.55094271466874</v>
      </c>
      <c r="AD159" s="78">
        <f>ABS('Annual Calculations'!$Q$18)*(1+$C$3)^AD$168</f>
        <v>834.92196156896216</v>
      </c>
      <c r="AE159" s="78">
        <f>ABS('Annual Calculations'!$Q$18)*(1+$C$3)^AE$168</f>
        <v>851.62040080034126</v>
      </c>
      <c r="AF159" s="78">
        <f>ABS('Annual Calculations'!$Q$18)*(1+$C$3)^AF$168</f>
        <v>868.65280881634828</v>
      </c>
      <c r="AG159" s="78">
        <f>ABS('Annual Calculations'!$Q$18)*(1+$C$3)^AG$168</f>
        <v>886.02586499267511</v>
      </c>
      <c r="AH159" s="78">
        <f>ABS('Annual Calculations'!$Q$18)*(1+$C$3)^AH$168</f>
        <v>903.74638229252866</v>
      </c>
      <c r="AI159" s="78">
        <f>ABS('Annual Calculations'!$Q$18)*(1+$C$3)^AI$168</f>
        <v>921.82130993837904</v>
      </c>
      <c r="AJ159" s="78">
        <f>ABS('Annual Calculations'!$Q$18)*(1+$C$3)^AJ$168</f>
        <v>940.25773613714682</v>
      </c>
      <c r="AK159" s="78">
        <f>ABS('Annual Calculations'!$Q$18)*(1+$C$3)^AK$168</f>
        <v>959.06289085988988</v>
      </c>
      <c r="AL159" s="78">
        <f>ABS('Annual Calculations'!$Q$18)*(1+$C$3)^AL$168</f>
        <v>978.24414867708754</v>
      </c>
      <c r="AM159" s="78">
        <f>ABS('Annual Calculations'!$Q$18)*(1+$C$3)^AM$168</f>
        <v>997.80903165062932</v>
      </c>
      <c r="AN159" s="78">
        <f>ABS('Annual Calculations'!$Q$18)*(1+$C$3)^AN$168</f>
        <v>1017.7652122836419</v>
      </c>
      <c r="AO159" s="78">
        <f>ABS('Annual Calculations'!$Q$18)*(1+$C$3)^AO$168</f>
        <v>1038.1205165293147</v>
      </c>
      <c r="AP159" s="78">
        <f>ABS('Annual Calculations'!$Q$18)*(1+$C$3)^AP$168</f>
        <v>1058.8829268599011</v>
      </c>
      <c r="AQ159" s="78">
        <f>ABS('Annual Calculations'!$Q$18)*(1+$C$3)^AQ$168</f>
        <v>1080.0605853970987</v>
      </c>
      <c r="AR159" s="78">
        <f>ABS('Annual Calculations'!$Q$18)*(1+$C$3)^AR$168</f>
        <v>1101.6617971050412</v>
      </c>
      <c r="AS159" s="78">
        <f>ABS('Annual Calculations'!$Q$18)*(1+$C$3)^AS$168</f>
        <v>1123.6950330471418</v>
      </c>
      <c r="AT159" s="78">
        <f>ABS('Annual Calculations'!$Q$18)*(1+$C$3)^AT$168</f>
        <v>1146.1689337080845</v>
      </c>
      <c r="AU159" s="78">
        <f>ABS('Annual Calculations'!$Q$18)*(1+$C$3)^AU$168</f>
        <v>1169.0923123822463</v>
      </c>
      <c r="AV159" s="78">
        <f>ABS('Annual Calculations'!$Q$18)*(1+$C$3)^AV$168</f>
        <v>1192.4741586298915</v>
      </c>
      <c r="AW159" s="78">
        <f>ABS('Annual Calculations'!$Q$18)*(1+$C$3)^AW$168</f>
        <v>1216.323641802489</v>
      </c>
      <c r="AX159" s="78">
        <f>ABS('Annual Calculations'!$Q$18)*(1+$C$3)^AX$168</f>
        <v>1240.650114638539</v>
      </c>
      <c r="AY159" s="78">
        <f>ABS('Annual Calculations'!$Q$18)*(1+$C$3)^AY$168</f>
        <v>1265.4631169313093</v>
      </c>
      <c r="AZ159" s="78">
        <f>ABS('Annual Calculations'!$Q$18)*(1+$C$3)^AZ$168</f>
        <v>1290.7723792699358</v>
      </c>
      <c r="BA159" s="78">
        <f>ABS('Annual Calculations'!$Q$18)*(1+$C$3)^BA$168</f>
        <v>1316.5878268553345</v>
      </c>
      <c r="BB159" s="78">
        <f>ABS('Annual Calculations'!$Q$18)*(1+$C$3)^BB$168</f>
        <v>1342.9195833924412</v>
      </c>
    </row>
    <row r="160" spans="1:54" x14ac:dyDescent="0.25">
      <c r="A160" s="183"/>
      <c r="B160" s="76" t="s">
        <v>357</v>
      </c>
      <c r="C160" s="77" t="s">
        <v>362</v>
      </c>
      <c r="D160" s="76">
        <v>0</v>
      </c>
      <c r="E160" s="78">
        <f>-'Annual Calculations'!$L$33*(1+$C$3)^E$168</f>
        <v>590.80921666666677</v>
      </c>
      <c r="F160" s="78">
        <f>-'Annual Calculations'!$L$33*(1+$C$3)^F$168</f>
        <v>602.62540100000012</v>
      </c>
      <c r="G160" s="78">
        <f>-'Annual Calculations'!$L$33*(1+$C$3)^G$168</f>
        <v>614.67790902000013</v>
      </c>
      <c r="H160" s="78">
        <f>-'Annual Calculations'!$L$33*(1+$C$3)^H$168</f>
        <v>626.97146720040007</v>
      </c>
      <c r="I160" s="78">
        <f>-'Annual Calculations'!$L$33*(1+$C$3)^I$168</f>
        <v>639.51089654440818</v>
      </c>
      <c r="J160" s="78">
        <f>-'Annual Calculations'!$L$33*(1+$C$3)^J$168</f>
        <v>652.30111447529634</v>
      </c>
      <c r="K160" s="78">
        <f>-'Annual Calculations'!$L$33*(1+$C$3)^K$168</f>
        <v>665.34713676480214</v>
      </c>
      <c r="L160" s="78">
        <f>-'Annual Calculations'!$L$33*(1+$C$3)^L$168</f>
        <v>678.65407950009819</v>
      </c>
      <c r="M160" s="78">
        <f>-'Annual Calculations'!$L$33*(1+$C$3)^M$168</f>
        <v>692.22716109010014</v>
      </c>
      <c r="N160" s="78">
        <f>-'Annual Calculations'!$L$33*(1+$C$3)^N$168</f>
        <v>706.07170431190218</v>
      </c>
      <c r="O160" s="78">
        <f>-'Annual Calculations'!$L$33*(1+$C$3)^O$168</f>
        <v>720.19313839814015</v>
      </c>
      <c r="P160" s="78">
        <f>-'Annual Calculations'!$L$33*(1+$C$3)^P$168</f>
        <v>734.59700116610304</v>
      </c>
      <c r="Q160" s="78">
        <f>-'Annual Calculations'!$L$33*(1+$C$3)^Q$168</f>
        <v>749.28894118942503</v>
      </c>
      <c r="R160" s="78">
        <f>-'Annual Calculations'!$L$33*(1+$C$3)^R$168</f>
        <v>764.2747200132136</v>
      </c>
      <c r="S160" s="78">
        <f>-'Annual Calculations'!$L$33*(1+$C$3)^S$168</f>
        <v>779.56021441347775</v>
      </c>
      <c r="T160" s="78">
        <f>-'Annual Calculations'!$L$33*(1+$C$3)^T$168</f>
        <v>795.15141870174739</v>
      </c>
      <c r="U160" s="78">
        <f>-'Annual Calculations'!$L$33*(1+$C$3)^U$168</f>
        <v>811.05444707578238</v>
      </c>
      <c r="V160" s="78">
        <f>-'Annual Calculations'!$L$33*(1+$C$3)^V$168</f>
        <v>827.27553601729801</v>
      </c>
      <c r="W160" s="78">
        <f>-'Annual Calculations'!$L$33*(1+$C$3)^W$168</f>
        <v>843.82104673764388</v>
      </c>
      <c r="X160" s="78">
        <f>-'Annual Calculations'!$L$33*(1+$C$3)^X$168</f>
        <v>860.6974676723969</v>
      </c>
      <c r="Y160" s="78">
        <f>-'Annual Calculations'!$L$33*(1+$C$3)^Y$168</f>
        <v>877.91141702584468</v>
      </c>
      <c r="Z160" s="78">
        <f>-'Annual Calculations'!$L$33*(1+$C$3)^Z$168</f>
        <v>895.46964536636165</v>
      </c>
      <c r="AA160" s="78">
        <f>-'Annual Calculations'!$L$33*(1+$C$3)^AA$168</f>
        <v>913.37903827368871</v>
      </c>
      <c r="AB160" s="78">
        <f>-'Annual Calculations'!$L$33*(1+$C$3)^AB$168</f>
        <v>931.6466190391626</v>
      </c>
      <c r="AC160" s="78">
        <f>-'Annual Calculations'!$L$33*(1+$C$3)^AC$168</f>
        <v>950.27955141994585</v>
      </c>
      <c r="AD160" s="78">
        <f>-'Annual Calculations'!$L$33*(1+$C$3)^AD$168</f>
        <v>969.2851424483448</v>
      </c>
      <c r="AE160" s="78">
        <f>-'Annual Calculations'!$L$33*(1+$C$3)^AE$168</f>
        <v>988.67084529731153</v>
      </c>
      <c r="AF160" s="78">
        <f>-'Annual Calculations'!$L$33*(1+$C$3)^AF$168</f>
        <v>1008.4442622032579</v>
      </c>
      <c r="AG160" s="78">
        <f>-'Annual Calculations'!$L$33*(1+$C$3)^AG$168</f>
        <v>1028.6131474473229</v>
      </c>
      <c r="AH160" s="78">
        <f>-'Annual Calculations'!$L$33*(1+$C$3)^AH$168</f>
        <v>1049.1854103962696</v>
      </c>
      <c r="AI160" s="78">
        <f>-'Annual Calculations'!$L$33*(1+$C$3)^AI$168</f>
        <v>1070.1691186041946</v>
      </c>
      <c r="AJ160" s="78">
        <f>-'Annual Calculations'!$L$33*(1+$C$3)^AJ$168</f>
        <v>1091.5725009762789</v>
      </c>
      <c r="AK160" s="78">
        <f>-'Annual Calculations'!$L$33*(1+$C$3)^AK$168</f>
        <v>1113.4039509958045</v>
      </c>
      <c r="AL160" s="78">
        <f>-'Annual Calculations'!$L$33*(1+$C$3)^AL$168</f>
        <v>1135.6720300157203</v>
      </c>
      <c r="AM160" s="78">
        <f>-'Annual Calculations'!$L$33*(1+$C$3)^AM$168</f>
        <v>1158.3854706160348</v>
      </c>
      <c r="AN160" s="78">
        <f>-'Annual Calculations'!$L$33*(1+$C$3)^AN$168</f>
        <v>1181.5531800283554</v>
      </c>
      <c r="AO160" s="78">
        <f>-'Annual Calculations'!$L$33*(1+$C$3)^AO$168</f>
        <v>1205.1842436289228</v>
      </c>
      <c r="AP160" s="78">
        <f>-'Annual Calculations'!$L$33*(1+$C$3)^AP$168</f>
        <v>1229.2879285015013</v>
      </c>
      <c r="AQ160" s="78">
        <f>-'Annual Calculations'!$L$33*(1+$C$3)^AQ$168</f>
        <v>1253.8736870715309</v>
      </c>
      <c r="AR160" s="78">
        <f>-'Annual Calculations'!$L$33*(1+$C$3)^AR$168</f>
        <v>1278.9511608129617</v>
      </c>
      <c r="AS160" s="78">
        <f>-'Annual Calculations'!$L$33*(1+$C$3)^AS$168</f>
        <v>1304.5301840292209</v>
      </c>
      <c r="AT160" s="78">
        <f>-'Annual Calculations'!$L$33*(1+$C$3)^AT$168</f>
        <v>1330.6207877098054</v>
      </c>
      <c r="AU160" s="78">
        <f>-'Annual Calculations'!$L$33*(1+$C$3)^AU$168</f>
        <v>1357.2332034640015</v>
      </c>
      <c r="AV160" s="78">
        <f>-'Annual Calculations'!$L$33*(1+$C$3)^AV$168</f>
        <v>1384.3778675332817</v>
      </c>
      <c r="AW160" s="78">
        <f>-'Annual Calculations'!$L$33*(1+$C$3)^AW$168</f>
        <v>1412.0654248839471</v>
      </c>
      <c r="AX160" s="78">
        <f>-'Annual Calculations'!$L$33*(1+$C$3)^AX$168</f>
        <v>1440.3067333816261</v>
      </c>
      <c r="AY160" s="78">
        <f>-'Annual Calculations'!$L$33*(1+$C$3)^AY$168</f>
        <v>1469.1128680492582</v>
      </c>
      <c r="AZ160" s="78">
        <f>-'Annual Calculations'!$L$33*(1+$C$3)^AZ$168</f>
        <v>1498.4951254102436</v>
      </c>
      <c r="BA160" s="78">
        <f>-'Annual Calculations'!$L$33*(1+$C$3)^BA$168</f>
        <v>1528.4650279184486</v>
      </c>
      <c r="BB160" s="78">
        <f>-'Annual Calculations'!$L$33*(1+$C$3)^BB$168</f>
        <v>1559.0343284768176</v>
      </c>
    </row>
    <row r="161" spans="1:54" x14ac:dyDescent="0.25">
      <c r="A161" s="183"/>
      <c r="B161" s="76" t="s">
        <v>358</v>
      </c>
      <c r="C161" s="77" t="s">
        <v>362</v>
      </c>
      <c r="D161" s="78">
        <f>SUM(D158:D160)</f>
        <v>-3428.2015999999994</v>
      </c>
      <c r="E161" s="78">
        <f>SUM(E158:E160)</f>
        <v>1099.7199267249748</v>
      </c>
      <c r="F161" s="78">
        <f t="shared" ref="F161:BB161" si="196">SUM(F158:F160)</f>
        <v>1121.7143252594742</v>
      </c>
      <c r="G161" s="78">
        <f t="shared" si="196"/>
        <v>1144.1486117646637</v>
      </c>
      <c r="H161" s="78">
        <f t="shared" si="196"/>
        <v>1167.0315839999571</v>
      </c>
      <c r="I161" s="78">
        <f t="shared" si="196"/>
        <v>1176.5712056399561</v>
      </c>
      <c r="J161" s="78">
        <f t="shared" si="196"/>
        <v>1214.1796599935556</v>
      </c>
      <c r="K161" s="78">
        <f t="shared" si="196"/>
        <v>1238.4632531934262</v>
      </c>
      <c r="L161" s="78">
        <f t="shared" si="196"/>
        <v>1263.2325182572949</v>
      </c>
      <c r="M161" s="78">
        <f t="shared" si="196"/>
        <v>1288.4971686224408</v>
      </c>
      <c r="N161" s="78">
        <f t="shared" si="196"/>
        <v>-1070.9360697484994</v>
      </c>
      <c r="O161" s="78">
        <f t="shared" si="196"/>
        <v>1340.5524542347871</v>
      </c>
      <c r="P161" s="78">
        <f t="shared" si="196"/>
        <v>1367.3635033194832</v>
      </c>
      <c r="Q161" s="78">
        <f t="shared" si="196"/>
        <v>1394.7107733858727</v>
      </c>
      <c r="R161" s="78">
        <f t="shared" si="196"/>
        <v>1422.6049888535904</v>
      </c>
      <c r="S161" s="78">
        <f t="shared" si="196"/>
        <v>1434.2337344016103</v>
      </c>
      <c r="T161" s="78">
        <f t="shared" si="196"/>
        <v>978.73689090418372</v>
      </c>
      <c r="U161" s="78">
        <f t="shared" si="196"/>
        <v>1509.679795011341</v>
      </c>
      <c r="V161" s="78">
        <f t="shared" si="196"/>
        <v>1539.8733909115676</v>
      </c>
      <c r="W161" s="78">
        <f t="shared" si="196"/>
        <v>1570.670858729799</v>
      </c>
      <c r="X161" s="78">
        <f t="shared" si="196"/>
        <v>-1305.4650931945364</v>
      </c>
      <c r="Y161" s="78">
        <f t="shared" si="196"/>
        <v>1634.1259614224828</v>
      </c>
      <c r="Z161" s="78">
        <f t="shared" si="196"/>
        <v>1666.8084806509323</v>
      </c>
      <c r="AA161" s="78">
        <f t="shared" si="196"/>
        <v>1700.1446502639508</v>
      </c>
      <c r="AB161" s="78">
        <f t="shared" si="196"/>
        <v>1734.14754326923</v>
      </c>
      <c r="AC161" s="78">
        <f t="shared" si="196"/>
        <v>-5557.3162289968841</v>
      </c>
      <c r="AD161" s="78">
        <f t="shared" si="196"/>
        <v>1804.2071040173068</v>
      </c>
      <c r="AE161" s="78">
        <f t="shared" si="196"/>
        <v>1840.2912460976527</v>
      </c>
      <c r="AF161" s="78">
        <f t="shared" si="196"/>
        <v>1877.0970710196061</v>
      </c>
      <c r="AG161" s="78">
        <f t="shared" si="196"/>
        <v>1914.6390124399982</v>
      </c>
      <c r="AH161" s="78">
        <f t="shared" si="196"/>
        <v>853.9834744374524</v>
      </c>
      <c r="AI161" s="78">
        <f t="shared" si="196"/>
        <v>1991.9904285425737</v>
      </c>
      <c r="AJ161" s="78">
        <f t="shared" si="196"/>
        <v>1343.5960128780935</v>
      </c>
      <c r="AK161" s="78">
        <f t="shared" si="196"/>
        <v>2072.4668418556944</v>
      </c>
      <c r="AL161" s="78">
        <f t="shared" si="196"/>
        <v>2113.916178692808</v>
      </c>
      <c r="AM161" s="78">
        <f t="shared" si="196"/>
        <v>2131.1958828583834</v>
      </c>
      <c r="AN161" s="78">
        <f t="shared" si="196"/>
        <v>2199.3183923119973</v>
      </c>
      <c r="AO161" s="78">
        <f t="shared" si="196"/>
        <v>2243.3047601582375</v>
      </c>
      <c r="AP161" s="78">
        <f t="shared" si="196"/>
        <v>2288.1708553614026</v>
      </c>
      <c r="AQ161" s="78">
        <f t="shared" si="196"/>
        <v>2333.9342724686294</v>
      </c>
      <c r="AR161" s="78">
        <f t="shared" si="196"/>
        <v>-11324.021026136183</v>
      </c>
      <c r="AS161" s="78">
        <f t="shared" si="196"/>
        <v>2428.2252170763627</v>
      </c>
      <c r="AT161" s="78">
        <f t="shared" si="196"/>
        <v>2476.7897214178902</v>
      </c>
      <c r="AU161" s="78">
        <f t="shared" si="196"/>
        <v>2526.325515846248</v>
      </c>
      <c r="AV161" s="78">
        <f t="shared" si="196"/>
        <v>2576.8520261631729</v>
      </c>
      <c r="AW161" s="78">
        <f t="shared" si="196"/>
        <v>2597.9158891201696</v>
      </c>
      <c r="AX161" s="78">
        <f t="shared" si="196"/>
        <v>2680.9568480201651</v>
      </c>
      <c r="AY161" s="78">
        <f t="shared" si="196"/>
        <v>2734.5759849805672</v>
      </c>
      <c r="AZ161" s="78">
        <f t="shared" si="196"/>
        <v>2789.2675046801796</v>
      </c>
      <c r="BA161" s="78">
        <f t="shared" si="196"/>
        <v>2845.0528547737831</v>
      </c>
      <c r="BB161" s="78">
        <f t="shared" si="196"/>
        <v>2868.3090615058386</v>
      </c>
    </row>
    <row r="162" spans="1:54" x14ac:dyDescent="0.25">
      <c r="A162" s="183"/>
      <c r="B162" s="76" t="s">
        <v>359</v>
      </c>
      <c r="C162" s="77"/>
      <c r="D162" s="76">
        <f t="shared" ref="D162:AI162" si="197">(1+$C$2)^D$168</f>
        <v>1</v>
      </c>
      <c r="E162" s="79">
        <f t="shared" si="197"/>
        <v>1.03</v>
      </c>
      <c r="F162" s="79">
        <f t="shared" si="197"/>
        <v>1.0609</v>
      </c>
      <c r="G162" s="79">
        <f t="shared" si="197"/>
        <v>1.092727</v>
      </c>
      <c r="H162" s="79">
        <f t="shared" si="197"/>
        <v>1.1255088099999999</v>
      </c>
      <c r="I162" s="79">
        <f t="shared" si="197"/>
        <v>1.1592740742999998</v>
      </c>
      <c r="J162" s="79">
        <f t="shared" si="197"/>
        <v>1.1940522965289999</v>
      </c>
      <c r="K162" s="79">
        <f t="shared" si="197"/>
        <v>1.22987386542487</v>
      </c>
      <c r="L162" s="79">
        <f t="shared" si="197"/>
        <v>1.2667700813876159</v>
      </c>
      <c r="M162" s="79">
        <f t="shared" si="197"/>
        <v>1.3047731838292445</v>
      </c>
      <c r="N162" s="79">
        <f t="shared" si="197"/>
        <v>1.3439163793441218</v>
      </c>
      <c r="O162" s="79">
        <f t="shared" si="197"/>
        <v>1.3842338707244455</v>
      </c>
      <c r="P162" s="79">
        <f t="shared" si="197"/>
        <v>1.4257608868461786</v>
      </c>
      <c r="Q162" s="79">
        <f t="shared" si="197"/>
        <v>1.4685337134515639</v>
      </c>
      <c r="R162" s="79">
        <f t="shared" si="197"/>
        <v>1.512589724855111</v>
      </c>
      <c r="S162" s="79">
        <f t="shared" si="197"/>
        <v>1.5579674166007644</v>
      </c>
      <c r="T162" s="79">
        <f t="shared" si="197"/>
        <v>1.6047064390987871</v>
      </c>
      <c r="U162" s="79">
        <f t="shared" si="197"/>
        <v>1.6528476322717507</v>
      </c>
      <c r="V162" s="79">
        <f t="shared" si="197"/>
        <v>1.7024330612399032</v>
      </c>
      <c r="W162" s="79">
        <f t="shared" si="197"/>
        <v>1.7535060530771003</v>
      </c>
      <c r="X162" s="79">
        <f t="shared" si="197"/>
        <v>1.8061112346694133</v>
      </c>
      <c r="Y162" s="79">
        <f t="shared" si="197"/>
        <v>1.8602945717094954</v>
      </c>
      <c r="Z162" s="79">
        <f t="shared" si="197"/>
        <v>1.9161034088607805</v>
      </c>
      <c r="AA162" s="79">
        <f t="shared" si="197"/>
        <v>1.973586511126604</v>
      </c>
      <c r="AB162" s="79">
        <f t="shared" si="197"/>
        <v>2.0327941064604018</v>
      </c>
      <c r="AC162" s="79">
        <f t="shared" si="197"/>
        <v>2.0937779296542138</v>
      </c>
      <c r="AD162" s="79">
        <f t="shared" si="197"/>
        <v>2.1565912675438406</v>
      </c>
      <c r="AE162" s="79">
        <f t="shared" si="197"/>
        <v>2.2212890055701555</v>
      </c>
      <c r="AF162" s="79">
        <f t="shared" si="197"/>
        <v>2.2879276757372602</v>
      </c>
      <c r="AG162" s="79">
        <f t="shared" si="197"/>
        <v>2.3565655060093778</v>
      </c>
      <c r="AH162" s="79">
        <f t="shared" si="197"/>
        <v>2.4272624711896591</v>
      </c>
      <c r="AI162" s="79">
        <f t="shared" si="197"/>
        <v>2.5000803453253493</v>
      </c>
      <c r="AJ162" s="79">
        <f t="shared" ref="AJ162:BB162" si="198">(1+$C$2)^AJ$168</f>
        <v>2.5750827556851092</v>
      </c>
      <c r="AK162" s="79">
        <f t="shared" si="198"/>
        <v>2.6523352383556626</v>
      </c>
      <c r="AL162" s="79">
        <f t="shared" si="198"/>
        <v>2.7319052955063321</v>
      </c>
      <c r="AM162" s="79">
        <f t="shared" si="198"/>
        <v>2.8138624543715225</v>
      </c>
      <c r="AN162" s="79">
        <f t="shared" si="198"/>
        <v>2.898278328002668</v>
      </c>
      <c r="AO162" s="79">
        <f t="shared" si="198"/>
        <v>2.9852266778427476</v>
      </c>
      <c r="AP162" s="79">
        <f t="shared" si="198"/>
        <v>3.0747834781780301</v>
      </c>
      <c r="AQ162" s="79">
        <f t="shared" si="198"/>
        <v>3.1670269825233714</v>
      </c>
      <c r="AR162" s="79">
        <f t="shared" si="198"/>
        <v>3.262037791999072</v>
      </c>
      <c r="AS162" s="79">
        <f t="shared" si="198"/>
        <v>3.3598989257590444</v>
      </c>
      <c r="AT162" s="79">
        <f t="shared" si="198"/>
        <v>3.4606958935318159</v>
      </c>
      <c r="AU162" s="79">
        <f t="shared" si="198"/>
        <v>3.5645167703377703</v>
      </c>
      <c r="AV162" s="79">
        <f t="shared" si="198"/>
        <v>3.6714522734479029</v>
      </c>
      <c r="AW162" s="79">
        <f t="shared" si="198"/>
        <v>3.78159584165134</v>
      </c>
      <c r="AX162" s="79">
        <f t="shared" si="198"/>
        <v>3.8950437169008802</v>
      </c>
      <c r="AY162" s="79">
        <f t="shared" si="198"/>
        <v>4.0118950284079071</v>
      </c>
      <c r="AZ162" s="79">
        <f t="shared" si="198"/>
        <v>4.1322518792601439</v>
      </c>
      <c r="BA162" s="79">
        <f t="shared" si="198"/>
        <v>4.2562194356379477</v>
      </c>
      <c r="BB162" s="79">
        <f t="shared" si="198"/>
        <v>4.3839060187070862</v>
      </c>
    </row>
    <row r="163" spans="1:54" s="76" customFormat="1" x14ac:dyDescent="0.25">
      <c r="A163" s="183"/>
      <c r="B163" s="76" t="s">
        <v>360</v>
      </c>
      <c r="C163" s="77" t="s">
        <v>362</v>
      </c>
      <c r="D163" s="76">
        <f>D161/D162</f>
        <v>-3428.2015999999994</v>
      </c>
      <c r="E163" s="78">
        <f>E161/E162</f>
        <v>1067.6892492475483</v>
      </c>
      <c r="F163" s="78">
        <f>F161/F162</f>
        <v>1057.3233342063099</v>
      </c>
      <c r="G163" s="78">
        <f t="shared" ref="G163:BB163" si="199">G161/G162</f>
        <v>1047.0580591169282</v>
      </c>
      <c r="H163" s="78">
        <f t="shared" si="199"/>
        <v>1036.8924468924922</v>
      </c>
      <c r="I163" s="78">
        <f t="shared" si="199"/>
        <v>1014.9206574384929</v>
      </c>
      <c r="J163" s="78">
        <f t="shared" si="199"/>
        <v>1016.8563500301151</v>
      </c>
      <c r="K163" s="78">
        <f t="shared" si="199"/>
        <v>1006.9839582822495</v>
      </c>
      <c r="L163" s="78">
        <f t="shared" si="199"/>
        <v>997.20741499795611</v>
      </c>
      <c r="M163" s="78">
        <f t="shared" si="199"/>
        <v>987.52578960962637</v>
      </c>
      <c r="N163" s="78">
        <f t="shared" si="199"/>
        <v>-796.87701274327333</v>
      </c>
      <c r="O163" s="78">
        <f t="shared" si="199"/>
        <v>968.44361533589881</v>
      </c>
      <c r="P163" s="78">
        <f t="shared" si="199"/>
        <v>959.04125013846328</v>
      </c>
      <c r="Q163" s="78">
        <f t="shared" si="199"/>
        <v>949.73017004003145</v>
      </c>
      <c r="R163" s="78">
        <f t="shared" si="199"/>
        <v>940.50948877750693</v>
      </c>
      <c r="S163" s="78">
        <f t="shared" si="199"/>
        <v>920.58005778508436</v>
      </c>
      <c r="T163" s="78">
        <f t="shared" si="199"/>
        <v>609.91647260657112</v>
      </c>
      <c r="U163" s="78">
        <f t="shared" si="199"/>
        <v>913.38110394142427</v>
      </c>
      <c r="V163" s="78">
        <f t="shared" si="199"/>
        <v>904.51332623325504</v>
      </c>
      <c r="W163" s="78">
        <f t="shared" si="199"/>
        <v>895.73164345429143</v>
      </c>
      <c r="X163" s="78">
        <f t="shared" si="199"/>
        <v>-722.80437003841905</v>
      </c>
      <c r="Y163" s="78">
        <f t="shared" si="199"/>
        <v>878.42322730685726</v>
      </c>
      <c r="Z163" s="78">
        <f t="shared" si="199"/>
        <v>869.89484645921777</v>
      </c>
      <c r="AA163" s="78">
        <f t="shared" si="199"/>
        <v>861.44926542563292</v>
      </c>
      <c r="AB163" s="78">
        <f t="shared" si="199"/>
        <v>853.08568032441349</v>
      </c>
      <c r="AC163" s="78">
        <f t="shared" si="199"/>
        <v>-2654.2051811171168</v>
      </c>
      <c r="AD163" s="78">
        <f t="shared" si="199"/>
        <v>836.60132133991851</v>
      </c>
      <c r="AE163" s="78">
        <f t="shared" si="199"/>
        <v>828.47897841428824</v>
      </c>
      <c r="AF163" s="78">
        <f t="shared" si="199"/>
        <v>820.43549318696523</v>
      </c>
      <c r="AG163" s="78">
        <f t="shared" si="199"/>
        <v>812.47010004922777</v>
      </c>
      <c r="AH163" s="78">
        <f t="shared" si="199"/>
        <v>351.82988431362133</v>
      </c>
      <c r="AI163" s="78">
        <f t="shared" si="199"/>
        <v>796.77056470092964</v>
      </c>
      <c r="AJ163" s="78">
        <f t="shared" si="199"/>
        <v>521.76809071933121</v>
      </c>
      <c r="AK163" s="78">
        <f t="shared" si="199"/>
        <v>781.37439486742164</v>
      </c>
      <c r="AL163" s="78">
        <f t="shared" si="199"/>
        <v>773.78823569395149</v>
      </c>
      <c r="AM163" s="78">
        <f t="shared" si="199"/>
        <v>757.39163424545814</v>
      </c>
      <c r="AN163" s="78">
        <f t="shared" si="199"/>
        <v>758.83615837118202</v>
      </c>
      <c r="AO163" s="78">
        <f t="shared" si="199"/>
        <v>751.46881702777273</v>
      </c>
      <c r="AP163" s="78">
        <f t="shared" si="199"/>
        <v>744.17300327022156</v>
      </c>
      <c r="AQ163" s="78">
        <f t="shared" si="199"/>
        <v>736.94802265594717</v>
      </c>
      <c r="AR163" s="78">
        <f t="shared" si="199"/>
        <v>-3471.4561106284709</v>
      </c>
      <c r="AS163" s="78">
        <f t="shared" si="199"/>
        <v>722.70781673225349</v>
      </c>
      <c r="AT163" s="78">
        <f t="shared" si="199"/>
        <v>715.69123598728015</v>
      </c>
      <c r="AU163" s="78">
        <f t="shared" si="199"/>
        <v>708.74277738546186</v>
      </c>
      <c r="AV163" s="78">
        <f t="shared" si="199"/>
        <v>701.86177954676816</v>
      </c>
      <c r="AW163" s="78">
        <f t="shared" si="199"/>
        <v>686.98930237497746</v>
      </c>
      <c r="AX163" s="78">
        <f t="shared" si="199"/>
        <v>688.29955268211677</v>
      </c>
      <c r="AY163" s="78">
        <f t="shared" si="199"/>
        <v>681.6170327531637</v>
      </c>
      <c r="AZ163" s="78">
        <f t="shared" si="199"/>
        <v>674.9993916584732</v>
      </c>
      <c r="BA163" s="78">
        <f t="shared" si="199"/>
        <v>668.4459995064492</v>
      </c>
      <c r="BB163" s="78">
        <f t="shared" si="199"/>
        <v>654.28160395458667</v>
      </c>
    </row>
    <row r="164" spans="1:54" s="76" customFormat="1" x14ac:dyDescent="0.25">
      <c r="A164" s="183"/>
      <c r="B164" s="76" t="s">
        <v>645</v>
      </c>
      <c r="C164" s="77" t="s">
        <v>362</v>
      </c>
      <c r="D164" s="76">
        <f>D163</f>
        <v>-3428.2015999999994</v>
      </c>
      <c r="E164" s="78">
        <f>E163+D164</f>
        <v>-2360.5123507524513</v>
      </c>
      <c r="F164" s="78">
        <f>F163+E164</f>
        <v>-1303.1890165461414</v>
      </c>
      <c r="G164" s="78">
        <f t="shared" ref="G164" si="200">G163+F164</f>
        <v>-256.13095742921314</v>
      </c>
      <c r="H164" s="78">
        <f t="shared" ref="H164" si="201">H163+G164</f>
        <v>780.76148946327908</v>
      </c>
      <c r="I164" s="78">
        <f t="shared" ref="I164" si="202">I163+H164</f>
        <v>1795.6821469017718</v>
      </c>
      <c r="J164" s="78">
        <f t="shared" ref="J164" si="203">J163+I164</f>
        <v>2812.538496931887</v>
      </c>
      <c r="K164" s="78">
        <f t="shared" ref="K164" si="204">K163+J164</f>
        <v>3819.5224552141367</v>
      </c>
      <c r="L164" s="78">
        <f t="shared" ref="L164" si="205">L163+K164</f>
        <v>4816.7298702120925</v>
      </c>
      <c r="M164" s="78">
        <f t="shared" ref="M164" si="206">M163+L164</f>
        <v>5804.2556598217188</v>
      </c>
      <c r="N164" s="78">
        <f t="shared" ref="N164" si="207">N163+M164</f>
        <v>5007.3786470784453</v>
      </c>
      <c r="O164" s="78">
        <f t="shared" ref="O164" si="208">O163+N164</f>
        <v>5975.8222624143436</v>
      </c>
      <c r="P164" s="78">
        <f t="shared" ref="P164" si="209">P163+O164</f>
        <v>6934.8635125528072</v>
      </c>
      <c r="Q164" s="78">
        <f t="shared" ref="Q164" si="210">Q163+P164</f>
        <v>7884.5936825928384</v>
      </c>
      <c r="R164" s="78">
        <f t="shared" ref="R164" si="211">R163+Q164</f>
        <v>8825.1031713703451</v>
      </c>
      <c r="S164" s="78">
        <f t="shared" ref="S164" si="212">S163+R164</f>
        <v>9745.6832291554292</v>
      </c>
      <c r="T164" s="78">
        <f t="shared" ref="T164" si="213">T163+S164</f>
        <v>10355.599701762001</v>
      </c>
      <c r="U164" s="78">
        <f t="shared" ref="U164" si="214">U163+T164</f>
        <v>11268.980805703426</v>
      </c>
      <c r="V164" s="78">
        <f t="shared" ref="V164" si="215">V163+U164</f>
        <v>12173.494131936681</v>
      </c>
      <c r="W164" s="78">
        <f t="shared" ref="W164" si="216">W163+V164</f>
        <v>13069.225775390973</v>
      </c>
      <c r="X164" s="78">
        <f t="shared" ref="X164" si="217">X163+W164</f>
        <v>12346.421405352554</v>
      </c>
      <c r="Y164" s="78">
        <f t="shared" ref="Y164" si="218">Y163+X164</f>
        <v>13224.844632659411</v>
      </c>
      <c r="Z164" s="78">
        <f t="shared" ref="Z164" si="219">Z163+Y164</f>
        <v>14094.739479118629</v>
      </c>
      <c r="AA164" s="78">
        <f t="shared" ref="AA164" si="220">AA163+Z164</f>
        <v>14956.188744544263</v>
      </c>
      <c r="AB164" s="78">
        <f t="shared" ref="AB164" si="221">AB163+AA164</f>
        <v>15809.274424868676</v>
      </c>
      <c r="AC164" s="78">
        <f t="shared" ref="AC164" si="222">AC163+AB164</f>
        <v>13155.069243751559</v>
      </c>
      <c r="AD164" s="78">
        <f t="shared" ref="AD164" si="223">AD163+AC164</f>
        <v>13991.670565091477</v>
      </c>
      <c r="AE164" s="78">
        <f t="shared" ref="AE164" si="224">AE163+AD164</f>
        <v>14820.149543505766</v>
      </c>
      <c r="AF164" s="78">
        <f t="shared" ref="AF164" si="225">AF163+AE164</f>
        <v>15640.585036692732</v>
      </c>
      <c r="AG164" s="78">
        <f t="shared" ref="AG164" si="226">AG163+AF164</f>
        <v>16453.055136741961</v>
      </c>
      <c r="AH164" s="78">
        <f t="shared" ref="AH164" si="227">AH163+AG164</f>
        <v>16804.885021055583</v>
      </c>
      <c r="AI164" s="78">
        <f t="shared" ref="AI164" si="228">AI163+AH164</f>
        <v>17601.655585756511</v>
      </c>
      <c r="AJ164" s="78">
        <f t="shared" ref="AJ164" si="229">AJ163+AI164</f>
        <v>18123.423676475843</v>
      </c>
      <c r="AK164" s="78">
        <f t="shared" ref="AK164" si="230">AK163+AJ164</f>
        <v>18904.798071343263</v>
      </c>
      <c r="AL164" s="78">
        <f t="shared" ref="AL164" si="231">AL163+AK164</f>
        <v>19678.586307037214</v>
      </c>
      <c r="AM164" s="78">
        <f t="shared" ref="AM164" si="232">AM163+AL164</f>
        <v>20435.977941282672</v>
      </c>
      <c r="AN164" s="78">
        <f t="shared" ref="AN164" si="233">AN163+AM164</f>
        <v>21194.814099653853</v>
      </c>
      <c r="AO164" s="78">
        <f t="shared" ref="AO164" si="234">AO163+AN164</f>
        <v>21946.282916681626</v>
      </c>
      <c r="AP164" s="78">
        <f t="shared" ref="AP164" si="235">AP163+AO164</f>
        <v>22690.455919951848</v>
      </c>
      <c r="AQ164" s="78">
        <f t="shared" ref="AQ164" si="236">AQ163+AP164</f>
        <v>23427.403942607794</v>
      </c>
      <c r="AR164" s="78">
        <f t="shared" ref="AR164" si="237">AR163+AQ164</f>
        <v>19955.947831979323</v>
      </c>
      <c r="AS164" s="78">
        <f t="shared" ref="AS164" si="238">AS163+AR164</f>
        <v>20678.655648711578</v>
      </c>
      <c r="AT164" s="78">
        <f t="shared" ref="AT164" si="239">AT163+AS164</f>
        <v>21394.346884698858</v>
      </c>
      <c r="AU164" s="78">
        <f t="shared" ref="AU164" si="240">AU163+AT164</f>
        <v>22103.08966208432</v>
      </c>
      <c r="AV164" s="78">
        <f t="shared" ref="AV164" si="241">AV163+AU164</f>
        <v>22804.951441631089</v>
      </c>
      <c r="AW164" s="78">
        <f t="shared" ref="AW164" si="242">AW163+AV164</f>
        <v>23491.940744006068</v>
      </c>
      <c r="AX164" s="78">
        <f t="shared" ref="AX164" si="243">AX163+AW164</f>
        <v>24180.240296688185</v>
      </c>
      <c r="AY164" s="78">
        <f t="shared" ref="AY164" si="244">AY163+AX164</f>
        <v>24861.857329441351</v>
      </c>
      <c r="AZ164" s="78">
        <f t="shared" ref="AZ164" si="245">AZ163+AY164</f>
        <v>25536.856721099823</v>
      </c>
      <c r="BA164" s="78">
        <f t="shared" ref="BA164" si="246">BA163+AZ164</f>
        <v>26205.302720606272</v>
      </c>
      <c r="BB164" s="78">
        <f t="shared" ref="BB164" si="247">BB163+BA164</f>
        <v>26859.584324560859</v>
      </c>
    </row>
    <row r="165" spans="1:54" s="76" customFormat="1" x14ac:dyDescent="0.25">
      <c r="B165" s="80" t="s">
        <v>361</v>
      </c>
      <c r="C165" s="81" t="s">
        <v>362</v>
      </c>
      <c r="D165" s="92">
        <f>SUM(D163:BB163)</f>
        <v>26859.584324560859</v>
      </c>
    </row>
    <row r="166" spans="1:54" s="76" customFormat="1" x14ac:dyDescent="0.25">
      <c r="B166"/>
      <c r="C166" s="70"/>
      <c r="D166"/>
      <c r="E166" s="71"/>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row>
    <row r="167" spans="1:54" s="76" customFormat="1" x14ac:dyDescent="0.25">
      <c r="B167" s="76" t="s">
        <v>646</v>
      </c>
      <c r="C167" s="134" t="s">
        <v>362</v>
      </c>
      <c r="D167" s="76">
        <f>D164*'General variables'!$B$11</f>
        <v>-27425.612799999995</v>
      </c>
      <c r="E167" s="76">
        <f>E164*'General variables'!$B$11</f>
        <v>-18884.09880601961</v>
      </c>
      <c r="F167" s="76">
        <f>F164*'General variables'!$B$11</f>
        <v>-10425.512132369131</v>
      </c>
      <c r="G167" s="76">
        <f>G164*'General variables'!$B$11</f>
        <v>-2049.0476594337051</v>
      </c>
      <c r="H167" s="76">
        <f>H164*'General variables'!$B$11</f>
        <v>6246.0919157062326</v>
      </c>
      <c r="I167" s="76">
        <f>I164*'General variables'!$B$11</f>
        <v>14365.457175214175</v>
      </c>
      <c r="J167" s="76">
        <f>J164*'General variables'!$B$11</f>
        <v>22500.307975455096</v>
      </c>
      <c r="K167" s="76">
        <f>K164*'General variables'!$B$11</f>
        <v>30556.179641713094</v>
      </c>
      <c r="L167" s="76">
        <f>L164*'General variables'!$B$11</f>
        <v>38533.83896169674</v>
      </c>
      <c r="M167" s="76">
        <f>M164*'General variables'!$B$11</f>
        <v>46434.045278573751</v>
      </c>
      <c r="N167" s="76">
        <f>N164*'General variables'!$B$11</f>
        <v>40059.029176627562</v>
      </c>
      <c r="O167" s="76">
        <f>O164*'General variables'!$B$11</f>
        <v>47806.578099314749</v>
      </c>
      <c r="P167" s="76">
        <f>P164*'General variables'!$B$11</f>
        <v>55478.908100422457</v>
      </c>
      <c r="Q167" s="76">
        <f>Q164*'General variables'!$B$11</f>
        <v>63076.749460742707</v>
      </c>
      <c r="R167" s="76">
        <f>R164*'General variables'!$B$11</f>
        <v>70600.825370962761</v>
      </c>
      <c r="S167" s="76">
        <f>S164*'General variables'!$B$11</f>
        <v>77965.465833243434</v>
      </c>
      <c r="T167" s="76">
        <f>T164*'General variables'!$B$11</f>
        <v>82844.797614096009</v>
      </c>
      <c r="U167" s="76">
        <f>U164*'General variables'!$B$11</f>
        <v>90151.846445627409</v>
      </c>
      <c r="V167" s="76">
        <f>V164*'General variables'!$B$11</f>
        <v>97387.953055493446</v>
      </c>
      <c r="W167" s="76">
        <f>W164*'General variables'!$B$11</f>
        <v>104553.80620312778</v>
      </c>
      <c r="X167" s="76">
        <f>X164*'General variables'!$B$11</f>
        <v>98771.371242820431</v>
      </c>
      <c r="Y167" s="76">
        <f>Y164*'General variables'!$B$11</f>
        <v>105798.75706127529</v>
      </c>
      <c r="Z167" s="76">
        <f>Z164*'General variables'!$B$11</f>
        <v>112757.91583294903</v>
      </c>
      <c r="AA167" s="76">
        <f>AA164*'General variables'!$B$11</f>
        <v>119649.5099563541</v>
      </c>
      <c r="AB167" s="76">
        <f>AB164*'General variables'!$B$11</f>
        <v>126474.19539894941</v>
      </c>
      <c r="AC167" s="76">
        <f>AC164*'General variables'!$B$11</f>
        <v>105240.55395001247</v>
      </c>
      <c r="AD167" s="76">
        <f>AD164*'General variables'!$B$11</f>
        <v>111933.36452073182</v>
      </c>
      <c r="AE167" s="76">
        <f>AE164*'General variables'!$B$11</f>
        <v>118561.19634804613</v>
      </c>
      <c r="AF167" s="76">
        <f>AF164*'General variables'!$B$11</f>
        <v>125124.68029354185</v>
      </c>
      <c r="AG167" s="76">
        <f>AG164*'General variables'!$B$11</f>
        <v>131624.44109393569</v>
      </c>
      <c r="AH167" s="76">
        <f>AH164*'General variables'!$B$11</f>
        <v>134439.08016844466</v>
      </c>
      <c r="AI167" s="76">
        <f>AI164*'General variables'!$B$11</f>
        <v>140813.24468605209</v>
      </c>
      <c r="AJ167" s="76">
        <f>AJ164*'General variables'!$B$11</f>
        <v>144987.38941180674</v>
      </c>
      <c r="AK167" s="76">
        <f>AK164*'General variables'!$B$11</f>
        <v>151238.3845707461</v>
      </c>
      <c r="AL167" s="76">
        <f>AL164*'General variables'!$B$11</f>
        <v>157428.69045629771</v>
      </c>
      <c r="AM167" s="76">
        <f>AM164*'General variables'!$B$11</f>
        <v>163487.82353026138</v>
      </c>
      <c r="AN167" s="76">
        <f>AN164*'General variables'!$B$11</f>
        <v>169558.51279723083</v>
      </c>
      <c r="AO167" s="76">
        <f>AO164*'General variables'!$B$11</f>
        <v>175570.26333345301</v>
      </c>
      <c r="AP167" s="76">
        <f>AP164*'General variables'!$B$11</f>
        <v>181523.64735961478</v>
      </c>
      <c r="AQ167" s="76">
        <f>AQ164*'General variables'!$B$11</f>
        <v>187419.23154086235</v>
      </c>
      <c r="AR167" s="76">
        <f>AR164*'General variables'!$B$11</f>
        <v>159647.58265583459</v>
      </c>
      <c r="AS167" s="76">
        <f>AS164*'General variables'!$B$11</f>
        <v>165429.24518969262</v>
      </c>
      <c r="AT167" s="76">
        <f>AT164*'General variables'!$B$11</f>
        <v>171154.77507759086</v>
      </c>
      <c r="AU167" s="76">
        <f>AU164*'General variables'!$B$11</f>
        <v>176824.71729667456</v>
      </c>
      <c r="AV167" s="76">
        <f>AV164*'General variables'!$B$11</f>
        <v>182439.61153304871</v>
      </c>
      <c r="AW167" s="76">
        <f>AW164*'General variables'!$B$11</f>
        <v>187935.52595204854</v>
      </c>
      <c r="AX167" s="76">
        <f>AX164*'General variables'!$B$11</f>
        <v>193441.92237350548</v>
      </c>
      <c r="AY167" s="76">
        <f>AY164*'General variables'!$B$11</f>
        <v>198894.85863553081</v>
      </c>
      <c r="AZ167" s="76">
        <f>AZ164*'General variables'!$B$11</f>
        <v>204294.85376879858</v>
      </c>
      <c r="BA167" s="76">
        <f>BA164*'General variables'!$B$11</f>
        <v>209642.42176485018</v>
      </c>
      <c r="BB167" s="76">
        <f>BB164*'General variables'!$B$11</f>
        <v>214876.67459648688</v>
      </c>
    </row>
    <row r="168" spans="1:54" s="167" customFormat="1" x14ac:dyDescent="0.25">
      <c r="A168" s="154" t="s">
        <v>35</v>
      </c>
      <c r="B168" s="167" t="s">
        <v>355</v>
      </c>
      <c r="C168" s="168"/>
      <c r="D168" s="167">
        <v>0</v>
      </c>
      <c r="E168" s="167">
        <v>1</v>
      </c>
      <c r="F168" s="167">
        <v>2</v>
      </c>
      <c r="G168" s="167">
        <v>3</v>
      </c>
      <c r="H168" s="167">
        <v>4</v>
      </c>
      <c r="I168" s="167">
        <v>5</v>
      </c>
      <c r="J168" s="167">
        <v>6</v>
      </c>
      <c r="K168" s="167">
        <v>7</v>
      </c>
      <c r="L168" s="167">
        <v>8</v>
      </c>
      <c r="M168" s="167">
        <v>9</v>
      </c>
      <c r="N168" s="167">
        <v>10</v>
      </c>
      <c r="O168" s="167">
        <v>11</v>
      </c>
      <c r="P168" s="167">
        <v>12</v>
      </c>
      <c r="Q168" s="167">
        <v>13</v>
      </c>
      <c r="R168" s="167">
        <v>14</v>
      </c>
      <c r="S168" s="167">
        <v>15</v>
      </c>
      <c r="T168" s="167">
        <v>16</v>
      </c>
      <c r="U168" s="167">
        <v>17</v>
      </c>
      <c r="V168" s="167">
        <v>18</v>
      </c>
      <c r="W168" s="167">
        <v>19</v>
      </c>
      <c r="X168" s="167">
        <v>20</v>
      </c>
      <c r="Y168" s="167">
        <v>21</v>
      </c>
      <c r="Z168" s="167">
        <v>22</v>
      </c>
      <c r="AA168" s="167">
        <v>23</v>
      </c>
      <c r="AB168" s="167">
        <v>24</v>
      </c>
      <c r="AC168" s="167">
        <v>25</v>
      </c>
      <c r="AD168" s="167">
        <v>26</v>
      </c>
      <c r="AE168" s="167">
        <v>27</v>
      </c>
      <c r="AF168" s="167">
        <v>28</v>
      </c>
      <c r="AG168" s="167">
        <v>29</v>
      </c>
      <c r="AH168" s="167">
        <v>30</v>
      </c>
      <c r="AI168" s="167">
        <v>31</v>
      </c>
      <c r="AJ168" s="167">
        <v>32</v>
      </c>
      <c r="AK168" s="167">
        <v>33</v>
      </c>
      <c r="AL168" s="167">
        <v>34</v>
      </c>
      <c r="AM168" s="167">
        <v>35</v>
      </c>
      <c r="AN168" s="167">
        <v>36</v>
      </c>
      <c r="AO168" s="167">
        <v>37</v>
      </c>
      <c r="AP168" s="167">
        <v>38</v>
      </c>
      <c r="AQ168" s="167">
        <v>39</v>
      </c>
      <c r="AR168" s="167">
        <v>40</v>
      </c>
      <c r="AS168" s="167">
        <v>41</v>
      </c>
      <c r="AT168" s="167">
        <v>42</v>
      </c>
      <c r="AU168" s="167">
        <v>43</v>
      </c>
      <c r="AV168" s="167">
        <v>44</v>
      </c>
      <c r="AW168" s="167">
        <v>45</v>
      </c>
      <c r="AX168" s="167">
        <v>46</v>
      </c>
      <c r="AY168" s="167">
        <v>47</v>
      </c>
      <c r="AZ168" s="167">
        <v>48</v>
      </c>
      <c r="BA168" s="167">
        <v>49</v>
      </c>
      <c r="BB168" s="167">
        <v>50</v>
      </c>
    </row>
  </sheetData>
  <mergeCells count="19">
    <mergeCell ref="A47:A54"/>
    <mergeCell ref="A7:A14"/>
    <mergeCell ref="A15:A22"/>
    <mergeCell ref="A23:A30"/>
    <mergeCell ref="A31:A38"/>
    <mergeCell ref="A39:A46"/>
    <mergeCell ref="A147:A153"/>
    <mergeCell ref="A55:A62"/>
    <mergeCell ref="A158:A164"/>
    <mergeCell ref="A103:A110"/>
    <mergeCell ref="A111:A118"/>
    <mergeCell ref="A119:A126"/>
    <mergeCell ref="A127:A133"/>
    <mergeCell ref="A137:A143"/>
    <mergeCell ref="A63:A70"/>
    <mergeCell ref="A71:A78"/>
    <mergeCell ref="A79:A86"/>
    <mergeCell ref="A87:A94"/>
    <mergeCell ref="A95:A10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Disclaimer and description</vt:lpstr>
      <vt:lpstr>General variables</vt:lpstr>
      <vt:lpstr>BC performance summary</vt:lpstr>
      <vt:lpstr>BC Materials BOQ</vt:lpstr>
      <vt:lpstr>BC Assemblies BOQ</vt:lpstr>
      <vt:lpstr>Emissions factors calculation</vt:lpstr>
      <vt:lpstr>Annual Calculations</vt:lpstr>
      <vt:lpstr>NPV Calculation</vt:lpstr>
      <vt:lpstr>NPV Calculation low</vt:lpstr>
      <vt:lpstr>NPV Calculation high</vt:lpstr>
      <vt:lpstr>SOLAR_COLL</vt:lpstr>
      <vt:lpstr>LED</vt:lpstr>
      <vt:lpstr>EFF_APP</vt:lpstr>
      <vt:lpstr>EFF_AC</vt:lpstr>
      <vt:lpstr>INSUL+</vt:lpstr>
      <vt:lpstr>PV</vt:lpstr>
      <vt:lpstr>ALL_OPE</vt:lpstr>
      <vt:lpstr>ALL_PV</vt:lpstr>
      <vt:lpstr>South_Facade_PV</vt:lpstr>
      <vt:lpstr>South_Facade_PV_5S</vt:lpstr>
      <vt:lpstr>South_Facade_PV_10S</vt:lpstr>
      <vt:lpstr>STAMPED_CONC</vt:lpstr>
      <vt:lpstr>PART_WALL</vt:lpstr>
      <vt:lpstr>ATR_WALL</vt:lpstr>
      <vt:lpstr>AC_HEATING</vt:lpstr>
      <vt:lpstr>NZLCPEGHGB</vt:lpstr>
      <vt:lpstr>NZLCPEGHGB SUMMARY</vt:lpstr>
      <vt:lpstr>Sensitivity Analysis</vt:lpstr>
      <vt:lpstr>Results</vt:lpstr>
      <vt:lpstr>IEE REE LCEE intensities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2020-10-08T09:40:58Z</dcterms:modified>
</cp:coreProperties>
</file>