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2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drawings/drawing3.xml" ContentType="application/vnd.openxmlformats-officedocument.drawing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35" yWindow="225" windowWidth="23955" windowHeight="11430" activeTab="1"/>
  </bookViews>
  <sheets>
    <sheet name="vG_landward" sheetId="4" r:id="rId1"/>
    <sheet name="vG_crest" sheetId="1" r:id="rId2"/>
    <sheet name="Schuttrumpf" sheetId="2" r:id="rId3"/>
    <sheet name="FlowDike_1_3" sheetId="3" r:id="rId4"/>
    <sheet name="vG_waveconditions" sheetId="5" r:id="rId5"/>
    <sheet name="FlowDike_1_6" sheetId="6" r:id="rId6"/>
  </sheets>
  <externalReferences>
    <externalReference r:id="rId7"/>
  </externalReferences>
  <calcPr calcId="145621"/>
</workbook>
</file>

<file path=xl/calcChain.xml><?xml version="1.0" encoding="utf-8"?>
<calcChain xmlns="http://schemas.openxmlformats.org/spreadsheetml/2006/main">
  <c r="F64" i="2" l="1"/>
  <c r="E64" i="2"/>
  <c r="F65" i="2"/>
  <c r="E65" i="2"/>
  <c r="D66" i="2"/>
  <c r="E66" i="2" s="1"/>
  <c r="G4" i="3"/>
  <c r="F66" i="2" l="1"/>
  <c r="D67" i="2"/>
  <c r="G4" i="6"/>
  <c r="W59" i="6"/>
  <c r="AB61" i="6"/>
  <c r="AB62" i="6"/>
  <c r="AB63" i="6"/>
  <c r="AB64" i="6"/>
  <c r="AB65" i="6"/>
  <c r="AB60" i="6"/>
  <c r="AB52" i="6"/>
  <c r="AB53" i="6"/>
  <c r="AB54" i="6"/>
  <c r="AB55" i="6"/>
  <c r="AB56" i="6"/>
  <c r="AB51" i="6"/>
  <c r="W61" i="6"/>
  <c r="X61" i="6" s="1"/>
  <c r="W62" i="6"/>
  <c r="X62" i="6" s="1"/>
  <c r="W63" i="6"/>
  <c r="X63" i="6" s="1"/>
  <c r="Y63" i="6" s="1"/>
  <c r="W64" i="6"/>
  <c r="X64" i="6" s="1"/>
  <c r="W65" i="6"/>
  <c r="X65" i="6" s="1"/>
  <c r="W60" i="6"/>
  <c r="X60" i="6" s="1"/>
  <c r="W56" i="6"/>
  <c r="X56" i="6" s="1"/>
  <c r="Y56" i="6" s="1"/>
  <c r="W52" i="6"/>
  <c r="X52" i="6" s="1"/>
  <c r="W53" i="6"/>
  <c r="X53" i="6" s="1"/>
  <c r="W54" i="6"/>
  <c r="X54" i="6" s="1"/>
  <c r="W55" i="6"/>
  <c r="X55" i="6" s="1"/>
  <c r="Y55" i="6" s="1"/>
  <c r="W51" i="6"/>
  <c r="X51" i="6" s="1"/>
  <c r="BJ43" i="6"/>
  <c r="BI43" i="6"/>
  <c r="BJ42" i="6"/>
  <c r="BI42" i="6"/>
  <c r="BJ41" i="6"/>
  <c r="BI41" i="6"/>
  <c r="BJ40" i="6"/>
  <c r="BI40" i="6"/>
  <c r="BJ39" i="6"/>
  <c r="BI39" i="6"/>
  <c r="BJ38" i="6"/>
  <c r="BI38" i="6"/>
  <c r="BI30" i="6"/>
  <c r="BJ30" i="6"/>
  <c r="BI31" i="6"/>
  <c r="BJ31" i="6"/>
  <c r="BI32" i="6"/>
  <c r="BJ32" i="6"/>
  <c r="BI33" i="6"/>
  <c r="BJ33" i="6"/>
  <c r="BI34" i="6"/>
  <c r="BJ34" i="6"/>
  <c r="BJ29" i="6"/>
  <c r="BI29" i="6"/>
  <c r="BB39" i="6"/>
  <c r="BC39" i="6"/>
  <c r="BB40" i="6"/>
  <c r="BC40" i="6"/>
  <c r="BB41" i="6"/>
  <c r="BC41" i="6"/>
  <c r="BB42" i="6"/>
  <c r="BC42" i="6"/>
  <c r="BB43" i="6"/>
  <c r="BC43" i="6"/>
  <c r="BC38" i="6"/>
  <c r="BB38" i="6"/>
  <c r="BB30" i="6"/>
  <c r="BC30" i="6"/>
  <c r="BB31" i="6"/>
  <c r="BC31" i="6"/>
  <c r="BB32" i="6"/>
  <c r="BC32" i="6"/>
  <c r="BB33" i="6"/>
  <c r="BC33" i="6"/>
  <c r="BB34" i="6"/>
  <c r="BC34" i="6"/>
  <c r="BC29" i="6"/>
  <c r="BB29" i="6"/>
  <c r="AI18" i="6"/>
  <c r="AI3" i="6"/>
  <c r="X18" i="6"/>
  <c r="BA60" i="6" s="1"/>
  <c r="X3" i="6"/>
  <c r="BA51" i="6" s="1"/>
  <c r="C3" i="6"/>
  <c r="X59" i="6" l="1"/>
  <c r="BA38" i="6"/>
  <c r="Y51" i="6"/>
  <c r="AC51" i="6" s="1"/>
  <c r="Y52" i="6"/>
  <c r="Y64" i="6"/>
  <c r="X49" i="6"/>
  <c r="BA29" i="6"/>
  <c r="BA69" i="6"/>
  <c r="Y54" i="6"/>
  <c r="Y60" i="6"/>
  <c r="AC60" i="6" s="1"/>
  <c r="Y62" i="6"/>
  <c r="Z62" i="6" s="1"/>
  <c r="AA62" i="6" s="1"/>
  <c r="AC63" i="6"/>
  <c r="BA78" i="6"/>
  <c r="Y53" i="6"/>
  <c r="Y65" i="6"/>
  <c r="AC65" i="6" s="1"/>
  <c r="Y61" i="6"/>
  <c r="AC61" i="6" s="1"/>
  <c r="D68" i="2"/>
  <c r="F67" i="2"/>
  <c r="E67" i="2"/>
  <c r="AC62" i="6"/>
  <c r="Z65" i="6"/>
  <c r="AA65" i="6" s="1"/>
  <c r="Z64" i="6"/>
  <c r="AA64" i="6" s="1"/>
  <c r="AC64" i="6"/>
  <c r="AD64" i="6" s="1"/>
  <c r="AE64" i="6" s="1"/>
  <c r="Z63" i="6"/>
  <c r="AA63" i="6" s="1"/>
  <c r="AD63" i="6" s="1"/>
  <c r="AE63" i="6" s="1"/>
  <c r="Z60" i="6"/>
  <c r="AA60" i="6" s="1"/>
  <c r="AD60" i="6" s="1"/>
  <c r="AE60" i="6" s="1"/>
  <c r="AC53" i="6"/>
  <c r="Z53" i="6"/>
  <c r="AA53" i="6" s="1"/>
  <c r="AC55" i="6"/>
  <c r="Z55" i="6"/>
  <c r="AA55" i="6" s="1"/>
  <c r="AC56" i="6"/>
  <c r="Z56" i="6"/>
  <c r="AA56" i="6" s="1"/>
  <c r="AC54" i="6"/>
  <c r="Z54" i="6"/>
  <c r="AA54" i="6" s="1"/>
  <c r="AC52" i="6"/>
  <c r="Z52" i="6"/>
  <c r="AA52" i="6" s="1"/>
  <c r="AD62" i="6" l="1"/>
  <c r="AE62" i="6" s="1"/>
  <c r="Z51" i="6"/>
  <c r="AA51" i="6" s="1"/>
  <c r="Z61" i="6"/>
  <c r="AA61" i="6" s="1"/>
  <c r="AD61" i="6" s="1"/>
  <c r="AE61" i="6" s="1"/>
  <c r="BJ61" i="6" s="1"/>
  <c r="BC64" i="6"/>
  <c r="BJ64" i="6"/>
  <c r="BC62" i="6"/>
  <c r="BJ62" i="6"/>
  <c r="BC63" i="6"/>
  <c r="BJ63" i="6"/>
  <c r="AD51" i="6"/>
  <c r="AE51" i="6" s="1"/>
  <c r="BC60" i="6"/>
  <c r="BJ60" i="6"/>
  <c r="AD65" i="6"/>
  <c r="AE65" i="6" s="1"/>
  <c r="D69" i="2"/>
  <c r="E68" i="2"/>
  <c r="F68" i="2"/>
  <c r="AD56" i="6"/>
  <c r="AE56" i="6" s="1"/>
  <c r="AD53" i="6"/>
  <c r="AE53" i="6" s="1"/>
  <c r="AD52" i="6"/>
  <c r="AE52" i="6" s="1"/>
  <c r="AD54" i="6"/>
  <c r="AE54" i="6" s="1"/>
  <c r="AD55" i="6"/>
  <c r="AE55" i="6" s="1"/>
  <c r="BC61" i="6" l="1"/>
  <c r="BI60" i="6"/>
  <c r="BI78" i="6" s="1"/>
  <c r="BJ78" i="6"/>
  <c r="BC55" i="6"/>
  <c r="BJ55" i="6"/>
  <c r="BJ56" i="6"/>
  <c r="BC56" i="6"/>
  <c r="BC65" i="6"/>
  <c r="BJ65" i="6"/>
  <c r="BI63" i="6"/>
  <c r="BI81" i="6" s="1"/>
  <c r="BJ81" i="6"/>
  <c r="BI62" i="6"/>
  <c r="BI80" i="6" s="1"/>
  <c r="BJ80" i="6"/>
  <c r="BC81" i="6"/>
  <c r="BB63" i="6"/>
  <c r="BB81" i="6" s="1"/>
  <c r="BJ52" i="6"/>
  <c r="BC52" i="6"/>
  <c r="BC78" i="6"/>
  <c r="BB60" i="6"/>
  <c r="BB78" i="6" s="1"/>
  <c r="BI61" i="6"/>
  <c r="BI79" i="6" s="1"/>
  <c r="BJ79" i="6"/>
  <c r="BI64" i="6"/>
  <c r="BI82" i="6" s="1"/>
  <c r="BJ82" i="6"/>
  <c r="BJ54" i="6"/>
  <c r="BC54" i="6"/>
  <c r="BC80" i="6"/>
  <c r="BB62" i="6"/>
  <c r="BB80" i="6" s="1"/>
  <c r="BJ53" i="6"/>
  <c r="BC53" i="6"/>
  <c r="BC51" i="6"/>
  <c r="BJ51" i="6"/>
  <c r="BC79" i="6"/>
  <c r="BB61" i="6"/>
  <c r="BB79" i="6" s="1"/>
  <c r="BC82" i="6"/>
  <c r="BB64" i="6"/>
  <c r="BB82" i="6" s="1"/>
  <c r="D70" i="2"/>
  <c r="F69" i="2"/>
  <c r="E69" i="2"/>
  <c r="AS20" i="3"/>
  <c r="AT20" i="3"/>
  <c r="AU20" i="3"/>
  <c r="AX20" i="3"/>
  <c r="AY20" i="3"/>
  <c r="AZ20" i="3"/>
  <c r="BA20" i="3"/>
  <c r="AS21" i="3"/>
  <c r="AT21" i="3"/>
  <c r="AU21" i="3"/>
  <c r="AX21" i="3"/>
  <c r="AY21" i="3"/>
  <c r="AZ21" i="3"/>
  <c r="BA21" i="3"/>
  <c r="AS22" i="3"/>
  <c r="AT22" i="3"/>
  <c r="AU22" i="3"/>
  <c r="AX22" i="3"/>
  <c r="AY22" i="3"/>
  <c r="AZ22" i="3"/>
  <c r="BA22" i="3"/>
  <c r="AS23" i="3"/>
  <c r="AT23" i="3"/>
  <c r="AU23" i="3"/>
  <c r="AX23" i="3"/>
  <c r="AY23" i="3"/>
  <c r="AZ23" i="3"/>
  <c r="BA23" i="3"/>
  <c r="AS24" i="3"/>
  <c r="AT24" i="3"/>
  <c r="AU24" i="3"/>
  <c r="AX24" i="3"/>
  <c r="AY24" i="3"/>
  <c r="AZ24" i="3"/>
  <c r="BA24" i="3"/>
  <c r="BA19" i="3"/>
  <c r="AZ19" i="3"/>
  <c r="AY19" i="3"/>
  <c r="AX19" i="3"/>
  <c r="AU19" i="3"/>
  <c r="AT19" i="3"/>
  <c r="AS19" i="3"/>
  <c r="AC33" i="3"/>
  <c r="AD33" i="3" s="1"/>
  <c r="AE33" i="3" s="1"/>
  <c r="AH33" i="3"/>
  <c r="AC34" i="3"/>
  <c r="AD34" i="3" s="1"/>
  <c r="AE34" i="3" s="1"/>
  <c r="AH34" i="3"/>
  <c r="AC35" i="3"/>
  <c r="AD35" i="3" s="1"/>
  <c r="AE35" i="3" s="1"/>
  <c r="AH35" i="3"/>
  <c r="AC36" i="3"/>
  <c r="AD36" i="3"/>
  <c r="AE36" i="3" s="1"/>
  <c r="AH36" i="3"/>
  <c r="AC37" i="3"/>
  <c r="AH37" i="3"/>
  <c r="AH32" i="3"/>
  <c r="AD32" i="3"/>
  <c r="AE32" i="3" s="1"/>
  <c r="AC32" i="3"/>
  <c r="BI53" i="6" l="1"/>
  <c r="BI71" i="6" s="1"/>
  <c r="BJ71" i="6"/>
  <c r="BC71" i="6"/>
  <c r="BB53" i="6"/>
  <c r="BB71" i="6" s="1"/>
  <c r="BC72" i="6"/>
  <c r="BB54" i="6"/>
  <c r="BB72" i="6" s="1"/>
  <c r="BC70" i="6"/>
  <c r="BB52" i="6"/>
  <c r="BB70" i="6" s="1"/>
  <c r="BI65" i="6"/>
  <c r="BI83" i="6" s="1"/>
  <c r="BJ83" i="6"/>
  <c r="BI55" i="6"/>
  <c r="BI73" i="6" s="1"/>
  <c r="BJ73" i="6"/>
  <c r="BI52" i="6"/>
  <c r="BI70" i="6" s="1"/>
  <c r="BJ70" i="6"/>
  <c r="BC83" i="6"/>
  <c r="BB65" i="6"/>
  <c r="BB83" i="6" s="1"/>
  <c r="BC73" i="6"/>
  <c r="BB55" i="6"/>
  <c r="BB73" i="6" s="1"/>
  <c r="BJ69" i="6"/>
  <c r="BI51" i="6"/>
  <c r="BI69" i="6" s="1"/>
  <c r="BC74" i="6"/>
  <c r="BB56" i="6"/>
  <c r="BB74" i="6" s="1"/>
  <c r="BI54" i="6"/>
  <c r="BI72" i="6" s="1"/>
  <c r="BJ72" i="6"/>
  <c r="BC69" i="6"/>
  <c r="BB51" i="6"/>
  <c r="BB69" i="6" s="1"/>
  <c r="BI56" i="6"/>
  <c r="BI74" i="6" s="1"/>
  <c r="BJ74" i="6"/>
  <c r="D71" i="2"/>
  <c r="E70" i="2"/>
  <c r="F70" i="2"/>
  <c r="AI32" i="3"/>
  <c r="AJ32" i="3" s="1"/>
  <c r="AK32" i="3" s="1"/>
  <c r="AF32" i="3"/>
  <c r="AG32" i="3" s="1"/>
  <c r="AD37" i="3"/>
  <c r="AE37" i="3" s="1"/>
  <c r="AI36" i="3"/>
  <c r="AF36" i="3"/>
  <c r="AG36" i="3" s="1"/>
  <c r="AJ36" i="3" s="1"/>
  <c r="AK36" i="3" s="1"/>
  <c r="AF34" i="3"/>
  <c r="AG34" i="3" s="1"/>
  <c r="AI34" i="3"/>
  <c r="AI37" i="3"/>
  <c r="AF37" i="3"/>
  <c r="AG37" i="3" s="1"/>
  <c r="AJ37" i="3" s="1"/>
  <c r="AK37" i="3" s="1"/>
  <c r="AI35" i="3"/>
  <c r="AF35" i="3"/>
  <c r="AG35" i="3" s="1"/>
  <c r="AI33" i="3"/>
  <c r="AJ33" i="3" s="1"/>
  <c r="AK33" i="3" s="1"/>
  <c r="AF33" i="3"/>
  <c r="AG33" i="3" s="1"/>
  <c r="X33" i="3"/>
  <c r="X34" i="3"/>
  <c r="X35" i="3"/>
  <c r="X36" i="3"/>
  <c r="X37" i="3"/>
  <c r="X32" i="3"/>
  <c r="T35" i="3"/>
  <c r="U35" i="3" s="1"/>
  <c r="V35" i="3" s="1"/>
  <c r="W35" i="3" s="1"/>
  <c r="T36" i="3"/>
  <c r="U36" i="3" s="1"/>
  <c r="V36" i="3" s="1"/>
  <c r="W36" i="3" s="1"/>
  <c r="S33" i="3"/>
  <c r="S34" i="3"/>
  <c r="S35" i="3"/>
  <c r="S36" i="3"/>
  <c r="S37" i="3"/>
  <c r="S32" i="3"/>
  <c r="AD5" i="3"/>
  <c r="T5" i="3"/>
  <c r="C4" i="3"/>
  <c r="AK15" i="3"/>
  <c r="Q15" i="3"/>
  <c r="Q14" i="3"/>
  <c r="Q13" i="3"/>
  <c r="Q12" i="3"/>
  <c r="Q11" i="3"/>
  <c r="Q10" i="3"/>
  <c r="D72" i="2" l="1"/>
  <c r="F71" i="2"/>
  <c r="E71" i="2"/>
  <c r="AK47" i="3"/>
  <c r="BA37" i="3"/>
  <c r="AV37" i="3"/>
  <c r="AV36" i="3"/>
  <c r="AK46" i="3"/>
  <c r="BA36" i="3"/>
  <c r="AK43" i="3"/>
  <c r="BA33" i="3"/>
  <c r="AV33" i="3"/>
  <c r="Y36" i="3"/>
  <c r="Z36" i="3" s="1"/>
  <c r="AA36" i="3" s="1"/>
  <c r="AK42" i="3"/>
  <c r="BA32" i="3"/>
  <c r="AV32" i="3"/>
  <c r="T32" i="3"/>
  <c r="U32" i="3" s="1"/>
  <c r="T34" i="3"/>
  <c r="U34" i="3" s="1"/>
  <c r="Y35" i="3"/>
  <c r="Z35" i="3" s="1"/>
  <c r="AA35" i="3" s="1"/>
  <c r="T37" i="3"/>
  <c r="U37" i="3" s="1"/>
  <c r="T33" i="3"/>
  <c r="U33" i="3" s="1"/>
  <c r="AJ34" i="3"/>
  <c r="AK34" i="3" s="1"/>
  <c r="AJ35" i="3"/>
  <c r="AK35" i="3" s="1"/>
  <c r="T41" i="2"/>
  <c r="T39" i="2"/>
  <c r="T40" i="2"/>
  <c r="T42" i="2"/>
  <c r="T38" i="2"/>
  <c r="N39" i="2"/>
  <c r="N40" i="2"/>
  <c r="O40" i="2" s="1"/>
  <c r="N41" i="2"/>
  <c r="N42" i="2"/>
  <c r="N38" i="2"/>
  <c r="P38" i="2"/>
  <c r="R39" i="2"/>
  <c r="R40" i="2"/>
  <c r="R41" i="2"/>
  <c r="R42" i="2"/>
  <c r="S42" i="2" s="1"/>
  <c r="R38" i="2"/>
  <c r="O42" i="2"/>
  <c r="S39" i="2"/>
  <c r="S38" i="2"/>
  <c r="O39" i="2"/>
  <c r="Y39" i="2"/>
  <c r="Z39" i="2" s="1"/>
  <c r="AA39" i="2" s="1"/>
  <c r="Y40" i="2"/>
  <c r="Y41" i="2"/>
  <c r="Y42" i="2"/>
  <c r="Y38" i="2"/>
  <c r="Z40" i="2"/>
  <c r="AA40" i="2" s="1"/>
  <c r="Z41" i="2"/>
  <c r="AA41" i="2" s="1"/>
  <c r="Z42" i="2"/>
  <c r="AA42" i="2" s="1"/>
  <c r="Z38" i="2"/>
  <c r="AA38" i="2" s="1"/>
  <c r="X39" i="2"/>
  <c r="X40" i="2"/>
  <c r="X41" i="2"/>
  <c r="X42" i="2"/>
  <c r="X38" i="2"/>
  <c r="P6" i="1"/>
  <c r="H39" i="2"/>
  <c r="H40" i="2"/>
  <c r="H41" i="2"/>
  <c r="H42" i="2"/>
  <c r="H38" i="2"/>
  <c r="S6" i="1"/>
  <c r="J30" i="2"/>
  <c r="S40" i="2"/>
  <c r="S41" i="2"/>
  <c r="O41" i="2"/>
  <c r="Q6" i="1"/>
  <c r="F25" i="2"/>
  <c r="C31" i="2"/>
  <c r="C32" i="2"/>
  <c r="C33" i="2"/>
  <c r="C34" i="2"/>
  <c r="C30" i="2"/>
  <c r="W31" i="2"/>
  <c r="W32" i="2"/>
  <c r="W33" i="2"/>
  <c r="W34" i="2"/>
  <c r="W30" i="2"/>
  <c r="T34" i="2"/>
  <c r="T33" i="2"/>
  <c r="T32" i="2"/>
  <c r="T31" i="2"/>
  <c r="T30" i="2"/>
  <c r="R31" i="2"/>
  <c r="R32" i="2"/>
  <c r="R33" i="2"/>
  <c r="R34" i="2"/>
  <c r="R30" i="2"/>
  <c r="D73" i="2" l="1"/>
  <c r="E72" i="2"/>
  <c r="F72" i="2"/>
  <c r="AA45" i="3"/>
  <c r="AT35" i="3"/>
  <c r="AY35" i="3"/>
  <c r="AA46" i="3"/>
  <c r="AT36" i="3"/>
  <c r="AY36" i="3"/>
  <c r="AK44" i="3"/>
  <c r="BA34" i="3"/>
  <c r="AV34" i="3"/>
  <c r="AV47" i="3"/>
  <c r="AU37" i="3"/>
  <c r="AU47" i="3" s="1"/>
  <c r="V33" i="3"/>
  <c r="W33" i="3" s="1"/>
  <c r="Y33" i="3"/>
  <c r="Z33" i="3" s="1"/>
  <c r="AA33" i="3" s="1"/>
  <c r="BA46" i="3"/>
  <c r="AZ36" i="3"/>
  <c r="AZ46" i="3" s="1"/>
  <c r="BA47" i="3"/>
  <c r="AZ37" i="3"/>
  <c r="AZ47" i="3" s="1"/>
  <c r="V37" i="3"/>
  <c r="W37" i="3" s="1"/>
  <c r="Y37" i="3"/>
  <c r="Z37" i="3" s="1"/>
  <c r="AA37" i="3" s="1"/>
  <c r="V34" i="3"/>
  <c r="W34" i="3" s="1"/>
  <c r="Y34" i="3"/>
  <c r="Z34" i="3" s="1"/>
  <c r="AA34" i="3" s="1"/>
  <c r="AU32" i="3"/>
  <c r="AU42" i="3" s="1"/>
  <c r="AV42" i="3"/>
  <c r="AV43" i="3"/>
  <c r="AU33" i="3"/>
  <c r="AU43" i="3" s="1"/>
  <c r="AV35" i="3"/>
  <c r="AK45" i="3"/>
  <c r="BA35" i="3"/>
  <c r="V32" i="3"/>
  <c r="W32" i="3" s="1"/>
  <c r="Y32" i="3"/>
  <c r="BA42" i="3"/>
  <c r="AZ32" i="3"/>
  <c r="AZ42" i="3" s="1"/>
  <c r="BA43" i="3"/>
  <c r="AZ33" i="3"/>
  <c r="AZ43" i="3" s="1"/>
  <c r="AV46" i="3"/>
  <c r="AU36" i="3"/>
  <c r="AU46" i="3" s="1"/>
  <c r="O38" i="2"/>
  <c r="U38" i="2"/>
  <c r="U39" i="2"/>
  <c r="P42" i="2"/>
  <c r="Q42" i="2" s="1"/>
  <c r="P41" i="2"/>
  <c r="Q41" i="2" s="1"/>
  <c r="U42" i="2"/>
  <c r="P40" i="2"/>
  <c r="Q40" i="2" s="1"/>
  <c r="U41" i="2"/>
  <c r="Q38" i="2"/>
  <c r="P39" i="2"/>
  <c r="Q39" i="2" s="1"/>
  <c r="U40" i="2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6" i="1"/>
  <c r="D74" i="2" l="1"/>
  <c r="F73" i="2"/>
  <c r="E73" i="2"/>
  <c r="BA45" i="3"/>
  <c r="AZ35" i="3"/>
  <c r="AZ45" i="3" s="1"/>
  <c r="BA44" i="3"/>
  <c r="AZ34" i="3"/>
  <c r="AZ44" i="3" s="1"/>
  <c r="AT37" i="3"/>
  <c r="AA47" i="3"/>
  <c r="AY37" i="3"/>
  <c r="AY45" i="3"/>
  <c r="AX35" i="3"/>
  <c r="AX45" i="3" s="1"/>
  <c r="Z32" i="3"/>
  <c r="AA32" i="3" s="1"/>
  <c r="AV45" i="3"/>
  <c r="AU35" i="3"/>
  <c r="AU45" i="3" s="1"/>
  <c r="AY46" i="3"/>
  <c r="AX36" i="3"/>
  <c r="AX46" i="3" s="1"/>
  <c r="AT45" i="3"/>
  <c r="AS35" i="3"/>
  <c r="AS45" i="3" s="1"/>
  <c r="AT34" i="3"/>
  <c r="AA44" i="3"/>
  <c r="AY34" i="3"/>
  <c r="AT33" i="3"/>
  <c r="AA43" i="3"/>
  <c r="AY33" i="3"/>
  <c r="AV44" i="3"/>
  <c r="AU34" i="3"/>
  <c r="AU44" i="3" s="1"/>
  <c r="AT46" i="3"/>
  <c r="AS36" i="3"/>
  <c r="AS46" i="3" s="1"/>
  <c r="L30" i="2"/>
  <c r="L34" i="2"/>
  <c r="M42" i="2" s="1"/>
  <c r="K33" i="2"/>
  <c r="L33" i="2" s="1"/>
  <c r="M41" i="2" s="1"/>
  <c r="K34" i="2"/>
  <c r="J31" i="2"/>
  <c r="K31" i="2" s="1"/>
  <c r="L31" i="2" s="1"/>
  <c r="M39" i="2" s="1"/>
  <c r="J32" i="2"/>
  <c r="K32" i="2" s="1"/>
  <c r="L32" i="2" s="1"/>
  <c r="M40" i="2" s="1"/>
  <c r="J33" i="2"/>
  <c r="J34" i="2"/>
  <c r="K30" i="2"/>
  <c r="M38" i="2" s="1"/>
  <c r="P34" i="2"/>
  <c r="N34" i="2"/>
  <c r="P33" i="2"/>
  <c r="N33" i="2"/>
  <c r="G33" i="2"/>
  <c r="P32" i="2"/>
  <c r="N32" i="2"/>
  <c r="G32" i="2"/>
  <c r="P31" i="2"/>
  <c r="N31" i="2"/>
  <c r="P30" i="2"/>
  <c r="N30" i="2"/>
  <c r="G30" i="2"/>
  <c r="D75" i="2" l="1"/>
  <c r="E74" i="2"/>
  <c r="F74" i="2"/>
  <c r="AT43" i="3"/>
  <c r="AS33" i="3"/>
  <c r="AS43" i="3" s="1"/>
  <c r="AY44" i="3"/>
  <c r="AX34" i="3"/>
  <c r="AX44" i="3" s="1"/>
  <c r="AY47" i="3"/>
  <c r="AX37" i="3"/>
  <c r="AX47" i="3" s="1"/>
  <c r="AY43" i="3"/>
  <c r="AX33" i="3"/>
  <c r="AX43" i="3" s="1"/>
  <c r="AT32" i="3"/>
  <c r="AA42" i="3"/>
  <c r="AY32" i="3"/>
  <c r="AT44" i="3"/>
  <c r="AS34" i="3"/>
  <c r="AS44" i="3" s="1"/>
  <c r="AT47" i="3"/>
  <c r="AS37" i="3"/>
  <c r="AS47" i="3" s="1"/>
  <c r="AF113" i="1"/>
  <c r="BH80" i="4"/>
  <c r="D76" i="2" l="1"/>
  <c r="F75" i="2"/>
  <c r="E75" i="2"/>
  <c r="AY42" i="3"/>
  <c r="AX32" i="3"/>
  <c r="AX42" i="3" s="1"/>
  <c r="AT42" i="3"/>
  <c r="AS32" i="3"/>
  <c r="AS42" i="3" s="1"/>
  <c r="AR110" i="1"/>
  <c r="AP110" i="1"/>
  <c r="AN110" i="1"/>
  <c r="AS106" i="1"/>
  <c r="AT106" i="1"/>
  <c r="AU106" i="1"/>
  <c r="D77" i="2" l="1"/>
  <c r="E76" i="2"/>
  <c r="F76" i="2"/>
  <c r="BJ6" i="1"/>
  <c r="AN89" i="1"/>
  <c r="AN88" i="1"/>
  <c r="AU66" i="1"/>
  <c r="AT66" i="1"/>
  <c r="AS66" i="1"/>
  <c r="AL66" i="1"/>
  <c r="AR56" i="1"/>
  <c r="AR66" i="1"/>
  <c r="AP66" i="1"/>
  <c r="AN67" i="1"/>
  <c r="AN66" i="1"/>
  <c r="AU44" i="1"/>
  <c r="AT44" i="1"/>
  <c r="AS44" i="1"/>
  <c r="AL44" i="1"/>
  <c r="AR45" i="1"/>
  <c r="AR44" i="1"/>
  <c r="AN45" i="1"/>
  <c r="AR34" i="1"/>
  <c r="AS22" i="1"/>
  <c r="AR23" i="1"/>
  <c r="AR22" i="1"/>
  <c r="D78" i="2" l="1"/>
  <c r="F77" i="2"/>
  <c r="E77" i="2"/>
  <c r="BO52" i="1"/>
  <c r="BO53" i="1"/>
  <c r="BO54" i="1"/>
  <c r="BO55" i="1"/>
  <c r="BO56" i="1"/>
  <c r="BO57" i="1"/>
  <c r="BO58" i="1"/>
  <c r="BO59" i="1"/>
  <c r="BO60" i="1"/>
  <c r="BO61" i="1"/>
  <c r="BO62" i="1"/>
  <c r="BO63" i="1"/>
  <c r="BO64" i="1"/>
  <c r="BO65" i="1"/>
  <c r="BO66" i="1"/>
  <c r="BO67" i="1"/>
  <c r="BO50" i="1"/>
  <c r="BO8" i="1"/>
  <c r="BO9" i="1"/>
  <c r="BO10" i="1"/>
  <c r="BO11" i="1"/>
  <c r="BO12" i="1"/>
  <c r="BO13" i="1"/>
  <c r="BO14" i="1"/>
  <c r="BO15" i="1"/>
  <c r="BO16" i="1"/>
  <c r="BO17" i="1"/>
  <c r="BO18" i="1"/>
  <c r="BO19" i="1"/>
  <c r="BO20" i="1"/>
  <c r="BO21" i="1"/>
  <c r="BO22" i="1"/>
  <c r="BO23" i="1"/>
  <c r="BO6" i="1"/>
  <c r="E78" i="2" l="1"/>
  <c r="D79" i="2"/>
  <c r="F78" i="2"/>
  <c r="BI58" i="4"/>
  <c r="BI57" i="4"/>
  <c r="AR6" i="4"/>
  <c r="AU50" i="4" s="1"/>
  <c r="AQ6" i="4"/>
  <c r="AR7" i="4"/>
  <c r="AU51" i="4" s="1"/>
  <c r="AQ7" i="4"/>
  <c r="AR8" i="4"/>
  <c r="AU8" i="4" s="1"/>
  <c r="AQ8" i="4"/>
  <c r="AR9" i="4"/>
  <c r="AU53" i="4" s="1"/>
  <c r="AQ9" i="4"/>
  <c r="AR10" i="4"/>
  <c r="AU54" i="4" s="1"/>
  <c r="AQ10" i="4"/>
  <c r="AR11" i="4"/>
  <c r="AU11" i="4" s="1"/>
  <c r="AQ11" i="4"/>
  <c r="AR12" i="4"/>
  <c r="AU56" i="4" s="1"/>
  <c r="AQ12" i="4"/>
  <c r="AR13" i="4"/>
  <c r="AU13" i="4" s="1"/>
  <c r="AQ13" i="4"/>
  <c r="AR14" i="4"/>
  <c r="AU58" i="4" s="1"/>
  <c r="AQ14" i="4"/>
  <c r="AR15" i="4"/>
  <c r="AU59" i="4" s="1"/>
  <c r="AQ15" i="4"/>
  <c r="AR16" i="4"/>
  <c r="AU16" i="4" s="1"/>
  <c r="AQ16" i="4"/>
  <c r="AR17" i="4"/>
  <c r="AU61" i="4" s="1"/>
  <c r="AQ17" i="4"/>
  <c r="AR18" i="4"/>
  <c r="AU62" i="4" s="1"/>
  <c r="AQ18" i="4"/>
  <c r="AR19" i="4"/>
  <c r="AU19" i="4" s="1"/>
  <c r="AQ19" i="4"/>
  <c r="AR20" i="4"/>
  <c r="AU64" i="4" s="1"/>
  <c r="AQ20" i="4"/>
  <c r="AR21" i="4"/>
  <c r="AU21" i="4" s="1"/>
  <c r="AQ21" i="4"/>
  <c r="AR22" i="4"/>
  <c r="AU66" i="4" s="1"/>
  <c r="AQ22" i="4"/>
  <c r="AQ5" i="4"/>
  <c r="AR5" i="4"/>
  <c r="AU49" i="4" s="1"/>
  <c r="D80" i="2" l="1"/>
  <c r="F79" i="2"/>
  <c r="E79" i="2"/>
  <c r="AU18" i="4"/>
  <c r="AU15" i="4"/>
  <c r="AU10" i="4"/>
  <c r="AU7" i="4"/>
  <c r="AU63" i="4"/>
  <c r="AU60" i="4"/>
  <c r="AU55" i="4"/>
  <c r="AU52" i="4"/>
  <c r="AU5" i="4"/>
  <c r="BA5" i="4" s="1"/>
  <c r="AU20" i="4"/>
  <c r="AU17" i="4"/>
  <c r="AU12" i="4"/>
  <c r="AU9" i="4"/>
  <c r="AU65" i="4"/>
  <c r="AU57" i="4"/>
  <c r="AU22" i="4"/>
  <c r="AU14" i="4"/>
  <c r="AN75" i="4"/>
  <c r="AN71" i="4"/>
  <c r="BI38" i="4"/>
  <c r="AT50" i="4" s="1"/>
  <c r="BI39" i="4"/>
  <c r="BI46" i="4"/>
  <c r="BI45" i="4"/>
  <c r="AL115" i="4"/>
  <c r="AO139" i="4"/>
  <c r="AN134" i="4"/>
  <c r="AN140" i="4"/>
  <c r="AN139" i="4"/>
  <c r="AP132" i="4"/>
  <c r="E80" i="2" l="1"/>
  <c r="F80" i="2"/>
  <c r="AT14" i="4"/>
  <c r="AT5" i="4"/>
  <c r="AT19" i="4"/>
  <c r="AT57" i="4"/>
  <c r="AT65" i="4"/>
  <c r="AT62" i="4"/>
  <c r="AT8" i="4"/>
  <c r="AT16" i="4"/>
  <c r="AT13" i="4"/>
  <c r="AT58" i="4"/>
  <c r="AT56" i="4"/>
  <c r="AT51" i="4"/>
  <c r="AT59" i="4"/>
  <c r="AT22" i="4"/>
  <c r="AT60" i="4"/>
  <c r="AT10" i="4"/>
  <c r="AT18" i="4"/>
  <c r="AT15" i="4"/>
  <c r="AT66" i="4"/>
  <c r="AT64" i="4"/>
  <c r="AT53" i="4"/>
  <c r="AT61" i="4"/>
  <c r="AT49" i="4"/>
  <c r="AT12" i="4"/>
  <c r="AT20" i="4"/>
  <c r="AT17" i="4"/>
  <c r="AT9" i="4"/>
  <c r="AT11" i="4"/>
  <c r="AT55" i="4"/>
  <c r="AT63" i="4"/>
  <c r="AT54" i="4"/>
  <c r="AT52" i="4"/>
  <c r="AT7" i="4"/>
  <c r="AT21" i="4"/>
  <c r="AW27" i="4"/>
  <c r="AW5" i="4"/>
  <c r="BA51" i="4"/>
  <c r="BA73" i="4"/>
  <c r="BB51" i="4"/>
  <c r="BB73" i="4"/>
  <c r="BC51" i="4"/>
  <c r="BC73" i="4"/>
  <c r="AY71" i="4"/>
  <c r="BB18" i="4" l="1"/>
  <c r="BA40" i="4"/>
  <c r="BC18" i="4"/>
  <c r="BB40" i="4"/>
  <c r="BC40" i="4"/>
  <c r="BA18" i="4"/>
  <c r="BA78" i="4"/>
  <c r="BB56" i="4"/>
  <c r="BB78" i="4"/>
  <c r="BC56" i="4"/>
  <c r="BC78" i="4"/>
  <c r="BA56" i="4"/>
  <c r="BC49" i="4"/>
  <c r="BC71" i="4"/>
  <c r="BB49" i="4"/>
  <c r="BB71" i="4"/>
  <c r="BA49" i="4"/>
  <c r="BA71" i="4"/>
  <c r="BA44" i="4"/>
  <c r="BB44" i="4"/>
  <c r="BA22" i="4"/>
  <c r="BC44" i="4"/>
  <c r="BB22" i="4"/>
  <c r="BA82" i="4"/>
  <c r="BB60" i="4"/>
  <c r="BB82" i="4"/>
  <c r="BC60" i="4"/>
  <c r="BC82" i="4"/>
  <c r="BA60" i="4"/>
  <c r="BA37" i="4"/>
  <c r="BC15" i="4"/>
  <c r="BB37" i="4"/>
  <c r="BC37" i="4"/>
  <c r="BA15" i="4"/>
  <c r="BB15" i="4"/>
  <c r="BB75" i="4"/>
  <c r="BC53" i="4"/>
  <c r="BC75" i="4"/>
  <c r="BA53" i="4"/>
  <c r="BA75" i="4"/>
  <c r="BB53" i="4"/>
  <c r="BB30" i="4"/>
  <c r="BC30" i="4"/>
  <c r="BA8" i="4"/>
  <c r="BB8" i="4"/>
  <c r="BA30" i="4"/>
  <c r="BC8" i="4"/>
  <c r="BC72" i="4"/>
  <c r="BA72" i="4"/>
  <c r="BB72" i="4"/>
  <c r="BC88" i="4"/>
  <c r="BA66" i="4"/>
  <c r="BA88" i="4"/>
  <c r="BB66" i="4"/>
  <c r="BB88" i="4"/>
  <c r="BC66" i="4"/>
  <c r="BC43" i="4"/>
  <c r="BA21" i="4"/>
  <c r="BB21" i="4"/>
  <c r="BA43" i="4"/>
  <c r="BB43" i="4"/>
  <c r="BA55" i="4"/>
  <c r="BA77" i="4"/>
  <c r="BB55" i="4"/>
  <c r="BB77" i="4"/>
  <c r="BC55" i="4"/>
  <c r="BC77" i="4"/>
  <c r="BB10" i="4"/>
  <c r="BA32" i="4"/>
  <c r="BC10" i="4"/>
  <c r="BB32" i="4"/>
  <c r="BC32" i="4"/>
  <c r="BA10" i="4"/>
  <c r="BA86" i="4"/>
  <c r="BB64" i="4"/>
  <c r="BB86" i="4"/>
  <c r="BC64" i="4"/>
  <c r="BC86" i="4"/>
  <c r="BA64" i="4"/>
  <c r="BA41" i="4"/>
  <c r="BC19" i="4"/>
  <c r="BB41" i="4"/>
  <c r="BC41" i="4"/>
  <c r="BA19" i="4"/>
  <c r="BB19" i="4"/>
  <c r="BB79" i="4"/>
  <c r="BC57" i="4"/>
  <c r="BC79" i="4"/>
  <c r="BA57" i="4"/>
  <c r="BA79" i="4"/>
  <c r="BB57" i="4"/>
  <c r="BB34" i="4"/>
  <c r="BC34" i="4"/>
  <c r="BA12" i="4"/>
  <c r="BB12" i="4"/>
  <c r="BA34" i="4"/>
  <c r="BC12" i="4"/>
  <c r="BC76" i="4"/>
  <c r="BA54" i="4"/>
  <c r="BA76" i="4"/>
  <c r="BB54" i="4"/>
  <c r="BB76" i="4"/>
  <c r="BC54" i="4"/>
  <c r="BC31" i="4"/>
  <c r="BA9" i="4"/>
  <c r="BB9" i="4"/>
  <c r="BA31" i="4"/>
  <c r="BC9" i="4"/>
  <c r="BB31" i="4"/>
  <c r="BA59" i="4"/>
  <c r="BA81" i="4"/>
  <c r="BB59" i="4"/>
  <c r="BB81" i="4"/>
  <c r="BC59" i="4"/>
  <c r="BC81" i="4"/>
  <c r="BB14" i="4"/>
  <c r="BA36" i="4"/>
  <c r="BC14" i="4"/>
  <c r="BB36" i="4"/>
  <c r="BC36" i="4"/>
  <c r="BA14" i="4"/>
  <c r="BA74" i="4"/>
  <c r="BB52" i="4"/>
  <c r="BB74" i="4"/>
  <c r="BC52" i="4"/>
  <c r="BC74" i="4"/>
  <c r="BA52" i="4"/>
  <c r="BC29" i="4"/>
  <c r="BC7" i="4"/>
  <c r="BB29" i="4"/>
  <c r="BA29" i="4"/>
  <c r="BA7" i="4"/>
  <c r="BB7" i="4"/>
  <c r="BB27" i="4"/>
  <c r="BC5" i="4"/>
  <c r="BA27" i="4"/>
  <c r="BB5" i="4"/>
  <c r="BC27" i="4"/>
  <c r="BB83" i="4"/>
  <c r="BC61" i="4"/>
  <c r="BC83" i="4"/>
  <c r="BA61" i="4"/>
  <c r="BA83" i="4"/>
  <c r="BB61" i="4"/>
  <c r="BB38" i="4"/>
  <c r="BC38" i="4"/>
  <c r="BA16" i="4"/>
  <c r="BB16" i="4"/>
  <c r="BA38" i="4"/>
  <c r="BC16" i="4"/>
  <c r="BC80" i="4"/>
  <c r="BA58" i="4"/>
  <c r="BA80" i="4"/>
  <c r="BB58" i="4"/>
  <c r="BB80" i="4"/>
  <c r="BC58" i="4"/>
  <c r="BC35" i="4"/>
  <c r="BA13" i="4"/>
  <c r="BB13" i="4"/>
  <c r="BA35" i="4"/>
  <c r="BC13" i="4"/>
  <c r="BB35" i="4"/>
  <c r="BA63" i="4"/>
  <c r="BA85" i="4"/>
  <c r="BB63" i="4"/>
  <c r="BB85" i="4"/>
  <c r="BC63" i="4"/>
  <c r="BC85" i="4"/>
  <c r="BA33" i="4"/>
  <c r="BC11" i="4"/>
  <c r="BB33" i="4"/>
  <c r="BC33" i="4"/>
  <c r="BA11" i="4"/>
  <c r="BB11" i="4"/>
  <c r="BB87" i="4"/>
  <c r="BC65" i="4"/>
  <c r="BC87" i="4"/>
  <c r="BA65" i="4"/>
  <c r="BA87" i="4"/>
  <c r="BB65" i="4"/>
  <c r="BB42" i="4"/>
  <c r="BC42" i="4"/>
  <c r="BA20" i="4"/>
  <c r="BB20" i="4"/>
  <c r="BA42" i="4"/>
  <c r="BC20" i="4"/>
  <c r="BC84" i="4"/>
  <c r="BA62" i="4"/>
  <c r="BA84" i="4"/>
  <c r="BB62" i="4"/>
  <c r="BB84" i="4"/>
  <c r="BC62" i="4"/>
  <c r="BC39" i="4"/>
  <c r="BA17" i="4"/>
  <c r="BB17" i="4"/>
  <c r="BA39" i="4"/>
  <c r="BC17" i="4"/>
  <c r="BB39" i="4"/>
  <c r="AO90" i="4"/>
  <c r="AU93" i="4" l="1"/>
  <c r="BB93" i="4" s="1"/>
  <c r="AR90" i="4"/>
  <c r="BC93" i="4" s="1"/>
  <c r="BA93" i="4"/>
  <c r="BE89" i="4"/>
  <c r="AU95" i="4"/>
  <c r="AU97" i="4"/>
  <c r="AU99" i="4"/>
  <c r="AU101" i="4"/>
  <c r="AU103" i="4"/>
  <c r="AU105" i="4"/>
  <c r="AU107" i="4"/>
  <c r="AU109" i="4"/>
  <c r="AU94" i="4"/>
  <c r="AU96" i="4"/>
  <c r="AU98" i="4"/>
  <c r="AU100" i="4"/>
  <c r="AU102" i="4"/>
  <c r="AU104" i="4"/>
  <c r="AU106" i="4"/>
  <c r="AU108" i="4"/>
  <c r="AU110" i="4"/>
  <c r="AR91" i="4"/>
  <c r="AO89" i="4"/>
  <c r="BG47" i="4"/>
  <c r="BG45" i="4"/>
  <c r="AT93" i="4" l="1"/>
  <c r="AR89" i="4"/>
  <c r="BC108" i="4"/>
  <c r="BA108" i="4"/>
  <c r="BB108" i="4"/>
  <c r="BC100" i="4"/>
  <c r="BA100" i="4"/>
  <c r="BB100" i="4"/>
  <c r="BA109" i="4"/>
  <c r="BB109" i="4"/>
  <c r="BC109" i="4"/>
  <c r="BA101" i="4"/>
  <c r="BB101" i="4"/>
  <c r="BC101" i="4"/>
  <c r="BA106" i="4"/>
  <c r="BB106" i="4"/>
  <c r="BC106" i="4"/>
  <c r="BA98" i="4"/>
  <c r="BB98" i="4"/>
  <c r="BC98" i="4"/>
  <c r="BB107" i="4"/>
  <c r="BC107" i="4"/>
  <c r="BA107" i="4"/>
  <c r="BB99" i="4"/>
  <c r="BC99" i="4"/>
  <c r="BA99" i="4"/>
  <c r="BC104" i="4"/>
  <c r="BA104" i="4"/>
  <c r="BB104" i="4"/>
  <c r="BC96" i="4"/>
  <c r="BA96" i="4"/>
  <c r="BB96" i="4"/>
  <c r="BA105" i="4"/>
  <c r="BB105" i="4"/>
  <c r="BC105" i="4"/>
  <c r="BA97" i="4"/>
  <c r="BB97" i="4"/>
  <c r="BC97" i="4"/>
  <c r="BA110" i="4"/>
  <c r="BB110" i="4"/>
  <c r="BC110" i="4"/>
  <c r="BA102" i="4"/>
  <c r="BB102" i="4"/>
  <c r="BC102" i="4"/>
  <c r="BA94" i="4"/>
  <c r="BB94" i="4"/>
  <c r="BC94" i="4"/>
  <c r="BB103" i="4"/>
  <c r="BC103" i="4"/>
  <c r="BA103" i="4"/>
  <c r="BB95" i="4"/>
  <c r="BC95" i="4"/>
  <c r="BA95" i="4"/>
  <c r="AY93" i="4"/>
  <c r="AX93" i="4"/>
  <c r="AW93" i="4"/>
  <c r="AT94" i="4"/>
  <c r="AT109" i="4"/>
  <c r="AT96" i="4"/>
  <c r="AT103" i="4"/>
  <c r="AT105" i="4"/>
  <c r="AT108" i="4"/>
  <c r="AT99" i="4"/>
  <c r="AT101" i="4"/>
  <c r="AT104" i="4"/>
  <c r="AT95" i="4"/>
  <c r="AT98" i="4"/>
  <c r="AT97" i="4"/>
  <c r="AT100" i="4"/>
  <c r="AT107" i="4"/>
  <c r="AT110" i="4"/>
  <c r="AT106" i="4"/>
  <c r="AT102" i="4"/>
  <c r="AQ132" i="4"/>
  <c r="AN136" i="4"/>
  <c r="BE91" i="1"/>
  <c r="E28" i="4"/>
  <c r="E29" i="4" s="1"/>
  <c r="AE156" i="4"/>
  <c r="AC160" i="4"/>
  <c r="AB160" i="4"/>
  <c r="Z156" i="4"/>
  <c r="Z143" i="4"/>
  <c r="AA160" i="4"/>
  <c r="AB156" i="4"/>
  <c r="Z140" i="4"/>
  <c r="AB140" i="4"/>
  <c r="AC140" i="4"/>
  <c r="AE140" i="4"/>
  <c r="AG140" i="4"/>
  <c r="AH140" i="4"/>
  <c r="Z142" i="4"/>
  <c r="AB142" i="4"/>
  <c r="AC142" i="4"/>
  <c r="AE142" i="4"/>
  <c r="AG142" i="4"/>
  <c r="AH142" i="4"/>
  <c r="AB143" i="4"/>
  <c r="AC143" i="4"/>
  <c r="AE143" i="4"/>
  <c r="AG143" i="4"/>
  <c r="Z145" i="4"/>
  <c r="AA145" i="4"/>
  <c r="AC145" i="4"/>
  <c r="AE145" i="4"/>
  <c r="AG145" i="4"/>
  <c r="AH145" i="4"/>
  <c r="Z146" i="4"/>
  <c r="AA146" i="4"/>
  <c r="AC146" i="4"/>
  <c r="Z147" i="4"/>
  <c r="AA147" i="4"/>
  <c r="AC147" i="4"/>
  <c r="AE147" i="4"/>
  <c r="AG147" i="4"/>
  <c r="AH147" i="4"/>
  <c r="Z148" i="4"/>
  <c r="AA148" i="4"/>
  <c r="AC148" i="4"/>
  <c r="AE148" i="4"/>
  <c r="AG148" i="4"/>
  <c r="AH148" i="4"/>
  <c r="Z149" i="4"/>
  <c r="AB149" i="4"/>
  <c r="AC149" i="4"/>
  <c r="AE149" i="4"/>
  <c r="AG149" i="4"/>
  <c r="AH149" i="4"/>
  <c r="Z150" i="4"/>
  <c r="AB150" i="4"/>
  <c r="AC150" i="4"/>
  <c r="AG150" i="4"/>
  <c r="Z151" i="4"/>
  <c r="AB151" i="4"/>
  <c r="AC151" i="4"/>
  <c r="Z152" i="4"/>
  <c r="AB152" i="4"/>
  <c r="AC152" i="4"/>
  <c r="Z153" i="4"/>
  <c r="AB153" i="4"/>
  <c r="AC153" i="4"/>
  <c r="AC138" i="4"/>
  <c r="Z138" i="4"/>
  <c r="AN135" i="4"/>
  <c r="AK132" i="4"/>
  <c r="AJ132" i="4"/>
  <c r="AG134" i="4"/>
  <c r="AN133" i="4"/>
  <c r="F26" i="4"/>
  <c r="F25" i="4"/>
  <c r="E25" i="4"/>
  <c r="AY102" i="4" l="1"/>
  <c r="AW102" i="4"/>
  <c r="AX102" i="4"/>
  <c r="AW100" i="4"/>
  <c r="AX100" i="4"/>
  <c r="AY100" i="4"/>
  <c r="AW104" i="4"/>
  <c r="AX104" i="4"/>
  <c r="AY104" i="4"/>
  <c r="AX105" i="4"/>
  <c r="AY105" i="4"/>
  <c r="AW105" i="4"/>
  <c r="AY94" i="4"/>
  <c r="AW94" i="4"/>
  <c r="AX94" i="4"/>
  <c r="AY106" i="4"/>
  <c r="AW106" i="4"/>
  <c r="AX106" i="4"/>
  <c r="AX97" i="4"/>
  <c r="AY97" i="4"/>
  <c r="AW97" i="4"/>
  <c r="AX101" i="4"/>
  <c r="AY101" i="4"/>
  <c r="AW101" i="4"/>
  <c r="AW103" i="4"/>
  <c r="AX103" i="4"/>
  <c r="AY103" i="4"/>
  <c r="AY110" i="4"/>
  <c r="AW110" i="4"/>
  <c r="AX110" i="4"/>
  <c r="AY98" i="4"/>
  <c r="AW98" i="4"/>
  <c r="AX98" i="4"/>
  <c r="AW99" i="4"/>
  <c r="AX99" i="4"/>
  <c r="AY99" i="4"/>
  <c r="AW96" i="4"/>
  <c r="AX96" i="4"/>
  <c r="AY96" i="4"/>
  <c r="AW107" i="4"/>
  <c r="AX107" i="4"/>
  <c r="AY107" i="4"/>
  <c r="AW95" i="4"/>
  <c r="AX95" i="4"/>
  <c r="AY95" i="4"/>
  <c r="AW108" i="4"/>
  <c r="AX108" i="4"/>
  <c r="AY108" i="4"/>
  <c r="AX109" i="4"/>
  <c r="AY109" i="4"/>
  <c r="AW109" i="4"/>
  <c r="T132" i="4"/>
  <c r="E24" i="4"/>
  <c r="AE134" i="4"/>
  <c r="Z134" i="4"/>
  <c r="AE133" i="4"/>
  <c r="AE132" i="4"/>
  <c r="Z133" i="4"/>
  <c r="Z132" i="4"/>
  <c r="V114" i="4"/>
  <c r="W114" i="4"/>
  <c r="V115" i="4"/>
  <c r="W115" i="4"/>
  <c r="V116" i="4"/>
  <c r="W116" i="4"/>
  <c r="V117" i="4"/>
  <c r="W117" i="4"/>
  <c r="V118" i="4"/>
  <c r="W118" i="4"/>
  <c r="V119" i="4"/>
  <c r="W119" i="4"/>
  <c r="V120" i="4"/>
  <c r="W120" i="4"/>
  <c r="V121" i="4"/>
  <c r="W121" i="4"/>
  <c r="V122" i="4"/>
  <c r="W122" i="4"/>
  <c r="V123" i="4"/>
  <c r="W123" i="4"/>
  <c r="V124" i="4"/>
  <c r="W124" i="4"/>
  <c r="V125" i="4"/>
  <c r="W125" i="4"/>
  <c r="V126" i="4"/>
  <c r="W126" i="4"/>
  <c r="V127" i="4"/>
  <c r="W127" i="4"/>
  <c r="V128" i="4"/>
  <c r="W128" i="4"/>
  <c r="V129" i="4"/>
  <c r="W129" i="4"/>
  <c r="V130" i="4"/>
  <c r="W130" i="4"/>
  <c r="W113" i="4"/>
  <c r="V113" i="4"/>
  <c r="U114" i="4"/>
  <c r="U115" i="4"/>
  <c r="U116" i="4"/>
  <c r="U117" i="4"/>
  <c r="U118" i="4"/>
  <c r="U119" i="4"/>
  <c r="U120" i="4"/>
  <c r="U121" i="4"/>
  <c r="U122" i="4"/>
  <c r="U123" i="4"/>
  <c r="U124" i="4"/>
  <c r="U125" i="4"/>
  <c r="U126" i="4"/>
  <c r="U127" i="4"/>
  <c r="U128" i="4"/>
  <c r="U129" i="4"/>
  <c r="U130" i="4"/>
  <c r="U113" i="4"/>
  <c r="T114" i="4"/>
  <c r="T115" i="4"/>
  <c r="T116" i="4"/>
  <c r="T117" i="4"/>
  <c r="T118" i="4"/>
  <c r="T119" i="4"/>
  <c r="T120" i="4"/>
  <c r="T121" i="4"/>
  <c r="T122" i="4"/>
  <c r="T123" i="4"/>
  <c r="T124" i="4"/>
  <c r="T125" i="4"/>
  <c r="T126" i="4"/>
  <c r="T127" i="4"/>
  <c r="T128" i="4"/>
  <c r="T129" i="4"/>
  <c r="T130" i="4"/>
  <c r="T113" i="4"/>
  <c r="E32" i="4"/>
  <c r="AJ131" i="4"/>
  <c r="AG125" i="4"/>
  <c r="AG124" i="4"/>
  <c r="AG118" i="4"/>
  <c r="AH124" i="4"/>
  <c r="AH123" i="4"/>
  <c r="AG123" i="4"/>
  <c r="AH122" i="4"/>
  <c r="AG122" i="4"/>
  <c r="AH120" i="4"/>
  <c r="AG120" i="4"/>
  <c r="AH117" i="4"/>
  <c r="AG117" i="4"/>
  <c r="AH115" i="4"/>
  <c r="AG115" i="4"/>
  <c r="AC116" i="4"/>
  <c r="AB121" i="4"/>
  <c r="AC121" i="4"/>
  <c r="AB122" i="4"/>
  <c r="AC122" i="4"/>
  <c r="AB123" i="4"/>
  <c r="AC123" i="4"/>
  <c r="AB124" i="4"/>
  <c r="AC124" i="4"/>
  <c r="AB125" i="4"/>
  <c r="AC125" i="4"/>
  <c r="AB126" i="4"/>
  <c r="AC126" i="4"/>
  <c r="AB127" i="4"/>
  <c r="AC127" i="4"/>
  <c r="AB128" i="4"/>
  <c r="AC128" i="4"/>
  <c r="AC120" i="4"/>
  <c r="AB120" i="4"/>
  <c r="AC118" i="4"/>
  <c r="AB118" i="4"/>
  <c r="AC117" i="4"/>
  <c r="AB117" i="4"/>
  <c r="AC115" i="4"/>
  <c r="AB115" i="4"/>
  <c r="AC113" i="4"/>
  <c r="AB113" i="4"/>
  <c r="AN132" i="4"/>
  <c r="AL132" i="4"/>
  <c r="AM132" i="4"/>
  <c r="AO132" i="4"/>
  <c r="AJ115" i="4"/>
  <c r="AK115" i="4"/>
  <c r="AJ117" i="4"/>
  <c r="AK117" i="4"/>
  <c r="AJ118" i="4"/>
  <c r="AK118" i="4"/>
  <c r="AJ120" i="4"/>
  <c r="AK120" i="4"/>
  <c r="AJ121" i="4"/>
  <c r="AJ122" i="4"/>
  <c r="AK122" i="4"/>
  <c r="AJ123" i="4"/>
  <c r="AK123" i="4"/>
  <c r="AJ124" i="4"/>
  <c r="AK124" i="4"/>
  <c r="AJ125" i="4"/>
  <c r="AJ126" i="4"/>
  <c r="AJ127" i="4"/>
  <c r="AJ128" i="4"/>
  <c r="AJ113" i="4"/>
  <c r="AJ95" i="4" l="1"/>
  <c r="AK95" i="4"/>
  <c r="AL95" i="4"/>
  <c r="AM95" i="4"/>
  <c r="AN95" i="4"/>
  <c r="AO95" i="4"/>
  <c r="AO96" i="4"/>
  <c r="AJ97" i="4"/>
  <c r="AK97" i="4"/>
  <c r="AL97" i="4"/>
  <c r="AM97" i="4"/>
  <c r="AN97" i="4"/>
  <c r="AO97" i="4"/>
  <c r="AJ98" i="4"/>
  <c r="AK98" i="4"/>
  <c r="AL98" i="4"/>
  <c r="AM98" i="4"/>
  <c r="AO98" i="4"/>
  <c r="AJ100" i="4"/>
  <c r="AK100" i="4"/>
  <c r="AL100" i="4"/>
  <c r="AM100" i="4"/>
  <c r="AN100" i="4"/>
  <c r="AO100" i="4"/>
  <c r="AK101" i="4"/>
  <c r="AM101" i="4"/>
  <c r="AO101" i="4"/>
  <c r="AJ102" i="4"/>
  <c r="AK102" i="4"/>
  <c r="AL102" i="4"/>
  <c r="AM102" i="4"/>
  <c r="AN102" i="4"/>
  <c r="AO102" i="4"/>
  <c r="AJ103" i="4"/>
  <c r="AK103" i="4"/>
  <c r="AL103" i="4"/>
  <c r="AM103" i="4"/>
  <c r="AN103" i="4"/>
  <c r="AO103" i="4"/>
  <c r="AJ104" i="4"/>
  <c r="AK104" i="4"/>
  <c r="AL104" i="4"/>
  <c r="AM104" i="4"/>
  <c r="AN104" i="4"/>
  <c r="AO104" i="4"/>
  <c r="AJ105" i="4"/>
  <c r="AK105" i="4"/>
  <c r="AL105" i="4"/>
  <c r="AM105" i="4"/>
  <c r="AO105" i="4"/>
  <c r="AK106" i="4"/>
  <c r="AM106" i="4"/>
  <c r="AO106" i="4"/>
  <c r="AK107" i="4"/>
  <c r="AM107" i="4"/>
  <c r="AO107" i="4"/>
  <c r="AK108" i="4"/>
  <c r="AM108" i="4"/>
  <c r="AO108" i="4"/>
  <c r="AO93" i="4"/>
  <c r="AM93" i="4"/>
  <c r="AN73" i="4"/>
  <c r="AN76" i="4"/>
  <c r="AN78" i="4"/>
  <c r="AN79" i="4"/>
  <c r="AN80" i="4"/>
  <c r="AN81" i="4"/>
  <c r="AN82" i="4"/>
  <c r="AN83" i="4"/>
  <c r="AN84" i="4"/>
  <c r="AN85" i="4"/>
  <c r="AN86" i="4"/>
  <c r="AL73" i="4"/>
  <c r="AL75" i="4"/>
  <c r="AL76" i="4"/>
  <c r="AL78" i="4"/>
  <c r="AL79" i="4"/>
  <c r="AL80" i="4"/>
  <c r="AL81" i="4"/>
  <c r="AL82" i="4"/>
  <c r="AL83" i="4"/>
  <c r="AL84" i="4"/>
  <c r="AL85" i="4"/>
  <c r="AL86" i="4"/>
  <c r="AJ73" i="4"/>
  <c r="AJ75" i="4"/>
  <c r="AJ76" i="4"/>
  <c r="AJ78" i="4"/>
  <c r="AJ79" i="4"/>
  <c r="AJ80" i="4"/>
  <c r="AJ81" i="4"/>
  <c r="AJ82" i="4"/>
  <c r="AJ83" i="4"/>
  <c r="AJ84" i="4"/>
  <c r="AJ85" i="4"/>
  <c r="AJ86" i="4"/>
  <c r="AL71" i="4"/>
  <c r="AJ71" i="4"/>
  <c r="AN56" i="4"/>
  <c r="AN57" i="4"/>
  <c r="AN58" i="4"/>
  <c r="AN59" i="4"/>
  <c r="AN60" i="4"/>
  <c r="AN61" i="4"/>
  <c r="AN62" i="4"/>
  <c r="AN64" i="4"/>
  <c r="AL51" i="4"/>
  <c r="AL53" i="4"/>
  <c r="AL54" i="4"/>
  <c r="AL56" i="4"/>
  <c r="AL57" i="4"/>
  <c r="AL58" i="4"/>
  <c r="AL59" i="4"/>
  <c r="AL60" i="4"/>
  <c r="AL61" i="4"/>
  <c r="AL62" i="4"/>
  <c r="AL63" i="4"/>
  <c r="AL64" i="4"/>
  <c r="AJ51" i="4"/>
  <c r="AJ53" i="4"/>
  <c r="AJ54" i="4"/>
  <c r="AJ56" i="4"/>
  <c r="AJ57" i="4"/>
  <c r="AJ58" i="4"/>
  <c r="AJ59" i="4"/>
  <c r="AJ60" i="4"/>
  <c r="AJ61" i="4"/>
  <c r="AJ62" i="4"/>
  <c r="AJ63" i="4"/>
  <c r="AJ64" i="4"/>
  <c r="AN49" i="4"/>
  <c r="AL49" i="4"/>
  <c r="AJ49" i="4"/>
  <c r="AN29" i="4"/>
  <c r="AN31" i="4"/>
  <c r="AN32" i="4"/>
  <c r="AN34" i="4"/>
  <c r="AN35" i="4"/>
  <c r="AN36" i="4"/>
  <c r="AN37" i="4"/>
  <c r="AN38" i="4"/>
  <c r="AN39" i="4"/>
  <c r="AN40" i="4"/>
  <c r="AN41" i="4"/>
  <c r="AN42" i="4"/>
  <c r="AL29" i="4"/>
  <c r="AL30" i="4"/>
  <c r="AL31" i="4"/>
  <c r="AL32" i="4"/>
  <c r="AL34" i="4"/>
  <c r="AL35" i="4"/>
  <c r="AL36" i="4"/>
  <c r="AL37" i="4"/>
  <c r="AL38" i="4"/>
  <c r="AL39" i="4"/>
  <c r="AL40" i="4"/>
  <c r="AL41" i="4"/>
  <c r="AL42" i="4"/>
  <c r="AJ29" i="4"/>
  <c r="AJ31" i="4"/>
  <c r="AJ32" i="4"/>
  <c r="AJ34" i="4"/>
  <c r="AJ35" i="4"/>
  <c r="AJ36" i="4"/>
  <c r="AJ37" i="4"/>
  <c r="AJ38" i="4"/>
  <c r="AJ39" i="4"/>
  <c r="AJ40" i="4"/>
  <c r="AJ41" i="4"/>
  <c r="AJ42" i="4"/>
  <c r="AN27" i="4"/>
  <c r="AL27" i="4"/>
  <c r="AJ27" i="4"/>
  <c r="AN7" i="4"/>
  <c r="AN9" i="4"/>
  <c r="AN10" i="4"/>
  <c r="AN12" i="4"/>
  <c r="AN13" i="4"/>
  <c r="AN14" i="4"/>
  <c r="AN15" i="4"/>
  <c r="AN16" i="4"/>
  <c r="AN17" i="4"/>
  <c r="AN18" i="4"/>
  <c r="AN19" i="4"/>
  <c r="AN20" i="4"/>
  <c r="AL7" i="4"/>
  <c r="AL9" i="4"/>
  <c r="AL10" i="4"/>
  <c r="AL11" i="4"/>
  <c r="AL12" i="4"/>
  <c r="AL13" i="4"/>
  <c r="AL14" i="4"/>
  <c r="AL15" i="4"/>
  <c r="AL16" i="4"/>
  <c r="AL17" i="4"/>
  <c r="AL18" i="4"/>
  <c r="AL19" i="4"/>
  <c r="AL20" i="4"/>
  <c r="AN5" i="4"/>
  <c r="AL5" i="4"/>
  <c r="AJ5" i="4"/>
  <c r="AJ7" i="4"/>
  <c r="AJ8" i="4"/>
  <c r="AJ9" i="4"/>
  <c r="AJ10" i="4"/>
  <c r="AJ11" i="4"/>
  <c r="AJ12" i="4"/>
  <c r="AJ13" i="4"/>
  <c r="AJ14" i="4"/>
  <c r="AJ15" i="4"/>
  <c r="AJ16" i="4"/>
  <c r="AJ17" i="4"/>
  <c r="AJ18" i="4"/>
  <c r="AJ19" i="4"/>
  <c r="AJ20" i="4"/>
  <c r="AJ21" i="4"/>
  <c r="AJ22" i="4"/>
  <c r="AK74" i="4"/>
  <c r="AM74" i="4"/>
  <c r="AO74" i="4"/>
  <c r="AK75" i="4"/>
  <c r="AM75" i="4"/>
  <c r="AO75" i="4"/>
  <c r="AK76" i="4"/>
  <c r="AM76" i="4"/>
  <c r="AO76" i="4"/>
  <c r="AK77" i="4"/>
  <c r="AM77" i="4"/>
  <c r="AO77" i="4"/>
  <c r="AK78" i="4"/>
  <c r="AM78" i="4"/>
  <c r="AO78" i="4"/>
  <c r="AK79" i="4"/>
  <c r="AM79" i="4"/>
  <c r="AO79" i="4"/>
  <c r="AK80" i="4"/>
  <c r="AM80" i="4"/>
  <c r="AO80" i="4"/>
  <c r="AK81" i="4"/>
  <c r="AM81" i="4"/>
  <c r="AO81" i="4"/>
  <c r="AK82" i="4"/>
  <c r="AM82" i="4"/>
  <c r="AO82" i="4"/>
  <c r="AK83" i="4"/>
  <c r="AM83" i="4"/>
  <c r="AO83" i="4"/>
  <c r="AK84" i="4"/>
  <c r="AM84" i="4"/>
  <c r="AO84" i="4"/>
  <c r="AK85" i="4"/>
  <c r="AM85" i="4"/>
  <c r="AO85" i="4"/>
  <c r="AK86" i="4"/>
  <c r="AM86" i="4"/>
  <c r="AO86" i="4"/>
  <c r="AO73" i="4"/>
  <c r="AM73" i="4"/>
  <c r="AK73" i="4"/>
  <c r="AO71" i="4"/>
  <c r="AM71" i="4"/>
  <c r="AK71" i="4"/>
  <c r="AK57" i="4"/>
  <c r="AM57" i="4"/>
  <c r="AO57" i="4"/>
  <c r="AK58" i="4"/>
  <c r="AM58" i="4"/>
  <c r="AO58" i="4"/>
  <c r="AK59" i="4"/>
  <c r="AM59" i="4"/>
  <c r="AO59" i="4"/>
  <c r="AK60" i="4"/>
  <c r="AM60" i="4"/>
  <c r="AO60" i="4"/>
  <c r="AK61" i="4"/>
  <c r="AM61" i="4"/>
  <c r="AO61" i="4"/>
  <c r="AK62" i="4"/>
  <c r="AM62" i="4"/>
  <c r="AO62" i="4"/>
  <c r="AK63" i="4"/>
  <c r="AM63" i="4"/>
  <c r="AO63" i="4"/>
  <c r="AK64" i="4"/>
  <c r="AM64" i="4"/>
  <c r="AO64" i="4"/>
  <c r="AO56" i="4"/>
  <c r="AM56" i="4"/>
  <c r="AK56" i="4"/>
  <c r="AM55" i="4"/>
  <c r="AK54" i="4"/>
  <c r="AM54" i="4"/>
  <c r="AO54" i="4"/>
  <c r="AO53" i="4"/>
  <c r="AM53" i="4"/>
  <c r="AK53" i="4"/>
  <c r="AM52" i="4"/>
  <c r="AO52" i="4"/>
  <c r="AO51" i="4"/>
  <c r="AM51" i="4"/>
  <c r="AK51" i="4"/>
  <c r="AO49" i="4"/>
  <c r="AM49" i="4"/>
  <c r="AK49" i="4"/>
  <c r="AM44" i="4" l="1"/>
  <c r="AK43" i="4"/>
  <c r="AM43" i="4"/>
  <c r="AK35" i="4"/>
  <c r="AM35" i="4"/>
  <c r="AO35" i="4"/>
  <c r="AK36" i="4"/>
  <c r="AM36" i="4"/>
  <c r="AO36" i="4"/>
  <c r="AK37" i="4"/>
  <c r="AM37" i="4"/>
  <c r="AO37" i="4"/>
  <c r="AK38" i="4"/>
  <c r="AM38" i="4"/>
  <c r="AO38" i="4"/>
  <c r="AK39" i="4"/>
  <c r="AM39" i="4"/>
  <c r="AO39" i="4"/>
  <c r="AK40" i="4"/>
  <c r="AM40" i="4"/>
  <c r="AO40" i="4"/>
  <c r="AK41" i="4"/>
  <c r="AM41" i="4"/>
  <c r="AO41" i="4"/>
  <c r="AK42" i="4"/>
  <c r="AM42" i="4"/>
  <c r="AO42" i="4"/>
  <c r="AK33" i="4"/>
  <c r="AM33" i="4"/>
  <c r="AK34" i="4"/>
  <c r="AM34" i="4"/>
  <c r="AO34" i="4"/>
  <c r="AK30" i="4"/>
  <c r="AM30" i="4"/>
  <c r="AO30" i="4"/>
  <c r="AK31" i="4"/>
  <c r="AM31" i="4"/>
  <c r="AO31" i="4"/>
  <c r="AK32" i="4"/>
  <c r="AM32" i="4"/>
  <c r="AO32" i="4"/>
  <c r="AO29" i="4"/>
  <c r="AM29" i="4"/>
  <c r="AK29" i="4"/>
  <c r="AO27" i="4"/>
  <c r="AM27" i="4"/>
  <c r="AK27" i="4"/>
  <c r="AM21" i="4"/>
  <c r="AM22" i="4"/>
  <c r="AM8" i="4"/>
  <c r="AO8" i="4"/>
  <c r="AM9" i="4"/>
  <c r="AO9" i="4"/>
  <c r="AM10" i="4"/>
  <c r="AO10" i="4"/>
  <c r="AM11" i="4"/>
  <c r="AO11" i="4"/>
  <c r="AM12" i="4"/>
  <c r="AO12" i="4"/>
  <c r="AM13" i="4"/>
  <c r="AO13" i="4"/>
  <c r="AM14" i="4"/>
  <c r="AO14" i="4"/>
  <c r="AM15" i="4"/>
  <c r="AO15" i="4"/>
  <c r="AM16" i="4"/>
  <c r="AO16" i="4"/>
  <c r="AM17" i="4"/>
  <c r="AO17" i="4"/>
  <c r="AM18" i="4"/>
  <c r="AO18" i="4"/>
  <c r="AM19" i="4"/>
  <c r="AO19" i="4"/>
  <c r="AM20" i="4"/>
  <c r="AO20" i="4"/>
  <c r="AO7" i="4"/>
  <c r="AM7" i="4"/>
  <c r="AO5" i="4"/>
  <c r="AM5" i="4"/>
  <c r="AK93" i="4"/>
  <c r="AK7" i="4"/>
  <c r="AK8" i="4"/>
  <c r="AK9" i="4"/>
  <c r="AK10" i="4"/>
  <c r="AK11" i="4"/>
  <c r="AK12" i="4"/>
  <c r="AK13" i="4"/>
  <c r="AK14" i="4"/>
  <c r="AK15" i="4"/>
  <c r="AK16" i="4"/>
  <c r="AK17" i="4"/>
  <c r="AK18" i="4"/>
  <c r="AK19" i="4"/>
  <c r="AK20" i="4"/>
  <c r="AK21" i="4"/>
  <c r="AK22" i="4"/>
  <c r="AK5" i="4"/>
  <c r="AP128" i="4"/>
  <c r="AN128" i="4"/>
  <c r="AN127" i="4"/>
  <c r="AL127" i="4"/>
  <c r="Z128" i="4"/>
  <c r="AP125" i="4"/>
  <c r="AO125" i="4"/>
  <c r="AN125" i="4"/>
  <c r="AM125" i="4"/>
  <c r="AL125" i="4"/>
  <c r="Z127" i="4"/>
  <c r="AQ124" i="4"/>
  <c r="AP124" i="4"/>
  <c r="AO124" i="4"/>
  <c r="AN124" i="4"/>
  <c r="AM124" i="4"/>
  <c r="AL124" i="4"/>
  <c r="Z126" i="4"/>
  <c r="AQ123" i="4"/>
  <c r="AP123" i="4"/>
  <c r="AO123" i="4"/>
  <c r="AN123" i="4"/>
  <c r="AM123" i="4"/>
  <c r="AL123" i="4"/>
  <c r="Z125" i="4"/>
  <c r="AQ122" i="4"/>
  <c r="AP122" i="4"/>
  <c r="AO122" i="4"/>
  <c r="AN122" i="4"/>
  <c r="AM122" i="4"/>
  <c r="AL122" i="4"/>
  <c r="AE124" i="4"/>
  <c r="Z124" i="4"/>
  <c r="AP121" i="4"/>
  <c r="AN121" i="4"/>
  <c r="AL121" i="4"/>
  <c r="AE123" i="4"/>
  <c r="Z123" i="4"/>
  <c r="AQ120" i="4"/>
  <c r="AP120" i="4"/>
  <c r="AO120" i="4"/>
  <c r="AN120" i="4"/>
  <c r="AM120" i="4"/>
  <c r="AL120" i="4"/>
  <c r="AE122" i="4"/>
  <c r="Z122" i="4"/>
  <c r="Z121" i="4"/>
  <c r="AP118" i="4"/>
  <c r="AO118" i="4"/>
  <c r="AN118" i="4"/>
  <c r="AM118" i="4"/>
  <c r="AL118" i="4"/>
  <c r="AE120" i="4"/>
  <c r="Z120" i="4"/>
  <c r="AQ117" i="4"/>
  <c r="AP117" i="4"/>
  <c r="AO117" i="4"/>
  <c r="AN117" i="4"/>
  <c r="AM117" i="4"/>
  <c r="AL117" i="4"/>
  <c r="AP116" i="4"/>
  <c r="AE118" i="4"/>
  <c r="Z118" i="4"/>
  <c r="AQ115" i="4"/>
  <c r="AP115" i="4"/>
  <c r="AO115" i="4"/>
  <c r="AN115" i="4"/>
  <c r="AM115" i="4"/>
  <c r="AE117" i="4"/>
  <c r="Z117" i="4"/>
  <c r="AP113" i="4"/>
  <c r="AN113" i="4"/>
  <c r="AL113" i="4"/>
  <c r="AE115" i="4"/>
  <c r="Z115" i="4"/>
  <c r="Z113" i="4"/>
  <c r="L22" i="4"/>
  <c r="N22" i="4" s="1"/>
  <c r="Q22" i="4" s="1"/>
  <c r="K22" i="4"/>
  <c r="L21" i="4"/>
  <c r="N21" i="4" s="1"/>
  <c r="K21" i="4"/>
  <c r="L20" i="4"/>
  <c r="N20" i="4" s="1"/>
  <c r="K20" i="4"/>
  <c r="L19" i="4"/>
  <c r="N19" i="4" s="1"/>
  <c r="K19" i="4"/>
  <c r="L18" i="4"/>
  <c r="N18" i="4" s="1"/>
  <c r="O18" i="4" s="1"/>
  <c r="P18" i="4" s="1"/>
  <c r="K18" i="4"/>
  <c r="L17" i="4"/>
  <c r="N17" i="4" s="1"/>
  <c r="O17" i="4" s="1"/>
  <c r="K17" i="4"/>
  <c r="L16" i="4"/>
  <c r="N16" i="4" s="1"/>
  <c r="O16" i="4" s="1"/>
  <c r="K16" i="4"/>
  <c r="L15" i="4"/>
  <c r="N15" i="4" s="1"/>
  <c r="O15" i="4" s="1"/>
  <c r="P15" i="4" s="1"/>
  <c r="K15" i="4"/>
  <c r="L14" i="4"/>
  <c r="N14" i="4" s="1"/>
  <c r="O14" i="4" s="1"/>
  <c r="P14" i="4" s="1"/>
  <c r="K14" i="4"/>
  <c r="L13" i="4"/>
  <c r="N13" i="4" s="1"/>
  <c r="O13" i="4" s="1"/>
  <c r="K13" i="4"/>
  <c r="L12" i="4"/>
  <c r="N12" i="4" s="1"/>
  <c r="O12" i="4" s="1"/>
  <c r="K12" i="4"/>
  <c r="L11" i="4"/>
  <c r="N11" i="4" s="1"/>
  <c r="K11" i="4"/>
  <c r="L10" i="4"/>
  <c r="N10" i="4" s="1"/>
  <c r="K10" i="4"/>
  <c r="L9" i="4"/>
  <c r="N9" i="4" s="1"/>
  <c r="K9" i="4"/>
  <c r="L8" i="4"/>
  <c r="N8" i="4" s="1"/>
  <c r="Q8" i="4" s="1"/>
  <c r="K8" i="4"/>
  <c r="L7" i="4"/>
  <c r="N7" i="4" s="1"/>
  <c r="Q7" i="4" s="1"/>
  <c r="K7" i="4"/>
  <c r="L6" i="4"/>
  <c r="N6" i="4" s="1"/>
  <c r="K6" i="4"/>
  <c r="L5" i="4"/>
  <c r="N5" i="4" s="1"/>
  <c r="K5" i="4"/>
  <c r="CK100" i="1"/>
  <c r="CK99" i="1"/>
  <c r="AW38" i="4" l="1"/>
  <c r="AX38" i="4"/>
  <c r="AY38" i="4"/>
  <c r="AW61" i="4"/>
  <c r="AW83" i="4"/>
  <c r="AX61" i="4"/>
  <c r="AX83" i="4"/>
  <c r="AY61" i="4"/>
  <c r="AY83" i="4"/>
  <c r="AX27" i="4"/>
  <c r="AX5" i="4"/>
  <c r="AY27" i="4"/>
  <c r="AY5" i="4"/>
  <c r="AW29" i="4"/>
  <c r="AX29" i="4"/>
  <c r="AY29" i="4"/>
  <c r="AY36" i="4"/>
  <c r="AW36" i="4"/>
  <c r="AX36" i="4"/>
  <c r="AX81" i="4"/>
  <c r="AY59" i="4"/>
  <c r="AY81" i="4"/>
  <c r="AW59" i="4"/>
  <c r="AW81" i="4"/>
  <c r="AX59" i="4"/>
  <c r="AX39" i="4"/>
  <c r="AY39" i="4"/>
  <c r="AW39" i="4"/>
  <c r="AW84" i="4"/>
  <c r="AX62" i="4"/>
  <c r="AX84" i="4"/>
  <c r="AY62" i="4"/>
  <c r="AY84" i="4"/>
  <c r="AW62" i="4"/>
  <c r="AW34" i="4"/>
  <c r="AX34" i="4"/>
  <c r="AY34" i="4"/>
  <c r="AW57" i="4"/>
  <c r="AW79" i="4"/>
  <c r="AX57" i="4"/>
  <c r="AX79" i="4"/>
  <c r="AY57" i="4"/>
  <c r="AY79" i="4"/>
  <c r="AW41" i="4"/>
  <c r="AX41" i="4"/>
  <c r="AY41" i="4"/>
  <c r="AY86" i="4"/>
  <c r="AW64" i="4"/>
  <c r="AX64" i="4"/>
  <c r="AW86" i="4"/>
  <c r="AY64" i="4"/>
  <c r="AX86" i="4"/>
  <c r="AY32" i="4"/>
  <c r="AW32" i="4"/>
  <c r="AX32" i="4"/>
  <c r="AX35" i="4"/>
  <c r="AY35" i="4"/>
  <c r="AW35" i="4"/>
  <c r="AW80" i="4"/>
  <c r="AX58" i="4"/>
  <c r="AX80" i="4"/>
  <c r="AY58" i="4"/>
  <c r="AY80" i="4"/>
  <c r="AW58" i="4"/>
  <c r="AW30" i="4"/>
  <c r="AX30" i="4"/>
  <c r="AY30" i="4"/>
  <c r="AX75" i="4"/>
  <c r="AX53" i="4"/>
  <c r="AW75" i="4"/>
  <c r="AW53" i="4"/>
  <c r="AY75" i="4"/>
  <c r="AW37" i="4"/>
  <c r="AX37" i="4"/>
  <c r="AY37" i="4"/>
  <c r="AY82" i="4"/>
  <c r="AW60" i="4"/>
  <c r="AW82" i="4"/>
  <c r="AX60" i="4"/>
  <c r="AX82" i="4"/>
  <c r="AY60" i="4"/>
  <c r="AY49" i="4"/>
  <c r="AW71" i="4"/>
  <c r="AX71" i="4"/>
  <c r="AX49" i="4"/>
  <c r="AW49" i="4"/>
  <c r="AW73" i="4"/>
  <c r="AY73" i="4"/>
  <c r="AX51" i="4"/>
  <c r="AX73" i="4"/>
  <c r="AW51" i="4"/>
  <c r="AX31" i="4"/>
  <c r="AY31" i="4"/>
  <c r="AW31" i="4"/>
  <c r="AY76" i="4"/>
  <c r="AX76" i="4"/>
  <c r="AW76" i="4"/>
  <c r="AX54" i="4"/>
  <c r="AW54" i="4"/>
  <c r="AW42" i="4"/>
  <c r="AX42" i="4"/>
  <c r="AY42" i="4"/>
  <c r="AW33" i="4"/>
  <c r="AX33" i="4"/>
  <c r="AY33" i="4"/>
  <c r="AX56" i="4"/>
  <c r="AY78" i="4"/>
  <c r="AW56" i="4"/>
  <c r="AX78" i="4"/>
  <c r="AW78" i="4"/>
  <c r="AY56" i="4"/>
  <c r="AY40" i="4"/>
  <c r="AW40" i="4"/>
  <c r="AX40" i="4"/>
  <c r="AX85" i="4"/>
  <c r="AY85" i="4"/>
  <c r="AW63" i="4"/>
  <c r="AW85" i="4"/>
  <c r="AX63" i="4"/>
  <c r="AW22" i="4"/>
  <c r="AX22" i="4"/>
  <c r="AY22" i="4"/>
  <c r="AW15" i="4"/>
  <c r="AX15" i="4"/>
  <c r="AY15" i="4"/>
  <c r="AX16" i="4"/>
  <c r="AY16" i="4"/>
  <c r="AW16" i="4"/>
  <c r="AY17" i="4"/>
  <c r="AW17" i="4"/>
  <c r="AX17" i="4"/>
  <c r="AW10" i="4"/>
  <c r="AX10" i="4"/>
  <c r="AY10" i="4"/>
  <c r="AW19" i="4"/>
  <c r="AX19" i="4"/>
  <c r="AY19" i="4"/>
  <c r="AX20" i="4"/>
  <c r="AY20" i="4"/>
  <c r="AW20" i="4"/>
  <c r="AY21" i="4"/>
  <c r="AW21" i="4"/>
  <c r="AX21" i="4"/>
  <c r="AW14" i="4"/>
  <c r="AX14" i="4"/>
  <c r="AY14" i="4"/>
  <c r="AW7" i="4"/>
  <c r="AX7" i="4"/>
  <c r="AY7" i="4"/>
  <c r="AX8" i="4"/>
  <c r="AY8" i="4"/>
  <c r="AW8" i="4"/>
  <c r="AY9" i="4"/>
  <c r="AW9" i="4"/>
  <c r="AX9" i="4"/>
  <c r="AW18" i="4"/>
  <c r="AX18" i="4"/>
  <c r="AY18" i="4"/>
  <c r="AW11" i="4"/>
  <c r="AX11" i="4"/>
  <c r="AY11" i="4"/>
  <c r="AX12" i="4"/>
  <c r="AY12" i="4"/>
  <c r="AW12" i="4"/>
  <c r="AY13" i="4"/>
  <c r="AW13" i="4"/>
  <c r="AX13" i="4"/>
  <c r="Q9" i="4"/>
  <c r="O9" i="4"/>
  <c r="Q10" i="4"/>
  <c r="O10" i="4"/>
  <c r="Q11" i="4"/>
  <c r="O11" i="4"/>
  <c r="O7" i="4"/>
  <c r="Q13" i="4"/>
  <c r="Q17" i="4"/>
  <c r="O8" i="4"/>
  <c r="Q14" i="4"/>
  <c r="R14" i="4" s="1"/>
  <c r="S14" i="4" s="1"/>
  <c r="Q18" i="4"/>
  <c r="R18" i="4" s="1"/>
  <c r="S18" i="4" s="1"/>
  <c r="O6" i="4"/>
  <c r="Q6" i="4"/>
  <c r="O5" i="4"/>
  <c r="Q5" i="4"/>
  <c r="P8" i="4"/>
  <c r="R8" i="4" s="1"/>
  <c r="S8" i="4" s="1"/>
  <c r="P7" i="4"/>
  <c r="R7" i="4" s="1"/>
  <c r="S7" i="4" s="1"/>
  <c r="P9" i="4"/>
  <c r="R9" i="4" s="1"/>
  <c r="S9" i="4" s="1"/>
  <c r="P10" i="4"/>
  <c r="R10" i="4" s="1"/>
  <c r="S10" i="4" s="1"/>
  <c r="P11" i="4"/>
  <c r="R11" i="4" s="1"/>
  <c r="S11" i="4" s="1"/>
  <c r="P12" i="4"/>
  <c r="T14" i="4"/>
  <c r="Q15" i="4"/>
  <c r="R15" i="4" s="1"/>
  <c r="S15" i="4" s="1"/>
  <c r="P16" i="4"/>
  <c r="O21" i="4"/>
  <c r="Q21" i="4"/>
  <c r="Q12" i="4"/>
  <c r="P13" i="4"/>
  <c r="R13" i="4" s="1"/>
  <c r="S13" i="4" s="1"/>
  <c r="Q16" i="4"/>
  <c r="P17" i="4"/>
  <c r="R17" i="4" s="1"/>
  <c r="S17" i="4" s="1"/>
  <c r="O20" i="4"/>
  <c r="Q20" i="4"/>
  <c r="O19" i="4"/>
  <c r="Q19" i="4"/>
  <c r="O22" i="4"/>
  <c r="AQ73" i="1"/>
  <c r="AQ74" i="1"/>
  <c r="AQ75" i="1"/>
  <c r="AQ76" i="1"/>
  <c r="AQ77" i="1"/>
  <c r="AQ78" i="1"/>
  <c r="AQ79" i="1"/>
  <c r="AQ80" i="1"/>
  <c r="AQ81" i="1"/>
  <c r="AQ82" i="1"/>
  <c r="AQ83" i="1"/>
  <c r="AQ84" i="1"/>
  <c r="AQ85" i="1"/>
  <c r="AQ86" i="1"/>
  <c r="AQ87" i="1"/>
  <c r="AQ88" i="1"/>
  <c r="AQ89" i="1"/>
  <c r="AQ72" i="1"/>
  <c r="AO73" i="1"/>
  <c r="AO74" i="1"/>
  <c r="AO75" i="1"/>
  <c r="AO76" i="1"/>
  <c r="AO77" i="1"/>
  <c r="AO78" i="1"/>
  <c r="AO79" i="1"/>
  <c r="AO80" i="1"/>
  <c r="AO81" i="1"/>
  <c r="AO82" i="1"/>
  <c r="AO83" i="1"/>
  <c r="AO84" i="1"/>
  <c r="AO85" i="1"/>
  <c r="AO86" i="1"/>
  <c r="AO87" i="1"/>
  <c r="AO88" i="1"/>
  <c r="AO89" i="1"/>
  <c r="AO72" i="1"/>
  <c r="AM73" i="1"/>
  <c r="AM74" i="1"/>
  <c r="AM75" i="1"/>
  <c r="AM76" i="1"/>
  <c r="AM77" i="1"/>
  <c r="AM78" i="1"/>
  <c r="AM79" i="1"/>
  <c r="AM80" i="1"/>
  <c r="AM81" i="1"/>
  <c r="AM82" i="1"/>
  <c r="AM83" i="1"/>
  <c r="AM84" i="1"/>
  <c r="AM85" i="1"/>
  <c r="AM86" i="1"/>
  <c r="AM87" i="1"/>
  <c r="AM88" i="1"/>
  <c r="AM89" i="1"/>
  <c r="AM72" i="1"/>
  <c r="AQ51" i="1"/>
  <c r="AQ52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67" i="1"/>
  <c r="AQ50" i="1"/>
  <c r="AO51" i="1"/>
  <c r="AO52" i="1"/>
  <c r="AO53" i="1"/>
  <c r="AO54" i="1"/>
  <c r="AO55" i="1"/>
  <c r="AO56" i="1"/>
  <c r="AO57" i="1"/>
  <c r="AO58" i="1"/>
  <c r="AO59" i="1"/>
  <c r="AO60" i="1"/>
  <c r="AO61" i="1"/>
  <c r="AO62" i="1"/>
  <c r="AO63" i="1"/>
  <c r="AO64" i="1"/>
  <c r="AO65" i="1"/>
  <c r="AO66" i="1"/>
  <c r="AO67" i="1"/>
  <c r="AO50" i="1"/>
  <c r="AM51" i="1"/>
  <c r="AM52" i="1"/>
  <c r="AM53" i="1"/>
  <c r="AM54" i="1"/>
  <c r="AM55" i="1"/>
  <c r="AM56" i="1"/>
  <c r="AM57" i="1"/>
  <c r="AM58" i="1"/>
  <c r="AM59" i="1"/>
  <c r="AM60" i="1"/>
  <c r="AM61" i="1"/>
  <c r="AM62" i="1"/>
  <c r="AM63" i="1"/>
  <c r="AM64" i="1"/>
  <c r="AM65" i="1"/>
  <c r="AM66" i="1"/>
  <c r="AM67" i="1"/>
  <c r="AM50" i="1"/>
  <c r="BF89" i="4" l="1"/>
  <c r="T18" i="4"/>
  <c r="R16" i="4"/>
  <c r="S16" i="4" s="1"/>
  <c r="R12" i="4"/>
  <c r="S12" i="4" s="1"/>
  <c r="T7" i="4"/>
  <c r="T11" i="4"/>
  <c r="T9" i="4"/>
  <c r="T10" i="4"/>
  <c r="P22" i="4"/>
  <c r="R22" i="4" s="1"/>
  <c r="S22" i="4" s="1"/>
  <c r="T17" i="4"/>
  <c r="T13" i="4"/>
  <c r="P20" i="4"/>
  <c r="R20" i="4" s="1"/>
  <c r="S20" i="4" s="1"/>
  <c r="T15" i="4"/>
  <c r="T8" i="4"/>
  <c r="T16" i="4"/>
  <c r="T12" i="4"/>
  <c r="P21" i="4"/>
  <c r="R21" i="4" s="1"/>
  <c r="S21" i="4" s="1"/>
  <c r="P5" i="4"/>
  <c r="R5" i="4" s="1"/>
  <c r="S5" i="4" s="1"/>
  <c r="P19" i="4"/>
  <c r="R19" i="4" s="1"/>
  <c r="S19" i="4" s="1"/>
  <c r="P6" i="4"/>
  <c r="R6" i="4" s="1"/>
  <c r="S6" i="4" s="1"/>
  <c r="BI96" i="1"/>
  <c r="BI98" i="1"/>
  <c r="BI99" i="1"/>
  <c r="BI101" i="1"/>
  <c r="BI102" i="1"/>
  <c r="BI103" i="1"/>
  <c r="BI104" i="1"/>
  <c r="BI105" i="1"/>
  <c r="BI106" i="1"/>
  <c r="BI107" i="1"/>
  <c r="BI108" i="1"/>
  <c r="BI109" i="1"/>
  <c r="BI94" i="1"/>
  <c r="BI74" i="1"/>
  <c r="BI75" i="1"/>
  <c r="BI76" i="1"/>
  <c r="BI77" i="1"/>
  <c r="BI78" i="1"/>
  <c r="BI79" i="1"/>
  <c r="BI80" i="1"/>
  <c r="BI81" i="1"/>
  <c r="BI82" i="1"/>
  <c r="BI83" i="1"/>
  <c r="BI84" i="1"/>
  <c r="BI85" i="1"/>
  <c r="BI86" i="1"/>
  <c r="BI87" i="1"/>
  <c r="BI88" i="1"/>
  <c r="BI89" i="1"/>
  <c r="BI72" i="1"/>
  <c r="BI52" i="1"/>
  <c r="BI53" i="1"/>
  <c r="BI54" i="1"/>
  <c r="BI55" i="1"/>
  <c r="BI56" i="1"/>
  <c r="BI57" i="1"/>
  <c r="BI58" i="1"/>
  <c r="BI59" i="1"/>
  <c r="BI60" i="1"/>
  <c r="BI61" i="1"/>
  <c r="BI62" i="1"/>
  <c r="BI63" i="1"/>
  <c r="BI64" i="1"/>
  <c r="BI65" i="1"/>
  <c r="BI66" i="1"/>
  <c r="BI67" i="1"/>
  <c r="BI50" i="1"/>
  <c r="BI30" i="1"/>
  <c r="BI31" i="1"/>
  <c r="BI32" i="1"/>
  <c r="BI33" i="1"/>
  <c r="BI34" i="1"/>
  <c r="BI35" i="1"/>
  <c r="BI36" i="1"/>
  <c r="BI37" i="1"/>
  <c r="BI38" i="1"/>
  <c r="BI39" i="1"/>
  <c r="BI40" i="1"/>
  <c r="BI41" i="1"/>
  <c r="BI42" i="1"/>
  <c r="BI43" i="1"/>
  <c r="BI44" i="1"/>
  <c r="BI45" i="1"/>
  <c r="BI28" i="1"/>
  <c r="BI7" i="1"/>
  <c r="BI8" i="1"/>
  <c r="BI9" i="1"/>
  <c r="BI10" i="1"/>
  <c r="BI11" i="1"/>
  <c r="BI12" i="1"/>
  <c r="BI13" i="1"/>
  <c r="BI14" i="1"/>
  <c r="BI15" i="1"/>
  <c r="BI16" i="1"/>
  <c r="BI17" i="1"/>
  <c r="BI18" i="1"/>
  <c r="BI19" i="1"/>
  <c r="BI20" i="1"/>
  <c r="BI21" i="1"/>
  <c r="BI22" i="1"/>
  <c r="BI23" i="1"/>
  <c r="BI6" i="1"/>
  <c r="T6" i="4" l="1"/>
  <c r="T21" i="4"/>
  <c r="T5" i="4"/>
  <c r="T19" i="4"/>
  <c r="T22" i="4"/>
  <c r="T20" i="4"/>
  <c r="AL50" i="1" l="1"/>
  <c r="BJ96" i="1"/>
  <c r="BJ98" i="1"/>
  <c r="BJ99" i="1"/>
  <c r="BJ101" i="1"/>
  <c r="BJ103" i="1"/>
  <c r="BJ104" i="1"/>
  <c r="BJ105" i="1"/>
  <c r="BJ74" i="1"/>
  <c r="BJ76" i="1"/>
  <c r="BJ77" i="1"/>
  <c r="BJ79" i="1"/>
  <c r="BJ80" i="1"/>
  <c r="BJ81" i="1"/>
  <c r="BJ82" i="1"/>
  <c r="BJ83" i="1"/>
  <c r="BJ84" i="1"/>
  <c r="BJ85" i="1"/>
  <c r="BJ86" i="1"/>
  <c r="BJ87" i="1"/>
  <c r="BJ72" i="1"/>
  <c r="BJ52" i="1"/>
  <c r="BJ54" i="1"/>
  <c r="BJ55" i="1"/>
  <c r="BJ57" i="1"/>
  <c r="BJ58" i="1"/>
  <c r="BJ59" i="1"/>
  <c r="BJ60" i="1"/>
  <c r="BJ61" i="1"/>
  <c r="BJ62" i="1"/>
  <c r="BJ63" i="1"/>
  <c r="BJ64" i="1"/>
  <c r="BJ65" i="1"/>
  <c r="BJ50" i="1"/>
  <c r="BJ30" i="1"/>
  <c r="BJ31" i="1"/>
  <c r="BJ32" i="1"/>
  <c r="BJ33" i="1"/>
  <c r="BJ34" i="1"/>
  <c r="BJ35" i="1"/>
  <c r="BJ36" i="1"/>
  <c r="BJ37" i="1"/>
  <c r="BJ38" i="1"/>
  <c r="BJ39" i="1"/>
  <c r="BJ40" i="1"/>
  <c r="BJ41" i="1"/>
  <c r="BJ42" i="1"/>
  <c r="BJ43" i="1"/>
  <c r="BJ28" i="1"/>
  <c r="BJ8" i="1"/>
  <c r="BJ9" i="1"/>
  <c r="BJ10" i="1"/>
  <c r="BJ11" i="1"/>
  <c r="BJ12" i="1"/>
  <c r="BJ13" i="1"/>
  <c r="BJ14" i="1"/>
  <c r="BJ15" i="1"/>
  <c r="BJ16" i="1"/>
  <c r="BJ17" i="1"/>
  <c r="BJ18" i="1"/>
  <c r="BJ19" i="1"/>
  <c r="BJ20" i="1"/>
  <c r="BJ21" i="1"/>
  <c r="BJ22" i="1"/>
  <c r="BJ23" i="1"/>
  <c r="AW110" i="1" l="1"/>
  <c r="AW111" i="1"/>
  <c r="AU60" i="1"/>
  <c r="AN102" i="1" l="1"/>
  <c r="AP102" i="1"/>
  <c r="AR102" i="1"/>
  <c r="AN103" i="1"/>
  <c r="AP103" i="1"/>
  <c r="AR103" i="1"/>
  <c r="AN104" i="1"/>
  <c r="AP104" i="1"/>
  <c r="AR104" i="1"/>
  <c r="AN105" i="1"/>
  <c r="AP105" i="1"/>
  <c r="AR105" i="1"/>
  <c r="AN106" i="1"/>
  <c r="AP106" i="1"/>
  <c r="AR106" i="1"/>
  <c r="AN107" i="1"/>
  <c r="AP107" i="1"/>
  <c r="AR107" i="1"/>
  <c r="AN108" i="1"/>
  <c r="AP108" i="1"/>
  <c r="AR108" i="1"/>
  <c r="AN109" i="1"/>
  <c r="AP109" i="1"/>
  <c r="AR109" i="1"/>
  <c r="AR101" i="1"/>
  <c r="AP101" i="1"/>
  <c r="AN101" i="1"/>
  <c r="AR94" i="1"/>
  <c r="AP94" i="1"/>
  <c r="AN94" i="1"/>
  <c r="AR99" i="1"/>
  <c r="AP99" i="1"/>
  <c r="AN99" i="1"/>
  <c r="AR98" i="1"/>
  <c r="AP98" i="1"/>
  <c r="AN98" i="1"/>
  <c r="AR96" i="1"/>
  <c r="AP96" i="1"/>
  <c r="AN96" i="1"/>
  <c r="AN75" i="1"/>
  <c r="AP75" i="1"/>
  <c r="AR75" i="1"/>
  <c r="AN76" i="1"/>
  <c r="AP76" i="1"/>
  <c r="AR76" i="1"/>
  <c r="AN77" i="1"/>
  <c r="AP77" i="1"/>
  <c r="AR77" i="1"/>
  <c r="AN78" i="1"/>
  <c r="AP78" i="1"/>
  <c r="AR78" i="1"/>
  <c r="AN79" i="1"/>
  <c r="AP79" i="1"/>
  <c r="AR79" i="1"/>
  <c r="AN80" i="1"/>
  <c r="AP80" i="1"/>
  <c r="AR80" i="1"/>
  <c r="AN81" i="1"/>
  <c r="AP81" i="1"/>
  <c r="AR81" i="1"/>
  <c r="AN82" i="1"/>
  <c r="AP82" i="1"/>
  <c r="AR82" i="1"/>
  <c r="AN83" i="1"/>
  <c r="AP83" i="1"/>
  <c r="AR83" i="1"/>
  <c r="AN84" i="1"/>
  <c r="AP84" i="1"/>
  <c r="AR84" i="1"/>
  <c r="AN85" i="1"/>
  <c r="AP85" i="1"/>
  <c r="AR85" i="1"/>
  <c r="AN86" i="1"/>
  <c r="AP86" i="1"/>
  <c r="AR86" i="1"/>
  <c r="AN87" i="1"/>
  <c r="AP87" i="1"/>
  <c r="AR87" i="1"/>
  <c r="AR74" i="1"/>
  <c r="AP74" i="1"/>
  <c r="AN74" i="1"/>
  <c r="AR72" i="1"/>
  <c r="AP72" i="1"/>
  <c r="AN72" i="1"/>
  <c r="AP53" i="1"/>
  <c r="AR53" i="1"/>
  <c r="AN54" i="1"/>
  <c r="AP54" i="1"/>
  <c r="AR54" i="1"/>
  <c r="AN55" i="1"/>
  <c r="AP55" i="1"/>
  <c r="AR55" i="1"/>
  <c r="AP56" i="1"/>
  <c r="AN57" i="1"/>
  <c r="AP57" i="1"/>
  <c r="AR57" i="1"/>
  <c r="AN58" i="1"/>
  <c r="AP58" i="1"/>
  <c r="AR58" i="1"/>
  <c r="AN59" i="1"/>
  <c r="AP59" i="1"/>
  <c r="AR59" i="1"/>
  <c r="AN60" i="1"/>
  <c r="AP60" i="1"/>
  <c r="AR60" i="1"/>
  <c r="AN61" i="1"/>
  <c r="AP61" i="1"/>
  <c r="AR61" i="1"/>
  <c r="AN62" i="1"/>
  <c r="AP62" i="1"/>
  <c r="AR62" i="1"/>
  <c r="AN63" i="1"/>
  <c r="AP63" i="1"/>
  <c r="AR63" i="1"/>
  <c r="AN64" i="1"/>
  <c r="AP64" i="1"/>
  <c r="AR64" i="1"/>
  <c r="AN65" i="1"/>
  <c r="AP65" i="1"/>
  <c r="AR65" i="1"/>
  <c r="AR52" i="1"/>
  <c r="AP52" i="1"/>
  <c r="AN52" i="1"/>
  <c r="AR50" i="1"/>
  <c r="AP50" i="1"/>
  <c r="AN50" i="1"/>
  <c r="AN31" i="1"/>
  <c r="AP31" i="1"/>
  <c r="AR31" i="1"/>
  <c r="AN32" i="1"/>
  <c r="AP32" i="1"/>
  <c r="AR32" i="1"/>
  <c r="AN33" i="1"/>
  <c r="AP33" i="1"/>
  <c r="AR33" i="1"/>
  <c r="AN34" i="1"/>
  <c r="AP34" i="1"/>
  <c r="AN35" i="1"/>
  <c r="AP35" i="1"/>
  <c r="AR35" i="1"/>
  <c r="AN36" i="1"/>
  <c r="AP36" i="1"/>
  <c r="AR36" i="1"/>
  <c r="AN37" i="1"/>
  <c r="AP37" i="1"/>
  <c r="AR37" i="1"/>
  <c r="AN38" i="1"/>
  <c r="AP38" i="1"/>
  <c r="AR38" i="1"/>
  <c r="AN39" i="1"/>
  <c r="AP39" i="1"/>
  <c r="AR39" i="1"/>
  <c r="AN40" i="1"/>
  <c r="AP40" i="1"/>
  <c r="AR40" i="1"/>
  <c r="AN41" i="1"/>
  <c r="AP41" i="1"/>
  <c r="AR41" i="1"/>
  <c r="AN42" i="1"/>
  <c r="AP42" i="1"/>
  <c r="AR42" i="1"/>
  <c r="AN43" i="1"/>
  <c r="AP43" i="1"/>
  <c r="AR43" i="1"/>
  <c r="AN44" i="1"/>
  <c r="AP44" i="1"/>
  <c r="AP45" i="1"/>
  <c r="AR30" i="1"/>
  <c r="AP30" i="1"/>
  <c r="AN30" i="1"/>
  <c r="AR28" i="1"/>
  <c r="AP28" i="1"/>
  <c r="AN28" i="1"/>
  <c r="AN8" i="1"/>
  <c r="AP8" i="1"/>
  <c r="AR8" i="1"/>
  <c r="AN9" i="1"/>
  <c r="AP9" i="1"/>
  <c r="AR9" i="1"/>
  <c r="AN10" i="1"/>
  <c r="AP10" i="1"/>
  <c r="AR10" i="1"/>
  <c r="AN11" i="1"/>
  <c r="AP11" i="1"/>
  <c r="AR11" i="1"/>
  <c r="AN12" i="1"/>
  <c r="AP12" i="1"/>
  <c r="AR12" i="1"/>
  <c r="AN13" i="1"/>
  <c r="AP13" i="1"/>
  <c r="AR13" i="1"/>
  <c r="AN14" i="1"/>
  <c r="AP14" i="1"/>
  <c r="AR14" i="1"/>
  <c r="AN15" i="1"/>
  <c r="AP15" i="1"/>
  <c r="AR15" i="1"/>
  <c r="AN16" i="1"/>
  <c r="AP16" i="1"/>
  <c r="AR16" i="1"/>
  <c r="AN17" i="1"/>
  <c r="AP17" i="1"/>
  <c r="AR17" i="1"/>
  <c r="AN18" i="1"/>
  <c r="AP18" i="1"/>
  <c r="AR18" i="1"/>
  <c r="AN19" i="1"/>
  <c r="AP19" i="1"/>
  <c r="AR19" i="1"/>
  <c r="AN20" i="1"/>
  <c r="AP20" i="1"/>
  <c r="AR20" i="1"/>
  <c r="AN21" i="1"/>
  <c r="AP21" i="1"/>
  <c r="AR21" i="1"/>
  <c r="AN22" i="1"/>
  <c r="AP22" i="1"/>
  <c r="AN23" i="1"/>
  <c r="AP23" i="1"/>
  <c r="AR6" i="1"/>
  <c r="AP6" i="1"/>
  <c r="AN6" i="1"/>
  <c r="AU105" i="1"/>
  <c r="AT105" i="1"/>
  <c r="AS105" i="1"/>
  <c r="AU104" i="1"/>
  <c r="AT104" i="1"/>
  <c r="AS104" i="1"/>
  <c r="AU103" i="1"/>
  <c r="AT103" i="1"/>
  <c r="AS103" i="1"/>
  <c r="AU101" i="1"/>
  <c r="AT101" i="1"/>
  <c r="AS101" i="1"/>
  <c r="AT99" i="1"/>
  <c r="AS99" i="1"/>
  <c r="AU98" i="1"/>
  <c r="AT98" i="1"/>
  <c r="AS98" i="1"/>
  <c r="AU96" i="1"/>
  <c r="AT96" i="1"/>
  <c r="AS96" i="1"/>
  <c r="AS74" i="1"/>
  <c r="AT74" i="1"/>
  <c r="AU74" i="1"/>
  <c r="AS76" i="1"/>
  <c r="AT76" i="1"/>
  <c r="AU76" i="1"/>
  <c r="AS77" i="1"/>
  <c r="AT77" i="1"/>
  <c r="AU77" i="1"/>
  <c r="AS79" i="1"/>
  <c r="AT79" i="1"/>
  <c r="AU79" i="1"/>
  <c r="AS80" i="1"/>
  <c r="AT80" i="1"/>
  <c r="AU80" i="1"/>
  <c r="AS81" i="1"/>
  <c r="AT81" i="1"/>
  <c r="AU81" i="1"/>
  <c r="AS82" i="1"/>
  <c r="AT82" i="1"/>
  <c r="AU82" i="1"/>
  <c r="AS83" i="1"/>
  <c r="AT83" i="1"/>
  <c r="AU83" i="1"/>
  <c r="AS84" i="1"/>
  <c r="AT84" i="1"/>
  <c r="AU84" i="1"/>
  <c r="AS85" i="1"/>
  <c r="AT85" i="1"/>
  <c r="AU85" i="1"/>
  <c r="AS86" i="1"/>
  <c r="AT86" i="1"/>
  <c r="AU86" i="1"/>
  <c r="AS87" i="1"/>
  <c r="AT87" i="1"/>
  <c r="AU87" i="1"/>
  <c r="AU72" i="1"/>
  <c r="AT72" i="1"/>
  <c r="AS72" i="1"/>
  <c r="AS52" i="1"/>
  <c r="AT52" i="1"/>
  <c r="AS54" i="1"/>
  <c r="AT54" i="1"/>
  <c r="AS55" i="1"/>
  <c r="AT55" i="1"/>
  <c r="AS57" i="1"/>
  <c r="AT57" i="1"/>
  <c r="AU57" i="1"/>
  <c r="AS58" i="1"/>
  <c r="AT58" i="1"/>
  <c r="AU58" i="1"/>
  <c r="AS59" i="1"/>
  <c r="AT59" i="1"/>
  <c r="AU59" i="1"/>
  <c r="AS60" i="1"/>
  <c r="AT60" i="1"/>
  <c r="AS61" i="1"/>
  <c r="AT61" i="1"/>
  <c r="AU61" i="1"/>
  <c r="AS62" i="1"/>
  <c r="AT62" i="1"/>
  <c r="AU62" i="1"/>
  <c r="AS63" i="1"/>
  <c r="AT63" i="1"/>
  <c r="AU63" i="1"/>
  <c r="AS64" i="1"/>
  <c r="AT64" i="1"/>
  <c r="AS65" i="1"/>
  <c r="AT65" i="1"/>
  <c r="AU65" i="1"/>
  <c r="AU50" i="1"/>
  <c r="AT50" i="1"/>
  <c r="AS50" i="1"/>
  <c r="AS30" i="1"/>
  <c r="AT30" i="1"/>
  <c r="AU30" i="1"/>
  <c r="AT31" i="1"/>
  <c r="AS32" i="1"/>
  <c r="AT32" i="1"/>
  <c r="AU32" i="1"/>
  <c r="AS33" i="1"/>
  <c r="AT33" i="1"/>
  <c r="AU33" i="1"/>
  <c r="AS35" i="1"/>
  <c r="AT35" i="1"/>
  <c r="AU35" i="1"/>
  <c r="AS36" i="1"/>
  <c r="AT36" i="1"/>
  <c r="AU36" i="1"/>
  <c r="AS37" i="1"/>
  <c r="AT37" i="1"/>
  <c r="AU37" i="1"/>
  <c r="AS38" i="1"/>
  <c r="AT38" i="1"/>
  <c r="AU38" i="1"/>
  <c r="AS39" i="1"/>
  <c r="AT39" i="1"/>
  <c r="AU39" i="1"/>
  <c r="AS40" i="1"/>
  <c r="AT40" i="1"/>
  <c r="AU40" i="1"/>
  <c r="AS41" i="1"/>
  <c r="AT41" i="1"/>
  <c r="AU41" i="1"/>
  <c r="AS42" i="1"/>
  <c r="AT42" i="1"/>
  <c r="AU42" i="1"/>
  <c r="AS43" i="1"/>
  <c r="AT43" i="1"/>
  <c r="AU43" i="1"/>
  <c r="AU28" i="1"/>
  <c r="AT28" i="1"/>
  <c r="AS28" i="1"/>
  <c r="AS8" i="1"/>
  <c r="AT8" i="1"/>
  <c r="AU8" i="1"/>
  <c r="AS10" i="1"/>
  <c r="AT10" i="1"/>
  <c r="AU10" i="1"/>
  <c r="AS11" i="1"/>
  <c r="AT11" i="1"/>
  <c r="AU11" i="1"/>
  <c r="AT12" i="1"/>
  <c r="AS13" i="1"/>
  <c r="AT13" i="1"/>
  <c r="AU13" i="1"/>
  <c r="AS14" i="1"/>
  <c r="AT14" i="1"/>
  <c r="AU14" i="1"/>
  <c r="AS15" i="1"/>
  <c r="AT15" i="1"/>
  <c r="AU15" i="1"/>
  <c r="AS16" i="1"/>
  <c r="AT16" i="1"/>
  <c r="AU16" i="1"/>
  <c r="AS17" i="1"/>
  <c r="AT17" i="1"/>
  <c r="AU17" i="1"/>
  <c r="AS18" i="1"/>
  <c r="AT18" i="1"/>
  <c r="AU18" i="1"/>
  <c r="AS19" i="1"/>
  <c r="AT19" i="1"/>
  <c r="AU19" i="1"/>
  <c r="AS20" i="1"/>
  <c r="AT20" i="1"/>
  <c r="AU20" i="1"/>
  <c r="AS21" i="1"/>
  <c r="AT21" i="1"/>
  <c r="AU21" i="1"/>
  <c r="AU6" i="1"/>
  <c r="AT6" i="1"/>
  <c r="AS6" i="1"/>
  <c r="AK74" i="1" l="1"/>
  <c r="AL74" i="1"/>
  <c r="AK75" i="1"/>
  <c r="AK76" i="1"/>
  <c r="AL76" i="1"/>
  <c r="AK77" i="1"/>
  <c r="AL77" i="1"/>
  <c r="AK78" i="1"/>
  <c r="AK79" i="1"/>
  <c r="AL79" i="1"/>
  <c r="AK80" i="1"/>
  <c r="AL80" i="1"/>
  <c r="AK81" i="1"/>
  <c r="AL81" i="1"/>
  <c r="AK82" i="1"/>
  <c r="AL82" i="1"/>
  <c r="AK83" i="1"/>
  <c r="AL83" i="1"/>
  <c r="AK84" i="1"/>
  <c r="AL84" i="1"/>
  <c r="AK85" i="1"/>
  <c r="AL85" i="1"/>
  <c r="AK86" i="1"/>
  <c r="AL86" i="1"/>
  <c r="AK87" i="1"/>
  <c r="AL87" i="1"/>
  <c r="AK88" i="1"/>
  <c r="AK89" i="1"/>
  <c r="AL72" i="1"/>
  <c r="AL91" i="1" s="1"/>
  <c r="AK72" i="1"/>
  <c r="AJ51" i="1"/>
  <c r="AJ52" i="1"/>
  <c r="AK52" i="1"/>
  <c r="AL52" i="1"/>
  <c r="AJ53" i="1"/>
  <c r="AK53" i="1"/>
  <c r="AJ54" i="1"/>
  <c r="AK54" i="1"/>
  <c r="AL54" i="1"/>
  <c r="AJ55" i="1"/>
  <c r="AK55" i="1"/>
  <c r="AL55" i="1"/>
  <c r="AJ56" i="1"/>
  <c r="AK56" i="1"/>
  <c r="AJ57" i="1"/>
  <c r="AK57" i="1"/>
  <c r="AL57" i="1"/>
  <c r="AJ58" i="1"/>
  <c r="AK58" i="1"/>
  <c r="AL58" i="1"/>
  <c r="AJ59" i="1"/>
  <c r="AK59" i="1"/>
  <c r="AL59" i="1"/>
  <c r="AJ60" i="1"/>
  <c r="AK60" i="1"/>
  <c r="AL60" i="1"/>
  <c r="AJ61" i="1"/>
  <c r="AK61" i="1"/>
  <c r="AL61" i="1"/>
  <c r="AJ62" i="1"/>
  <c r="AK62" i="1"/>
  <c r="AL62" i="1"/>
  <c r="AJ63" i="1"/>
  <c r="AK63" i="1"/>
  <c r="AL63" i="1"/>
  <c r="AJ64" i="1"/>
  <c r="AK64" i="1"/>
  <c r="AL64" i="1"/>
  <c r="AJ65" i="1"/>
  <c r="AK65" i="1"/>
  <c r="AL65" i="1"/>
  <c r="AJ66" i="1"/>
  <c r="AK66" i="1"/>
  <c r="AJ67" i="1"/>
  <c r="AK67" i="1"/>
  <c r="AJ50" i="1"/>
  <c r="AK50" i="1"/>
  <c r="AK30" i="1"/>
  <c r="AL30" i="1"/>
  <c r="AK31" i="1"/>
  <c r="AL31" i="1"/>
  <c r="AK32" i="1"/>
  <c r="AL32" i="1"/>
  <c r="AK33" i="1"/>
  <c r="AL33" i="1"/>
  <c r="AK34" i="1"/>
  <c r="AL34" i="1"/>
  <c r="AK35" i="1"/>
  <c r="AL35" i="1"/>
  <c r="AK36" i="1"/>
  <c r="AL36" i="1"/>
  <c r="AK37" i="1"/>
  <c r="AL37" i="1"/>
  <c r="AK38" i="1"/>
  <c r="AL38" i="1"/>
  <c r="AK39" i="1"/>
  <c r="AL39" i="1"/>
  <c r="AK40" i="1"/>
  <c r="AL40" i="1"/>
  <c r="AK41" i="1"/>
  <c r="AL41" i="1"/>
  <c r="AK42" i="1"/>
  <c r="AL42" i="1"/>
  <c r="AK43" i="1"/>
  <c r="AL43" i="1"/>
  <c r="AK44" i="1"/>
  <c r="AK45" i="1"/>
  <c r="AL28" i="1"/>
  <c r="AK28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6" i="1"/>
  <c r="AK7" i="1"/>
  <c r="AK8" i="1"/>
  <c r="AL8" i="1"/>
  <c r="AK9" i="1"/>
  <c r="AL9" i="1"/>
  <c r="AK10" i="1"/>
  <c r="AL10" i="1"/>
  <c r="AK11" i="1"/>
  <c r="AL11" i="1"/>
  <c r="AK12" i="1"/>
  <c r="AL12" i="1"/>
  <c r="AK13" i="1"/>
  <c r="AL13" i="1"/>
  <c r="AK14" i="1"/>
  <c r="AL14" i="1"/>
  <c r="AK15" i="1"/>
  <c r="AL15" i="1"/>
  <c r="AK16" i="1"/>
  <c r="AL16" i="1"/>
  <c r="AK17" i="1"/>
  <c r="AL17" i="1"/>
  <c r="AK18" i="1"/>
  <c r="AL18" i="1"/>
  <c r="AK19" i="1"/>
  <c r="AL19" i="1"/>
  <c r="AK20" i="1"/>
  <c r="AL20" i="1"/>
  <c r="AK21" i="1"/>
  <c r="AL21" i="1"/>
  <c r="AK22" i="1"/>
  <c r="AL22" i="1"/>
  <c r="AK23" i="1"/>
  <c r="AL23" i="1"/>
  <c r="AL6" i="1"/>
  <c r="AK6" i="1"/>
  <c r="AW96" i="1"/>
  <c r="AW98" i="1"/>
  <c r="AW99" i="1"/>
  <c r="AW101" i="1"/>
  <c r="AW102" i="1"/>
  <c r="AW103" i="1"/>
  <c r="AW104" i="1"/>
  <c r="AW105" i="1"/>
  <c r="AW106" i="1"/>
  <c r="AW107" i="1"/>
  <c r="AW108" i="1"/>
  <c r="AW109" i="1"/>
  <c r="AW94" i="1"/>
  <c r="AW74" i="1"/>
  <c r="AW75" i="1"/>
  <c r="AW76" i="1"/>
  <c r="AW77" i="1"/>
  <c r="AW78" i="1"/>
  <c r="AW79" i="1"/>
  <c r="AW80" i="1"/>
  <c r="AW81" i="1"/>
  <c r="AW82" i="1"/>
  <c r="AW83" i="1"/>
  <c r="AW84" i="1"/>
  <c r="AW85" i="1"/>
  <c r="AW86" i="1"/>
  <c r="AW87" i="1"/>
  <c r="AW88" i="1"/>
  <c r="AW89" i="1"/>
  <c r="AW72" i="1"/>
  <c r="AW53" i="1"/>
  <c r="AW57" i="1"/>
  <c r="AW58" i="1"/>
  <c r="AW59" i="1"/>
  <c r="AW60" i="1"/>
  <c r="AW61" i="1"/>
  <c r="AW62" i="1"/>
  <c r="AW63" i="1"/>
  <c r="AW64" i="1"/>
  <c r="AW65" i="1"/>
  <c r="AW66" i="1"/>
  <c r="AW67" i="1"/>
  <c r="AW50" i="1"/>
  <c r="AW30" i="1"/>
  <c r="AW31" i="1"/>
  <c r="AW32" i="1"/>
  <c r="AW33" i="1"/>
  <c r="AW34" i="1"/>
  <c r="AW35" i="1"/>
  <c r="AW36" i="1"/>
  <c r="AW37" i="1"/>
  <c r="AW38" i="1"/>
  <c r="AW39" i="1"/>
  <c r="AW40" i="1"/>
  <c r="AW41" i="1"/>
  <c r="AW42" i="1"/>
  <c r="AW43" i="1"/>
  <c r="AW44" i="1"/>
  <c r="AW45" i="1"/>
  <c r="AW28" i="1"/>
  <c r="AW8" i="1"/>
  <c r="AW9" i="1"/>
  <c r="AW10" i="1"/>
  <c r="AW11" i="1"/>
  <c r="AW12" i="1"/>
  <c r="AW13" i="1"/>
  <c r="AW14" i="1"/>
  <c r="AW15" i="1"/>
  <c r="AW16" i="1"/>
  <c r="AW17" i="1"/>
  <c r="AW18" i="1"/>
  <c r="AW19" i="1"/>
  <c r="AW20" i="1"/>
  <c r="AW21" i="1"/>
  <c r="AW22" i="1"/>
  <c r="AW23" i="1"/>
  <c r="AW6" i="1"/>
  <c r="D23" i="2"/>
  <c r="AL47" i="1" l="1"/>
  <c r="AL69" i="1"/>
  <c r="AL25" i="1"/>
  <c r="AY96" i="1"/>
  <c r="AY97" i="1"/>
  <c r="AY98" i="1"/>
  <c r="AY99" i="1"/>
  <c r="AY100" i="1"/>
  <c r="AY101" i="1"/>
  <c r="AY102" i="1"/>
  <c r="AY103" i="1"/>
  <c r="AY104" i="1"/>
  <c r="AY105" i="1"/>
  <c r="AY106" i="1"/>
  <c r="AY107" i="1"/>
  <c r="AY108" i="1"/>
  <c r="AY109" i="1"/>
  <c r="AY74" i="1"/>
  <c r="AY75" i="1"/>
  <c r="AY76" i="1"/>
  <c r="AY77" i="1"/>
  <c r="AY78" i="1"/>
  <c r="AY79" i="1"/>
  <c r="AY80" i="1"/>
  <c r="AY81" i="1"/>
  <c r="AY82" i="1"/>
  <c r="AY83" i="1"/>
  <c r="AY84" i="1"/>
  <c r="AY85" i="1"/>
  <c r="AY86" i="1"/>
  <c r="AY87" i="1"/>
  <c r="AY72" i="1"/>
  <c r="AY52" i="1"/>
  <c r="AY53" i="1"/>
  <c r="AY54" i="1"/>
  <c r="AY55" i="1"/>
  <c r="AY56" i="1"/>
  <c r="AY57" i="1"/>
  <c r="AY58" i="1"/>
  <c r="AY59" i="1"/>
  <c r="AY60" i="1"/>
  <c r="AY61" i="1"/>
  <c r="AY62" i="1"/>
  <c r="AY63" i="1"/>
  <c r="AY64" i="1"/>
  <c r="AY65" i="1"/>
  <c r="AY66" i="1"/>
  <c r="AY67" i="1"/>
  <c r="AY50" i="1"/>
  <c r="AY30" i="1"/>
  <c r="AY31" i="1"/>
  <c r="AY32" i="1"/>
  <c r="AY33" i="1"/>
  <c r="AY34" i="1"/>
  <c r="AY35" i="1"/>
  <c r="AY36" i="1"/>
  <c r="AY37" i="1"/>
  <c r="AY38" i="1"/>
  <c r="AY39" i="1"/>
  <c r="AY40" i="1"/>
  <c r="AY41" i="1"/>
  <c r="AY42" i="1"/>
  <c r="AY43" i="1"/>
  <c r="AY44" i="1"/>
  <c r="AY45" i="1"/>
  <c r="AY28" i="1"/>
  <c r="AY8" i="1"/>
  <c r="AY9" i="1"/>
  <c r="AY10" i="1"/>
  <c r="AY11" i="1"/>
  <c r="AY12" i="1"/>
  <c r="AY13" i="1"/>
  <c r="AY14" i="1"/>
  <c r="AY15" i="1"/>
  <c r="AY16" i="1"/>
  <c r="AY17" i="1"/>
  <c r="AY18" i="1"/>
  <c r="AY19" i="1"/>
  <c r="AY20" i="1"/>
  <c r="AY21" i="1"/>
  <c r="AY22" i="1"/>
  <c r="AY23" i="1"/>
  <c r="AY6" i="1"/>
  <c r="AX96" i="1"/>
  <c r="AX97" i="1"/>
  <c r="AX98" i="1"/>
  <c r="AX99" i="1"/>
  <c r="AX100" i="1"/>
  <c r="AX101" i="1"/>
  <c r="AX102" i="1"/>
  <c r="AX103" i="1"/>
  <c r="AX104" i="1"/>
  <c r="AX105" i="1"/>
  <c r="AX106" i="1"/>
  <c r="AX107" i="1"/>
  <c r="AX108" i="1"/>
  <c r="AX109" i="1"/>
  <c r="AX110" i="1"/>
  <c r="AX111" i="1"/>
  <c r="AX94" i="1"/>
  <c r="AX74" i="1"/>
  <c r="AX75" i="1"/>
  <c r="AX76" i="1"/>
  <c r="AX77" i="1"/>
  <c r="AX78" i="1"/>
  <c r="AX79" i="1"/>
  <c r="AX80" i="1"/>
  <c r="AX81" i="1"/>
  <c r="AX82" i="1"/>
  <c r="AX83" i="1"/>
  <c r="AX84" i="1"/>
  <c r="AX85" i="1"/>
  <c r="AX86" i="1"/>
  <c r="AX87" i="1"/>
  <c r="AX88" i="1"/>
  <c r="AX89" i="1"/>
  <c r="AX72" i="1"/>
  <c r="AX52" i="1"/>
  <c r="AX53" i="1"/>
  <c r="AX54" i="1"/>
  <c r="AX55" i="1"/>
  <c r="AX56" i="1"/>
  <c r="AX57" i="1"/>
  <c r="AX58" i="1"/>
  <c r="AX59" i="1"/>
  <c r="AX60" i="1"/>
  <c r="AX61" i="1"/>
  <c r="AX62" i="1"/>
  <c r="AX63" i="1"/>
  <c r="AX64" i="1"/>
  <c r="AX65" i="1"/>
  <c r="AX66" i="1"/>
  <c r="AX67" i="1"/>
  <c r="AX50" i="1"/>
  <c r="AX30" i="1"/>
  <c r="AX31" i="1"/>
  <c r="AX32" i="1"/>
  <c r="AX33" i="1"/>
  <c r="AX34" i="1"/>
  <c r="AX35" i="1"/>
  <c r="AX36" i="1"/>
  <c r="AX37" i="1"/>
  <c r="AX38" i="1"/>
  <c r="AX39" i="1"/>
  <c r="AX40" i="1"/>
  <c r="AX41" i="1"/>
  <c r="AX42" i="1"/>
  <c r="AX43" i="1"/>
  <c r="AX44" i="1"/>
  <c r="AX45" i="1"/>
  <c r="AX28" i="1"/>
  <c r="AX7" i="1"/>
  <c r="AX8" i="1"/>
  <c r="AX9" i="1"/>
  <c r="AX10" i="1"/>
  <c r="AX11" i="1"/>
  <c r="AX12" i="1"/>
  <c r="AX13" i="1"/>
  <c r="AX14" i="1"/>
  <c r="AX15" i="1"/>
  <c r="AX16" i="1"/>
  <c r="AX17" i="1"/>
  <c r="AX18" i="1"/>
  <c r="AX19" i="1"/>
  <c r="AX20" i="1"/>
  <c r="AX21" i="1"/>
  <c r="AX22" i="1"/>
  <c r="AX23" i="1"/>
  <c r="AX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6" i="1"/>
  <c r="L7" i="1" l="1"/>
  <c r="N7" i="1" s="1"/>
  <c r="L8" i="1"/>
  <c r="N8" i="1" s="1"/>
  <c r="L9" i="1"/>
  <c r="N9" i="1" s="1"/>
  <c r="L10" i="1"/>
  <c r="N10" i="1" s="1"/>
  <c r="L11" i="1"/>
  <c r="N11" i="1" s="1"/>
  <c r="L12" i="1"/>
  <c r="N12" i="1" s="1"/>
  <c r="L13" i="1"/>
  <c r="N13" i="1" s="1"/>
  <c r="L14" i="1"/>
  <c r="N14" i="1" s="1"/>
  <c r="L15" i="1"/>
  <c r="N15" i="1" s="1"/>
  <c r="L16" i="1"/>
  <c r="N16" i="1" s="1"/>
  <c r="L17" i="1"/>
  <c r="N17" i="1" s="1"/>
  <c r="L18" i="1"/>
  <c r="N18" i="1" s="1"/>
  <c r="L19" i="1"/>
  <c r="N19" i="1" s="1"/>
  <c r="L20" i="1"/>
  <c r="N20" i="1" s="1"/>
  <c r="L21" i="1"/>
  <c r="N21" i="1" s="1"/>
  <c r="L22" i="1"/>
  <c r="N22" i="1" s="1"/>
  <c r="L23" i="1"/>
  <c r="N23" i="1" s="1"/>
  <c r="L6" i="1"/>
  <c r="N6" i="1" s="1"/>
  <c r="BA7" i="1" l="1"/>
  <c r="BB7" i="1"/>
  <c r="P7" i="1"/>
  <c r="R7" i="1" s="1"/>
  <c r="S7" i="1" s="1"/>
  <c r="BC7" i="1"/>
  <c r="BA15" i="1"/>
  <c r="BB15" i="1"/>
  <c r="P15" i="1"/>
  <c r="R15" i="1" s="1"/>
  <c r="S15" i="1" s="1"/>
  <c r="BC15" i="1"/>
  <c r="BA23" i="1"/>
  <c r="BB23" i="1"/>
  <c r="P23" i="1"/>
  <c r="R23" i="1" s="1"/>
  <c r="S23" i="1" s="1"/>
  <c r="BC23" i="1"/>
  <c r="BA12" i="1"/>
  <c r="BC12" i="1"/>
  <c r="P12" i="1"/>
  <c r="R12" i="1" s="1"/>
  <c r="S12" i="1" s="1"/>
  <c r="BB12" i="1"/>
  <c r="BA20" i="1"/>
  <c r="BC20" i="1"/>
  <c r="P20" i="1"/>
  <c r="R20" i="1" s="1"/>
  <c r="S20" i="1" s="1"/>
  <c r="BB20" i="1"/>
  <c r="BA13" i="1"/>
  <c r="BB13" i="1"/>
  <c r="BC13" i="1"/>
  <c r="P13" i="1"/>
  <c r="R13" i="1" s="1"/>
  <c r="S13" i="1" s="1"/>
  <c r="BA9" i="1"/>
  <c r="BB9" i="1"/>
  <c r="BC9" i="1"/>
  <c r="P9" i="1"/>
  <c r="R9" i="1" s="1"/>
  <c r="S9" i="1" s="1"/>
  <c r="BA10" i="1"/>
  <c r="BC10" i="1"/>
  <c r="P10" i="1"/>
  <c r="R10" i="1" s="1"/>
  <c r="S10" i="1" s="1"/>
  <c r="BB10" i="1"/>
  <c r="BA18" i="1"/>
  <c r="BC18" i="1"/>
  <c r="P18" i="1"/>
  <c r="R18" i="1" s="1"/>
  <c r="S18" i="1" s="1"/>
  <c r="BB18" i="1"/>
  <c r="BA11" i="1"/>
  <c r="BB11" i="1"/>
  <c r="P11" i="1"/>
  <c r="R11" i="1" s="1"/>
  <c r="S11" i="1" s="1"/>
  <c r="BC11" i="1"/>
  <c r="BA19" i="1"/>
  <c r="BB19" i="1"/>
  <c r="P19" i="1"/>
  <c r="R19" i="1" s="1"/>
  <c r="S19" i="1" s="1"/>
  <c r="BC19" i="1"/>
  <c r="BA8" i="1"/>
  <c r="BC8" i="1"/>
  <c r="P8" i="1"/>
  <c r="R8" i="1" s="1"/>
  <c r="S8" i="1" s="1"/>
  <c r="BB8" i="1"/>
  <c r="BA16" i="1"/>
  <c r="BC16" i="1"/>
  <c r="P16" i="1"/>
  <c r="R16" i="1" s="1"/>
  <c r="S16" i="1" s="1"/>
  <c r="BB16" i="1"/>
  <c r="BB6" i="1"/>
  <c r="BA6" i="1"/>
  <c r="R6" i="1"/>
  <c r="BC6" i="1"/>
  <c r="BA17" i="1"/>
  <c r="BB17" i="1"/>
  <c r="BC17" i="1"/>
  <c r="P17" i="1"/>
  <c r="R17" i="1" s="1"/>
  <c r="S17" i="1" s="1"/>
  <c r="BA21" i="1"/>
  <c r="BB21" i="1"/>
  <c r="BC21" i="1"/>
  <c r="P21" i="1"/>
  <c r="R21" i="1" s="1"/>
  <c r="S21" i="1" s="1"/>
  <c r="BA14" i="1"/>
  <c r="BC14" i="1"/>
  <c r="P14" i="1"/>
  <c r="R14" i="1" s="1"/>
  <c r="S14" i="1" s="1"/>
  <c r="BB14" i="1"/>
  <c r="BA22" i="1"/>
  <c r="BC22" i="1"/>
  <c r="BB22" i="1"/>
  <c r="P22" i="1"/>
  <c r="R22" i="1" s="1"/>
  <c r="S22" i="1" s="1"/>
  <c r="BE13" i="1" l="1"/>
  <c r="T13" i="1"/>
  <c r="BE14" i="1"/>
  <c r="T14" i="1"/>
  <c r="BE8" i="1"/>
  <c r="T8" i="1"/>
  <c r="BE19" i="1"/>
  <c r="T19" i="1"/>
  <c r="BE11" i="1"/>
  <c r="T11" i="1"/>
  <c r="BE9" i="1"/>
  <c r="T9" i="1"/>
  <c r="BE10" i="1"/>
  <c r="T10" i="1"/>
  <c r="BE20" i="1"/>
  <c r="T20" i="1"/>
  <c r="BE12" i="1"/>
  <c r="T12" i="1"/>
  <c r="BE15" i="1"/>
  <c r="T15" i="1"/>
  <c r="BE7" i="1"/>
  <c r="T7" i="1"/>
  <c r="BE18" i="1"/>
  <c r="T18" i="1"/>
  <c r="BE23" i="1"/>
  <c r="T23" i="1"/>
  <c r="BE16" i="1"/>
  <c r="BL104" i="1" s="1"/>
  <c r="T16" i="1"/>
  <c r="BE22" i="1"/>
  <c r="T22" i="1"/>
  <c r="BE21" i="1"/>
  <c r="T21" i="1"/>
  <c r="BE17" i="1"/>
  <c r="T17" i="1"/>
  <c r="BE6" i="1"/>
  <c r="BE25" i="1" s="1"/>
  <c r="BF6" i="1"/>
  <c r="BL52" i="1"/>
  <c r="BL8" i="1"/>
  <c r="BL96" i="1"/>
  <c r="BE30" i="1"/>
  <c r="BL19" i="1"/>
  <c r="BL107" i="1"/>
  <c r="BL63" i="1"/>
  <c r="BE41" i="1"/>
  <c r="BL55" i="1"/>
  <c r="BL11" i="1"/>
  <c r="BL99" i="1"/>
  <c r="BE33" i="1"/>
  <c r="BL9" i="1"/>
  <c r="BL97" i="1"/>
  <c r="BL53" i="1"/>
  <c r="BE31" i="1"/>
  <c r="BL14" i="1"/>
  <c r="BL102" i="1"/>
  <c r="BL58" i="1"/>
  <c r="BE36" i="1"/>
  <c r="BL62" i="1"/>
  <c r="BL18" i="1"/>
  <c r="BL106" i="1"/>
  <c r="BE40" i="1"/>
  <c r="BL64" i="1"/>
  <c r="BL20" i="1"/>
  <c r="BL108" i="1"/>
  <c r="BE42" i="1"/>
  <c r="BL111" i="1"/>
  <c r="BL67" i="1"/>
  <c r="BL23" i="1"/>
  <c r="BE45" i="1"/>
  <c r="BL103" i="1"/>
  <c r="BL59" i="1"/>
  <c r="BL15" i="1"/>
  <c r="BE37" i="1"/>
  <c r="BL95" i="1"/>
  <c r="BE29" i="1"/>
  <c r="BL10" i="1"/>
  <c r="BL98" i="1"/>
  <c r="BL54" i="1"/>
  <c r="BE32" i="1"/>
  <c r="BL12" i="1"/>
  <c r="BL100" i="1"/>
  <c r="BL56" i="1"/>
  <c r="BE34" i="1"/>
  <c r="BL66" i="1"/>
  <c r="BL22" i="1"/>
  <c r="BL110" i="1"/>
  <c r="BE44" i="1"/>
  <c r="BL21" i="1"/>
  <c r="BL109" i="1"/>
  <c r="BL65" i="1"/>
  <c r="BE43" i="1"/>
  <c r="BL17" i="1"/>
  <c r="BL61" i="1"/>
  <c r="BL105" i="1"/>
  <c r="BE39" i="1"/>
  <c r="BL13" i="1"/>
  <c r="BL101" i="1"/>
  <c r="BL57" i="1"/>
  <c r="BE35" i="1"/>
  <c r="BF11" i="1"/>
  <c r="BF18" i="1"/>
  <c r="BF14" i="1"/>
  <c r="BF20" i="1"/>
  <c r="BF8" i="1"/>
  <c r="BF10" i="1"/>
  <c r="BF22" i="1"/>
  <c r="BF21" i="1"/>
  <c r="BF13" i="1"/>
  <c r="BF16" i="1"/>
  <c r="BF12" i="1"/>
  <c r="BF9" i="1"/>
  <c r="BF15" i="1"/>
  <c r="BF17" i="1"/>
  <c r="BF19" i="1"/>
  <c r="BF7" i="1"/>
  <c r="BF23" i="1"/>
  <c r="T6" i="1"/>
  <c r="BL16" i="1" l="1"/>
  <c r="BL60" i="1"/>
  <c r="BE38" i="1"/>
  <c r="BM6" i="1"/>
  <c r="BM72" i="1"/>
  <c r="BM94" i="1"/>
  <c r="BF28" i="1"/>
  <c r="BM50" i="1"/>
  <c r="BM28" i="1"/>
  <c r="BL50" i="1"/>
  <c r="BL6" i="1"/>
  <c r="BL94" i="1"/>
  <c r="BE28" i="1"/>
  <c r="BM111" i="1"/>
  <c r="BM23" i="1"/>
  <c r="BF45" i="1"/>
  <c r="BP23" i="1" s="1"/>
  <c r="BM103" i="1"/>
  <c r="BM37" i="1"/>
  <c r="BM59" i="1"/>
  <c r="BP59" i="1" s="1"/>
  <c r="BM81" i="1"/>
  <c r="BM15" i="1"/>
  <c r="BF37" i="1"/>
  <c r="BM101" i="1"/>
  <c r="BM79" i="1"/>
  <c r="BM57" i="1"/>
  <c r="BM13" i="1"/>
  <c r="BM35" i="1"/>
  <c r="BF35" i="1"/>
  <c r="BM96" i="1"/>
  <c r="BM8" i="1"/>
  <c r="BM30" i="1"/>
  <c r="BM74" i="1"/>
  <c r="BM52" i="1"/>
  <c r="BP52" i="1" s="1"/>
  <c r="BF30" i="1"/>
  <c r="BM99" i="1"/>
  <c r="BM33" i="1"/>
  <c r="BM55" i="1"/>
  <c r="BM77" i="1"/>
  <c r="BM11" i="1"/>
  <c r="BP11" i="1" s="1"/>
  <c r="BF33" i="1"/>
  <c r="BM95" i="1"/>
  <c r="BF29" i="1"/>
  <c r="BM97" i="1"/>
  <c r="BM9" i="1"/>
  <c r="BM31" i="1"/>
  <c r="BF31" i="1"/>
  <c r="BM109" i="1"/>
  <c r="BM87" i="1"/>
  <c r="BM21" i="1"/>
  <c r="BM43" i="1"/>
  <c r="BM65" i="1"/>
  <c r="BP65" i="1" s="1"/>
  <c r="BF43" i="1"/>
  <c r="BM108" i="1"/>
  <c r="BM42" i="1"/>
  <c r="BM86" i="1"/>
  <c r="BM64" i="1"/>
  <c r="BP64" i="1" s="1"/>
  <c r="BM20" i="1"/>
  <c r="BP20" i="1" s="1"/>
  <c r="BF42" i="1"/>
  <c r="BM107" i="1"/>
  <c r="BM41" i="1"/>
  <c r="BM85" i="1"/>
  <c r="BM63" i="1"/>
  <c r="BM19" i="1"/>
  <c r="BP19" i="1" s="1"/>
  <c r="BF41" i="1"/>
  <c r="BM100" i="1"/>
  <c r="BM34" i="1"/>
  <c r="BM12" i="1"/>
  <c r="BF34" i="1"/>
  <c r="BM110" i="1"/>
  <c r="BM22" i="1"/>
  <c r="BF44" i="1"/>
  <c r="BP22" i="1" s="1"/>
  <c r="BM102" i="1"/>
  <c r="BM80" i="1"/>
  <c r="BM58" i="1"/>
  <c r="BM14" i="1"/>
  <c r="BM36" i="1"/>
  <c r="BF36" i="1"/>
  <c r="BM105" i="1"/>
  <c r="BM17" i="1"/>
  <c r="BM39" i="1"/>
  <c r="BM83" i="1"/>
  <c r="BM61" i="1"/>
  <c r="BF39" i="1"/>
  <c r="BM104" i="1"/>
  <c r="BM38" i="1"/>
  <c r="BM82" i="1"/>
  <c r="BM60" i="1"/>
  <c r="BM16" i="1"/>
  <c r="BF38" i="1"/>
  <c r="BM98" i="1"/>
  <c r="BM32" i="1"/>
  <c r="BM10" i="1"/>
  <c r="BM76" i="1"/>
  <c r="BM54" i="1"/>
  <c r="BF32" i="1"/>
  <c r="BM106" i="1"/>
  <c r="BM84" i="1"/>
  <c r="BM62" i="1"/>
  <c r="BM18" i="1"/>
  <c r="BM40" i="1"/>
  <c r="BF40" i="1"/>
  <c r="BP21" i="1" l="1"/>
  <c r="BP55" i="1"/>
  <c r="BP57" i="1"/>
  <c r="BP15" i="1"/>
  <c r="BP6" i="1"/>
  <c r="BP9" i="1"/>
  <c r="BP18" i="1"/>
  <c r="BP60" i="1"/>
  <c r="BP14" i="1"/>
  <c r="BP50" i="1"/>
  <c r="BP10" i="1"/>
  <c r="BP16" i="1"/>
  <c r="BP12" i="1"/>
  <c r="BP17" i="1"/>
  <c r="BP62" i="1"/>
  <c r="BP54" i="1"/>
  <c r="BP61" i="1"/>
  <c r="BP58" i="1"/>
  <c r="BP63" i="1"/>
  <c r="BP8" i="1"/>
  <c r="BP13" i="1"/>
</calcChain>
</file>

<file path=xl/sharedStrings.xml><?xml version="1.0" encoding="utf-8"?>
<sst xmlns="http://schemas.openxmlformats.org/spreadsheetml/2006/main" count="1517" uniqueCount="358">
  <si>
    <t>No.</t>
  </si>
  <si>
    <t>1.10.</t>
  </si>
  <si>
    <t>h toe</t>
  </si>
  <si>
    <t>Rc</t>
  </si>
  <si>
    <t>Hs</t>
  </si>
  <si>
    <t>Hm0</t>
  </si>
  <si>
    <t>H2%</t>
  </si>
  <si>
    <t>Tm</t>
  </si>
  <si>
    <t>Tm0,1</t>
  </si>
  <si>
    <t>Tm-1,0</t>
  </si>
  <si>
    <t>Tp</t>
  </si>
  <si>
    <t>Configuration A</t>
  </si>
  <si>
    <t>q</t>
  </si>
  <si>
    <t>Pq</t>
  </si>
  <si>
    <t>V 2%</t>
  </si>
  <si>
    <t>h 2% (mm)</t>
  </si>
  <si>
    <t>P1</t>
  </si>
  <si>
    <t>P2</t>
  </si>
  <si>
    <t>P3</t>
  </si>
  <si>
    <t>P4</t>
  </si>
  <si>
    <t>P5</t>
  </si>
  <si>
    <t>u 2% (m/s)</t>
  </si>
  <si>
    <t>l/m</t>
  </si>
  <si>
    <t>Configuration B</t>
  </si>
  <si>
    <t>xi 0</t>
  </si>
  <si>
    <t>tan alpha</t>
  </si>
  <si>
    <t>R u2%</t>
  </si>
  <si>
    <t>P ov</t>
  </si>
  <si>
    <t>s0 at toe</t>
  </si>
  <si>
    <t>Rc/Hm0 toe</t>
  </si>
  <si>
    <t>h2% / Hm0</t>
  </si>
  <si>
    <t>(Ru2%-Rc)/Hm0</t>
  </si>
  <si>
    <t>Configuration C</t>
  </si>
  <si>
    <t>Configuration D</t>
  </si>
  <si>
    <t>Configuration D'</t>
  </si>
  <si>
    <t>u2%/sqrt(gHm0)</t>
  </si>
  <si>
    <t>((Ru2%-Rc)/Hm0)^0.5</t>
  </si>
  <si>
    <t>comparison between Pov wrt EurOtop and Pov observed in tests of van Gent</t>
  </si>
  <si>
    <t>a</t>
  </si>
  <si>
    <t>tan beta</t>
  </si>
  <si>
    <t>water deepth</t>
  </si>
  <si>
    <t>Wave conditions</t>
  </si>
  <si>
    <t>1:3,</t>
  </si>
  <si>
    <t>1:6,</t>
  </si>
  <si>
    <t>1:4,</t>
  </si>
  <si>
    <t>1:5,</t>
  </si>
  <si>
    <t>wave spectrums</t>
  </si>
  <si>
    <t>regular waves</t>
  </si>
  <si>
    <t>Model configurations of Schuttrumpf and wave conditions</t>
  </si>
  <si>
    <t>V/(Hm0)^2</t>
  </si>
  <si>
    <t>(Ru2% - Rc)^2/Hm0^2</t>
  </si>
  <si>
    <t>h2% (P2-P1)/P1</t>
  </si>
  <si>
    <t>u2% (P2-P1)/P1</t>
  </si>
  <si>
    <t>(xB-xA)/Hm0</t>
  </si>
  <si>
    <t>friction</t>
  </si>
  <si>
    <t>crest width</t>
  </si>
  <si>
    <t>m</t>
  </si>
  <si>
    <t>(3-2)/2</t>
  </si>
  <si>
    <t>(4-2)/2</t>
  </si>
  <si>
    <t>(5-2)/2</t>
  </si>
  <si>
    <t>delta u</t>
  </si>
  <si>
    <t>delta h</t>
  </si>
  <si>
    <t>delta (D'-D)/D</t>
  </si>
  <si>
    <t>h</t>
  </si>
  <si>
    <t>u</t>
  </si>
  <si>
    <t>(cos_a*/Hm0)*(V/sin_a)^0.5</t>
  </si>
  <si>
    <t>x-axis h2% calculated by new eq. including V2% wrt EurOtop</t>
  </si>
  <si>
    <t>y-axis measured by van Gent</t>
  </si>
  <si>
    <t>x-axis u2% calculated by new eq. including V2% wrt EurOtop</t>
  </si>
  <si>
    <t>measured by van Gent</t>
  </si>
  <si>
    <t>V2%</t>
  </si>
  <si>
    <t>h2%</t>
  </si>
  <si>
    <t>u2%</t>
  </si>
  <si>
    <t>relation proposed by Trung</t>
  </si>
  <si>
    <t>relation proposed by van Gent</t>
  </si>
  <si>
    <t>Parameters calculated with EurOtop</t>
  </si>
  <si>
    <t>Measurements of van Gent</t>
  </si>
  <si>
    <t>on the dike crest</t>
  </si>
  <si>
    <t>delta x</t>
  </si>
  <si>
    <t>along the landward-side slope</t>
  </si>
  <si>
    <t>at the seaward edge A</t>
  </si>
  <si>
    <t>Wave conditions Configurations A-D', experiments of van Gent</t>
  </si>
  <si>
    <t>uxB wrt uATrung</t>
  </si>
  <si>
    <t>uxB/sqrt(gHm0)</t>
  </si>
  <si>
    <t>cAu is not calibrated yet</t>
  </si>
  <si>
    <t>A, B, C and D smooth crest</t>
  </si>
  <si>
    <t>at the landward edge xB</t>
  </si>
  <si>
    <t>hxB/ Hm0</t>
  </si>
  <si>
    <t>mea. Van Gent</t>
  </si>
  <si>
    <t>by Trung</t>
  </si>
  <si>
    <t>(4D'-2D)/2D</t>
  </si>
  <si>
    <t>(5D'-2D)/2D</t>
  </si>
  <si>
    <t>(2D'-1D)/1D</t>
  </si>
  <si>
    <t>h, friction effect along crest &amp; landward slope</t>
  </si>
  <si>
    <t>u, friction effect along crest &amp; landward slope</t>
  </si>
  <si>
    <t>on crest (xB - xA)/Hm0</t>
  </si>
  <si>
    <t>on the landward-side slope (sj - si)cotb/Hm0</t>
  </si>
  <si>
    <t>total effect of slope and friction</t>
  </si>
  <si>
    <t>A and C with slope 1:2.5</t>
  </si>
  <si>
    <t>B, D and D' with slope 1:4</t>
  </si>
  <si>
    <t>c0</t>
  </si>
  <si>
    <t>yC/Hm0</t>
  </si>
  <si>
    <t>influence of B on Dh and Du on the landward-side slope</t>
  </si>
  <si>
    <t>on the landward-side slope</t>
  </si>
  <si>
    <t>yC=0.1</t>
  </si>
  <si>
    <t>yC=0.4</t>
  </si>
  <si>
    <t>yC=0.25</t>
  </si>
  <si>
    <t>c0*cotbAC</t>
  </si>
  <si>
    <t>c0*cotbBD</t>
  </si>
  <si>
    <t>h2%/Hm0 wrt V2%</t>
  </si>
  <si>
    <t>h/Hm0</t>
  </si>
  <si>
    <t>P3 mea.</t>
  </si>
  <si>
    <r>
      <t>(c0+ctan</t>
    </r>
    <r>
      <rPr>
        <sz val="11"/>
        <color theme="1"/>
        <rFont val="Symbol"/>
        <family val="1"/>
        <charset val="2"/>
      </rPr>
      <t>b</t>
    </r>
    <r>
      <rPr>
        <sz val="11"/>
        <color theme="1"/>
        <rFont val="Calibri"/>
        <family val="2"/>
        <scheme val="minor"/>
      </rPr>
      <t>yC/Hm0)*hB</t>
    </r>
  </si>
  <si>
    <t>P4 mea.</t>
  </si>
  <si>
    <t>P5 mea.</t>
  </si>
  <si>
    <t>at B</t>
  </si>
  <si>
    <t>uyC /(gHm0)^0.5 by Trung</t>
  </si>
  <si>
    <t>uB / (gHm0)^0.5</t>
  </si>
  <si>
    <t>u/(gHm0)^0.5</t>
  </si>
  <si>
    <t>proposed by Trung</t>
  </si>
  <si>
    <t>crest</t>
  </si>
  <si>
    <t>hxB / Hm0</t>
  </si>
  <si>
    <t>hA / Hm0</t>
  </si>
  <si>
    <t>uA / (gHm0)^0.5</t>
  </si>
  <si>
    <t xml:space="preserve">proposed by Trung, ch = </t>
  </si>
  <si>
    <t>proposed by Trung, cu =</t>
  </si>
  <si>
    <t>proposed by van Gent, cu =</t>
  </si>
  <si>
    <t>cu*uA / (gHm0)^0.5</t>
  </si>
  <si>
    <t>only (+)</t>
  </si>
  <si>
    <t>ony (-)</t>
  </si>
  <si>
    <t>Dx/Hm0</t>
  </si>
  <si>
    <t>Ds/Hm0</t>
  </si>
  <si>
    <t>min</t>
  </si>
  <si>
    <t>max</t>
  </si>
  <si>
    <t>mean crest</t>
  </si>
  <si>
    <t>mean Hm0</t>
  </si>
  <si>
    <t>fBh</t>
  </si>
  <si>
    <t>fBu</t>
  </si>
  <si>
    <t>mean slope</t>
  </si>
  <si>
    <t>(4D'-3D)/3D</t>
  </si>
  <si>
    <t>(5D'-3D)/3D</t>
  </si>
  <si>
    <t>average Dh slope</t>
  </si>
  <si>
    <t>average Du slope</t>
  </si>
  <si>
    <t>average crest</t>
  </si>
  <si>
    <t>average all</t>
  </si>
  <si>
    <t>Dh</t>
  </si>
  <si>
    <t>Du</t>
  </si>
  <si>
    <t>cBh</t>
  </si>
  <si>
    <t>hB/Hm0</t>
  </si>
  <si>
    <t>included friction effect</t>
  </si>
  <si>
    <t>on the landward-side slope, inlcuded friction effect</t>
  </si>
  <si>
    <t>proposed by Trung, cAh =</t>
  </si>
  <si>
    <t>proposed by Trung, cAu =</t>
  </si>
  <si>
    <t>fCu</t>
  </si>
  <si>
    <t>fCh</t>
  </si>
  <si>
    <r>
      <t>tan</t>
    </r>
    <r>
      <rPr>
        <sz val="11"/>
        <color theme="1"/>
        <rFont val="Symbol"/>
        <family val="1"/>
        <charset val="2"/>
      </rPr>
      <t xml:space="preserve">b </t>
    </r>
    <r>
      <rPr>
        <sz val="11"/>
        <color theme="1"/>
        <rFont val="Calibri"/>
        <family val="2"/>
        <scheme val="minor"/>
      </rPr>
      <t>BD</t>
    </r>
  </si>
  <si>
    <r>
      <t>tan</t>
    </r>
    <r>
      <rPr>
        <sz val="11"/>
        <color theme="1"/>
        <rFont val="Symbol"/>
        <family val="1"/>
        <charset val="2"/>
      </rPr>
      <t>b</t>
    </r>
    <r>
      <rPr>
        <sz val="11"/>
        <color theme="1"/>
        <rFont val="Calibri"/>
        <family val="2"/>
        <scheme val="minor"/>
      </rPr>
      <t xml:space="preserve"> AC</t>
    </r>
  </si>
  <si>
    <t>h2%/Hm0</t>
  </si>
  <si>
    <t>b0h</t>
  </si>
  <si>
    <t>b0u</t>
  </si>
  <si>
    <t>cBu</t>
  </si>
  <si>
    <t>bu</t>
  </si>
  <si>
    <t>bh</t>
  </si>
  <si>
    <t>du</t>
  </si>
  <si>
    <t>cCu</t>
  </si>
  <si>
    <t>dh</t>
  </si>
  <si>
    <t>cCh</t>
  </si>
  <si>
    <t>A, B, C, and D are tests of Van Gent</t>
  </si>
  <si>
    <t>Schuttrumpf and Flowdike are compared with eq. proposed by Trung, cAu = 0.8</t>
  </si>
  <si>
    <t>B/Lm-1,0</t>
  </si>
  <si>
    <t>Trung</t>
  </si>
  <si>
    <t>uB/uA</t>
  </si>
  <si>
    <t>Tp1</t>
  </si>
  <si>
    <t>Tp2 / Tp1</t>
  </si>
  <si>
    <t>&amp;</t>
  </si>
  <si>
    <t>\\</t>
  </si>
  <si>
    <t>wave condition in deep water</t>
  </si>
  <si>
    <t>A</t>
  </si>
  <si>
    <t>B</t>
  </si>
  <si>
    <t>C</t>
  </si>
  <si>
    <t>D</t>
  </si>
  <si>
    <t>measured wave conditions at dike toes</t>
  </si>
  <si>
    <t>mea.</t>
  </si>
  <si>
    <t>com.</t>
  </si>
  <si>
    <t>ksi0</t>
  </si>
  <si>
    <t>s0</t>
  </si>
  <si>
    <t>gen.</t>
  </si>
  <si>
    <t xml:space="preserve"> </t>
  </si>
  <si>
    <t>measurement</t>
  </si>
  <si>
    <t>generation according to the test program</t>
  </si>
  <si>
    <t>computation by EuroTop 2007</t>
  </si>
  <si>
    <t>Flow dike 07</t>
  </si>
  <si>
    <t xml:space="preserve">freeboard </t>
  </si>
  <si>
    <t>Flow dike 06</t>
  </si>
  <si>
    <t>l/s/m</t>
  </si>
  <si>
    <t>h2%/Hs</t>
  </si>
  <si>
    <t>h(toe)</t>
  </si>
  <si>
    <t>Tm-1.0</t>
  </si>
  <si>
    <t>Pos1</t>
  </si>
  <si>
    <t>Pos5</t>
  </si>
  <si>
    <t>s</t>
  </si>
  <si>
    <t>m/s</t>
  </si>
  <si>
    <t>q cal.</t>
  </si>
  <si>
    <t>q mea.</t>
  </si>
  <si>
    <t>Povt</t>
  </si>
  <si>
    <t>L0</t>
  </si>
  <si>
    <t>Ru2%</t>
  </si>
  <si>
    <t>sea</t>
  </si>
  <si>
    <t>Pos1 sea</t>
  </si>
  <si>
    <t>Pos5 land</t>
  </si>
  <si>
    <t>V2%/Hs^2</t>
  </si>
  <si>
    <t>m3</t>
  </si>
  <si>
    <t>-</t>
  </si>
  <si>
    <t>land</t>
  </si>
  <si>
    <t>u2%/sqrt(gHs)</t>
  </si>
  <si>
    <t>EurOtop</t>
  </si>
  <si>
    <t>dike height</t>
  </si>
  <si>
    <t>cAh</t>
  </si>
  <si>
    <t>cAu</t>
  </si>
  <si>
    <t>condition</t>
  </si>
  <si>
    <t>h2%/Hs sea</t>
  </si>
  <si>
    <t>smaller</t>
  </si>
  <si>
    <t>calculation with Trung's equations</t>
  </si>
  <si>
    <t>bBh</t>
  </si>
  <si>
    <t>bBu</t>
  </si>
  <si>
    <t>B [m]</t>
  </si>
  <si>
    <t>Tm=Tp/1.15</t>
  </si>
  <si>
    <t>Date</t>
  </si>
  <si>
    <t>Set-up</t>
  </si>
  <si>
    <t>Test</t>
  </si>
  <si>
    <t>duration</t>
  </si>
  <si>
    <t xml:space="preserve">Test </t>
  </si>
  <si>
    <t>file-name</t>
  </si>
  <si>
    <t xml:space="preserve">wave </t>
  </si>
  <si>
    <t>current</t>
  </si>
  <si>
    <t>wind [m/s]</t>
  </si>
  <si>
    <t>wave</t>
  </si>
  <si>
    <t>Nominal wave parameters</t>
  </si>
  <si>
    <t>Wave gauges 9-5 toe</t>
  </si>
  <si>
    <t>Wave gauges 14-10 toe</t>
  </si>
  <si>
    <t>Run-up</t>
  </si>
  <si>
    <t>Overtopping</t>
  </si>
  <si>
    <t>Flow velocities 2%</t>
  </si>
  <si>
    <t>Flow depths 2%</t>
  </si>
  <si>
    <t>series</t>
  </si>
  <si>
    <t>(MikeZero)</t>
  </si>
  <si>
    <t>no.</t>
  </si>
  <si>
    <t>set-up/test/current/</t>
  </si>
  <si>
    <t xml:space="preserve">direction </t>
  </si>
  <si>
    <t>[m/s]</t>
  </si>
  <si>
    <t>10 m/s≈49 Hz</t>
  </si>
  <si>
    <t>testno.</t>
  </si>
  <si>
    <t xml:space="preserve">no. of </t>
  </si>
  <si>
    <t xml:space="preserve">T01 </t>
  </si>
  <si>
    <t xml:space="preserve">T02 </t>
  </si>
  <si>
    <t>Cr</t>
  </si>
  <si>
    <t>Hmax</t>
  </si>
  <si>
    <t>Tz</t>
  </si>
  <si>
    <t>N</t>
  </si>
  <si>
    <t>2% [</t>
  </si>
  <si>
    <t>q70-37</t>
  </si>
  <si>
    <t>q70-39</t>
  </si>
  <si>
    <t>q60-41</t>
  </si>
  <si>
    <t>q60-43</t>
  </si>
  <si>
    <t>v70-33-l</t>
  </si>
  <si>
    <t>v70-34-s</t>
  </si>
  <si>
    <t>v60-35-l</t>
  </si>
  <si>
    <t>v60-36-s</t>
  </si>
  <si>
    <t>h70-15-l</t>
  </si>
  <si>
    <t>h70-16-s</t>
  </si>
  <si>
    <t>h60-18-s</t>
  </si>
  <si>
    <t>[min]</t>
  </si>
  <si>
    <t>wave/direction</t>
  </si>
  <si>
    <t>[°]</t>
  </si>
  <si>
    <t>5 m/s≈25 Hz</t>
  </si>
  <si>
    <t>[m]</t>
  </si>
  <si>
    <t>[s]</t>
  </si>
  <si>
    <t>waves [min]</t>
  </si>
  <si>
    <t>waves [-]</t>
  </si>
  <si>
    <t>l/s per m</t>
  </si>
  <si>
    <t>05. Feb.</t>
  </si>
  <si>
    <t>T1.1</t>
  </si>
  <si>
    <t>s1_01_00_w1_00</t>
  </si>
  <si>
    <t>w1</t>
  </si>
  <si>
    <t>no data</t>
  </si>
  <si>
    <t>T1.2</t>
  </si>
  <si>
    <t>s1_01_00_w2_00</t>
  </si>
  <si>
    <t>w2</t>
  </si>
  <si>
    <t>T1.3</t>
  </si>
  <si>
    <t>s1_01_00_w3_00</t>
  </si>
  <si>
    <t>w3</t>
  </si>
  <si>
    <t>T1.4</t>
  </si>
  <si>
    <t>s1_01_00_w4_00</t>
  </si>
  <si>
    <t>w4</t>
  </si>
  <si>
    <t>T1.5</t>
  </si>
  <si>
    <t>s1_01_00_w5_00</t>
  </si>
  <si>
    <t>w5</t>
  </si>
  <si>
    <t>T1.6</t>
  </si>
  <si>
    <t>s1_01_00_w6_00</t>
  </si>
  <si>
    <t>w6</t>
  </si>
  <si>
    <t>FlowDike 1:3</t>
  </si>
  <si>
    <t>water depth</t>
  </si>
  <si>
    <t>freeboard</t>
  </si>
  <si>
    <t>Lm-1,0</t>
  </si>
  <si>
    <t>csi0</t>
  </si>
  <si>
    <t>[m3/s/m]</t>
  </si>
  <si>
    <t>V</t>
  </si>
  <si>
    <t>[m3/m]</t>
  </si>
  <si>
    <t>h land</t>
  </si>
  <si>
    <t>h sea</t>
  </si>
  <si>
    <t>crest width B</t>
  </si>
  <si>
    <t>h60-17-l</t>
  </si>
  <si>
    <t>u land</t>
  </si>
  <si>
    <t>u sea</t>
  </si>
  <si>
    <t>height 70cm</t>
  </si>
  <si>
    <t>height 60cm</t>
  </si>
  <si>
    <t>V/Hm0^2</t>
  </si>
  <si>
    <t>u/sqrt(gHm0)</t>
  </si>
  <si>
    <t>Computation wrt EurOtop 2007 and Trung</t>
  </si>
  <si>
    <t>Measurement from FlowDike 1:3 with two dike heights 0.6 and 0.7 m</t>
  </si>
  <si>
    <t>Measured parameters</t>
  </si>
  <si>
    <t>wind speed [m/s]</t>
  </si>
  <si>
    <t>water</t>
  </si>
  <si>
    <t>no. of waves</t>
  </si>
  <si>
    <t>Gauges 9-5 at wave maker</t>
  </si>
  <si>
    <t>Gauges 14-10 at 0.60 m toe</t>
  </si>
  <si>
    <t>Gauges 55-51 at 0.70 m toe</t>
  </si>
  <si>
    <t>direction</t>
  </si>
  <si>
    <t>10 m/s ≈ 49 Hz</t>
  </si>
  <si>
    <t>number</t>
  </si>
  <si>
    <t>depth</t>
  </si>
  <si>
    <t>[-]</t>
  </si>
  <si>
    <t>Pov-70</t>
  </si>
  <si>
    <t>Pov-60</t>
  </si>
  <si>
    <t>h70-56 sl</t>
  </si>
  <si>
    <t>h60-57 sl</t>
  </si>
  <si>
    <t>5 m/s ≈ 25 Hz</t>
  </si>
  <si>
    <t>Set-up 4</t>
  </si>
  <si>
    <t>s4_01</t>
  </si>
  <si>
    <t>s4_01_00_w1_00_00</t>
  </si>
  <si>
    <t>00</t>
  </si>
  <si>
    <t>s4_01_00_w2_00_00</t>
  </si>
  <si>
    <t>s4_01_00_w3_00_00</t>
  </si>
  <si>
    <t>s4_01_00_w4_00_00</t>
  </si>
  <si>
    <t>s4_01_00_w5_00_00</t>
  </si>
  <si>
    <t>s4_01_00_w6_00_00</t>
  </si>
  <si>
    <t>s4_01a</t>
  </si>
  <si>
    <t>s4_01a_00_w1_00_00</t>
  </si>
  <si>
    <t>s4_01a_00_w2_00_00</t>
  </si>
  <si>
    <t>s4_01a_00_w3_00_00</t>
  </si>
  <si>
    <t>s4_01a_00_w4_00_00</t>
  </si>
  <si>
    <t>s4_01a_00_w5_00_00</t>
  </si>
  <si>
    <t>s4_01a_00_w6_00_00</t>
  </si>
  <si>
    <t>Measurement from FlowDike 1:6 with two dike heights 0.6 and 0.7 m</t>
  </si>
  <si>
    <t>mu</t>
  </si>
  <si>
    <t>mu+1.64sigma</t>
  </si>
  <si>
    <t>mu-1.64sigma</t>
  </si>
  <si>
    <t>5% exceedance limit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</si>
</sst>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0"/>
    <numFmt numFmtId="166" formatCode="0.0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  <font>
      <sz val="10"/>
      <color indexed="10"/>
      <name val="Arial"/>
      <family val="2"/>
    </font>
    <font>
      <sz val="10"/>
      <color indexed="12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26">
    <xf numFmtId="0" fontId="0" fillId="0" borderId="0" xfId="0"/>
    <xf numFmtId="0" fontId="0" fillId="2" borderId="0" xfId="0" applyFill="1"/>
    <xf numFmtId="20" fontId="0" fillId="0" borderId="0" xfId="0" applyNumberFormat="1"/>
    <xf numFmtId="20" fontId="0" fillId="2" borderId="0" xfId="0" applyNumberFormat="1" applyFill="1"/>
    <xf numFmtId="16" fontId="0" fillId="0" borderId="0" xfId="0" applyNumberFormat="1"/>
    <xf numFmtId="0" fontId="0" fillId="3" borderId="0" xfId="0" applyFill="1"/>
    <xf numFmtId="0" fontId="0" fillId="4" borderId="0" xfId="0" applyFill="1"/>
    <xf numFmtId="0" fontId="0" fillId="5" borderId="0" xfId="0" applyFill="1"/>
    <xf numFmtId="164" fontId="0" fillId="0" borderId="0" xfId="0" applyNumberFormat="1"/>
    <xf numFmtId="2" fontId="0" fillId="0" borderId="0" xfId="0" applyNumberFormat="1"/>
    <xf numFmtId="0" fontId="2" fillId="0" borderId="0" xfId="1"/>
    <xf numFmtId="164" fontId="0" fillId="2" borderId="0" xfId="0" applyNumberFormat="1" applyFill="1"/>
    <xf numFmtId="164" fontId="0" fillId="4" borderId="0" xfId="0" applyNumberFormat="1" applyFill="1"/>
    <xf numFmtId="0" fontId="3" fillId="0" borderId="0" xfId="0" applyFont="1"/>
    <xf numFmtId="164" fontId="4" fillId="0" borderId="0" xfId="0" applyNumberFormat="1" applyFont="1"/>
    <xf numFmtId="164" fontId="5" fillId="0" borderId="0" xfId="0" applyNumberFormat="1" applyFont="1"/>
    <xf numFmtId="165" fontId="0" fillId="0" borderId="0" xfId="0" applyNumberFormat="1"/>
    <xf numFmtId="164" fontId="5" fillId="2" borderId="0" xfId="0" applyNumberFormat="1" applyFont="1" applyFill="1"/>
    <xf numFmtId="164" fontId="4" fillId="5" borderId="0" xfId="0" applyNumberFormat="1" applyFont="1" applyFill="1"/>
    <xf numFmtId="164" fontId="5" fillId="5" borderId="0" xfId="0" applyNumberFormat="1" applyFont="1" applyFill="1"/>
    <xf numFmtId="0" fontId="6" fillId="0" borderId="1" xfId="0" applyFont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2" fontId="6" fillId="0" borderId="2" xfId="0" applyNumberFormat="1" applyFont="1" applyBorder="1" applyAlignment="1">
      <alignment horizontal="left"/>
    </xf>
    <xf numFmtId="0" fontId="0" fillId="0" borderId="2" xfId="0" applyBorder="1" applyAlignment="1">
      <alignment horizontal="center"/>
    </xf>
    <xf numFmtId="0" fontId="6" fillId="0" borderId="5" xfId="0" applyFont="1" applyBorder="1" applyAlignment="1">
      <alignment horizontal="center"/>
    </xf>
    <xf numFmtId="164" fontId="6" fillId="0" borderId="6" xfId="0" applyNumberFormat="1" applyFont="1" applyFill="1" applyBorder="1" applyAlignment="1">
      <alignment horizontal="left"/>
    </xf>
    <xf numFmtId="2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164" fontId="6" fillId="0" borderId="2" xfId="0" applyNumberFormat="1" applyFont="1" applyBorder="1" applyAlignment="1">
      <alignment horizontal="left"/>
    </xf>
    <xf numFmtId="1" fontId="0" fillId="0" borderId="3" xfId="0" applyNumberFormat="1" applyBorder="1"/>
    <xf numFmtId="1" fontId="0" fillId="0" borderId="0" xfId="0" applyNumberFormat="1" applyBorder="1"/>
    <xf numFmtId="164" fontId="6" fillId="0" borderId="3" xfId="0" applyNumberFormat="1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0" fillId="0" borderId="5" xfId="0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6" fontId="6" fillId="0" borderId="2" xfId="0" applyNumberFormat="1" applyFont="1" applyBorder="1" applyAlignment="1">
      <alignment horizontal="left"/>
    </xf>
    <xf numFmtId="166" fontId="0" fillId="0" borderId="2" xfId="0" applyNumberFormat="1" applyBorder="1" applyAlignment="1">
      <alignment horizontal="center"/>
    </xf>
    <xf numFmtId="166" fontId="0" fillId="0" borderId="3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10" xfId="0" applyFont="1" applyFill="1" applyBorder="1" applyAlignment="1">
      <alignment horizontal="center"/>
    </xf>
    <xf numFmtId="164" fontId="0" fillId="0" borderId="11" xfId="0" applyNumberFormat="1" applyFont="1" applyFill="1" applyBorder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2" fontId="0" fillId="0" borderId="10" xfId="0" applyNumberFormat="1" applyFont="1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1" fontId="0" fillId="0" borderId="8" xfId="0" applyNumberFormat="1" applyFont="1" applyBorder="1" applyAlignment="1">
      <alignment horizontal="center"/>
    </xf>
    <xf numFmtId="1" fontId="0" fillId="0" borderId="0" xfId="0" applyNumberFormat="1" applyFont="1" applyBorder="1" applyAlignment="1">
      <alignment horizontal="center"/>
    </xf>
    <xf numFmtId="164" fontId="0" fillId="0" borderId="8" xfId="0" applyNumberFormat="1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164" fontId="0" fillId="0" borderId="10" xfId="0" applyNumberFormat="1" applyFont="1" applyBorder="1" applyAlignment="1">
      <alignment horizontal="center"/>
    </xf>
    <xf numFmtId="166" fontId="0" fillId="0" borderId="0" xfId="0" applyNumberFormat="1" applyFont="1" applyBorder="1" applyAlignment="1">
      <alignment horizontal="center"/>
    </xf>
    <xf numFmtId="166" fontId="0" fillId="0" borderId="8" xfId="0" applyNumberFormat="1" applyFont="1" applyBorder="1" applyAlignment="1">
      <alignment horizontal="center"/>
    </xf>
    <xf numFmtId="16" fontId="0" fillId="0" borderId="12" xfId="0" applyNumberFormat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2" fontId="0" fillId="0" borderId="16" xfId="0" applyNumberFormat="1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17" xfId="0" applyFont="1" applyFill="1" applyBorder="1" applyAlignment="1">
      <alignment horizontal="center"/>
    </xf>
    <xf numFmtId="164" fontId="0" fillId="0" borderId="18" xfId="0" applyNumberFormat="1" applyFont="1" applyBorder="1" applyAlignment="1">
      <alignment horizontal="center"/>
    </xf>
    <xf numFmtId="164" fontId="0" fillId="0" borderId="16" xfId="0" applyNumberFormat="1" applyFont="1" applyBorder="1" applyAlignment="1">
      <alignment horizontal="center"/>
    </xf>
    <xf numFmtId="2" fontId="0" fillId="0" borderId="17" xfId="0" applyNumberFormat="1" applyFont="1" applyBorder="1" applyAlignment="1">
      <alignment horizontal="center"/>
    </xf>
    <xf numFmtId="1" fontId="0" fillId="0" borderId="19" xfId="0" applyNumberFormat="1" applyFont="1" applyBorder="1"/>
    <xf numFmtId="1" fontId="0" fillId="0" borderId="0" xfId="0" applyNumberFormat="1" applyFont="1" applyBorder="1"/>
    <xf numFmtId="164" fontId="0" fillId="0" borderId="19" xfId="0" applyNumberFormat="1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164" fontId="0" fillId="0" borderId="17" xfId="0" applyNumberFormat="1" applyFont="1" applyBorder="1" applyAlignment="1">
      <alignment horizontal="center"/>
    </xf>
    <xf numFmtId="166" fontId="0" fillId="0" borderId="16" xfId="0" applyNumberFormat="1" applyFont="1" applyBorder="1" applyAlignment="1">
      <alignment horizontal="center"/>
    </xf>
    <xf numFmtId="166" fontId="0" fillId="0" borderId="19" xfId="0" applyNumberFormat="1" applyFont="1" applyBorder="1" applyAlignment="1">
      <alignment horizontal="center"/>
    </xf>
    <xf numFmtId="16" fontId="6" fillId="0" borderId="7" xfId="0" applyNumberFormat="1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2" fontId="0" fillId="0" borderId="20" xfId="0" applyNumberForma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" fontId="0" fillId="0" borderId="8" xfId="0" applyNumberFormat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ont="1" applyFill="1" applyBorder="1" applyAlignment="1">
      <alignment horizontal="center"/>
    </xf>
    <xf numFmtId="164" fontId="0" fillId="2" borderId="11" xfId="0" applyNumberFormat="1" applyFill="1" applyBorder="1" applyAlignment="1">
      <alignment horizontal="center"/>
    </xf>
    <xf numFmtId="2" fontId="0" fillId="2" borderId="0" xfId="0" applyNumberFormat="1" applyFont="1" applyFill="1" applyBorder="1" applyAlignment="1">
      <alignment horizontal="center"/>
    </xf>
    <xf numFmtId="2" fontId="0" fillId="2" borderId="10" xfId="0" applyNumberFormat="1" applyFont="1" applyFill="1" applyBorder="1" applyAlignment="1">
      <alignment horizontal="center"/>
    </xf>
    <xf numFmtId="166" fontId="0" fillId="2" borderId="0" xfId="0" applyNumberFormat="1" applyFont="1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2" fontId="0" fillId="2" borderId="23" xfId="0" applyNumberFormat="1" applyFill="1" applyBorder="1" applyAlignment="1">
      <alignment horizontal="center"/>
    </xf>
    <xf numFmtId="164" fontId="0" fillId="2" borderId="23" xfId="0" applyNumberFormat="1" applyFill="1" applyBorder="1" applyAlignment="1">
      <alignment horizontal="center"/>
    </xf>
    <xf numFmtId="164" fontId="0" fillId="2" borderId="27" xfId="0" applyNumberFormat="1" applyFill="1" applyBorder="1" applyAlignment="1">
      <alignment horizontal="center"/>
    </xf>
    <xf numFmtId="2" fontId="0" fillId="2" borderId="26" xfId="0" applyNumberFormat="1" applyFill="1" applyBorder="1" applyAlignment="1">
      <alignment horizontal="center"/>
    </xf>
    <xf numFmtId="166" fontId="0" fillId="2" borderId="23" xfId="0" applyNumberFormat="1" applyFill="1" applyBorder="1" applyAlignment="1">
      <alignment horizontal="center"/>
    </xf>
    <xf numFmtId="164" fontId="0" fillId="4" borderId="0" xfId="0" applyNumberFormat="1" applyFont="1" applyFill="1" applyBorder="1" applyAlignment="1">
      <alignment horizontal="center"/>
    </xf>
    <xf numFmtId="2" fontId="0" fillId="4" borderId="0" xfId="0" applyNumberFormat="1" applyFont="1" applyFill="1" applyBorder="1" applyAlignment="1">
      <alignment horizontal="center"/>
    </xf>
    <xf numFmtId="164" fontId="0" fillId="4" borderId="28" xfId="0" applyNumberFormat="1" applyFill="1" applyBorder="1" applyAlignment="1">
      <alignment horizontal="center"/>
    </xf>
    <xf numFmtId="2" fontId="0" fillId="4" borderId="28" xfId="0" applyNumberFormat="1" applyFont="1" applyFill="1" applyBorder="1" applyAlignment="1">
      <alignment horizontal="center"/>
    </xf>
    <xf numFmtId="164" fontId="0" fillId="4" borderId="28" xfId="0" applyNumberFormat="1" applyFont="1" applyFill="1" applyBorder="1" applyAlignment="1">
      <alignment horizontal="center"/>
    </xf>
    <xf numFmtId="2" fontId="0" fillId="4" borderId="28" xfId="0" applyNumberFormat="1" applyFill="1" applyBorder="1" applyAlignment="1">
      <alignment horizontal="center"/>
    </xf>
    <xf numFmtId="2" fontId="0" fillId="4" borderId="0" xfId="0" applyNumberFormat="1" applyFill="1" applyBorder="1" applyAlignment="1">
      <alignment horizontal="center"/>
    </xf>
    <xf numFmtId="166" fontId="0" fillId="4" borderId="0" xfId="0" applyNumberFormat="1" applyFont="1" applyFill="1" applyBorder="1" applyAlignment="1">
      <alignment horizontal="center"/>
    </xf>
    <xf numFmtId="166" fontId="0" fillId="4" borderId="8" xfId="0" applyNumberFormat="1" applyFont="1" applyFill="1" applyBorder="1" applyAlignment="1">
      <alignment horizontal="center"/>
    </xf>
    <xf numFmtId="166" fontId="0" fillId="4" borderId="23" xfId="0" applyNumberFormat="1" applyFill="1" applyBorder="1" applyAlignment="1">
      <alignment horizontal="center"/>
    </xf>
    <xf numFmtId="166" fontId="0" fillId="4" borderId="24" xfId="0" applyNumberFormat="1" applyFill="1" applyBorder="1" applyAlignment="1">
      <alignment horizontal="center"/>
    </xf>
    <xf numFmtId="164" fontId="0" fillId="4" borderId="10" xfId="0" applyNumberFormat="1" applyFont="1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10" xfId="0" applyFont="1" applyFill="1" applyBorder="1" applyAlignment="1">
      <alignment horizontal="center"/>
    </xf>
    <xf numFmtId="164" fontId="0" fillId="4" borderId="23" xfId="0" applyNumberFormat="1" applyFill="1" applyBorder="1" applyAlignment="1">
      <alignment horizontal="center"/>
    </xf>
    <xf numFmtId="164" fontId="0" fillId="4" borderId="26" xfId="0" applyNumberFormat="1" applyFill="1" applyBorder="1" applyAlignment="1">
      <alignment horizontal="center"/>
    </xf>
    <xf numFmtId="0" fontId="0" fillId="4" borderId="23" xfId="0" applyFill="1" applyBorder="1" applyAlignment="1">
      <alignment horizontal="center"/>
    </xf>
    <xf numFmtId="0" fontId="0" fillId="4" borderId="26" xfId="0" applyFill="1" applyBorder="1" applyAlignment="1">
      <alignment horizontal="center"/>
    </xf>
    <xf numFmtId="1" fontId="0" fillId="4" borderId="8" xfId="0" applyNumberFormat="1" applyFill="1" applyBorder="1"/>
    <xf numFmtId="1" fontId="0" fillId="4" borderId="0" xfId="0" applyNumberFormat="1" applyFill="1" applyBorder="1"/>
    <xf numFmtId="0" fontId="0" fillId="4" borderId="9" xfId="0" applyFill="1" applyBorder="1" applyAlignment="1">
      <alignment horizontal="center"/>
    </xf>
    <xf numFmtId="164" fontId="0" fillId="4" borderId="8" xfId="0" applyNumberFormat="1" applyFont="1" applyFill="1" applyBorder="1" applyAlignment="1">
      <alignment horizontal="center"/>
    </xf>
    <xf numFmtId="1" fontId="0" fillId="4" borderId="29" xfId="0" applyNumberFormat="1" applyFill="1" applyBorder="1"/>
    <xf numFmtId="0" fontId="0" fillId="4" borderId="25" xfId="0" applyFill="1" applyBorder="1" applyAlignment="1">
      <alignment horizontal="center"/>
    </xf>
    <xf numFmtId="164" fontId="0" fillId="4" borderId="24" xfId="0" applyNumberFormat="1" applyFill="1" applyBorder="1" applyAlignment="1">
      <alignment horizontal="center"/>
    </xf>
    <xf numFmtId="0" fontId="0" fillId="4" borderId="0" xfId="0" applyFont="1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164" fontId="0" fillId="4" borderId="0" xfId="0" applyNumberFormat="1" applyFill="1" applyBorder="1" applyAlignment="1">
      <alignment horizontal="center"/>
    </xf>
    <xf numFmtId="166" fontId="0" fillId="2" borderId="0" xfId="0" applyNumberFormat="1" applyFill="1" applyBorder="1" applyAlignment="1">
      <alignment horizontal="center"/>
    </xf>
    <xf numFmtId="166" fontId="0" fillId="4" borderId="0" xfId="0" applyNumberFormat="1" applyFill="1" applyBorder="1" applyAlignment="1">
      <alignment horizontal="center"/>
    </xf>
    <xf numFmtId="164" fontId="0" fillId="5" borderId="0" xfId="0" applyNumberFormat="1" applyFill="1"/>
    <xf numFmtId="0" fontId="0" fillId="0" borderId="0" xfId="0" applyFont="1" applyFill="1" applyBorder="1" applyAlignment="1">
      <alignment horizontal="center"/>
    </xf>
    <xf numFmtId="0" fontId="0" fillId="0" borderId="16" xfId="0" applyFont="1" applyFill="1" applyBorder="1" applyAlignment="1">
      <alignment horizontal="center"/>
    </xf>
    <xf numFmtId="0" fontId="0" fillId="4" borderId="7" xfId="0" applyFont="1" applyFill="1" applyBorder="1" applyAlignment="1">
      <alignment horizontal="center"/>
    </xf>
    <xf numFmtId="0" fontId="0" fillId="4" borderId="0" xfId="0" applyNumberFormat="1" applyFont="1" applyFill="1" applyBorder="1" applyAlignment="1">
      <alignment horizontal="center"/>
    </xf>
    <xf numFmtId="0" fontId="0" fillId="4" borderId="8" xfId="0" applyNumberFormat="1" applyFont="1" applyFill="1" applyBorder="1" applyAlignment="1">
      <alignment horizontal="center"/>
    </xf>
    <xf numFmtId="1" fontId="0" fillId="4" borderId="10" xfId="0" applyNumberFormat="1" applyFill="1" applyBorder="1" applyAlignment="1">
      <alignment horizontal="center"/>
    </xf>
    <xf numFmtId="1" fontId="0" fillId="4" borderId="0" xfId="0" applyNumberFormat="1" applyFill="1" applyBorder="1" applyAlignment="1">
      <alignment horizontal="center"/>
    </xf>
    <xf numFmtId="0" fontId="0" fillId="4" borderId="22" xfId="0" applyFill="1" applyBorder="1" applyAlignment="1">
      <alignment horizontal="center"/>
    </xf>
    <xf numFmtId="0" fontId="0" fillId="4" borderId="23" xfId="0" applyNumberFormat="1" applyFont="1" applyFill="1" applyBorder="1" applyAlignment="1">
      <alignment horizontal="center"/>
    </xf>
    <xf numFmtId="0" fontId="0" fillId="4" borderId="24" xfId="0" applyNumberFormat="1" applyFont="1" applyFill="1" applyBorder="1" applyAlignment="1">
      <alignment horizontal="center"/>
    </xf>
    <xf numFmtId="2" fontId="0" fillId="4" borderId="23" xfId="0" applyNumberFormat="1" applyFill="1" applyBorder="1" applyAlignment="1">
      <alignment horizontal="center"/>
    </xf>
    <xf numFmtId="1" fontId="0" fillId="4" borderId="26" xfId="0" applyNumberFormat="1" applyFill="1" applyBorder="1" applyAlignment="1">
      <alignment horizontal="center"/>
    </xf>
    <xf numFmtId="1" fontId="0" fillId="4" borderId="23" xfId="0" applyNumberForma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left"/>
    </xf>
    <xf numFmtId="2" fontId="7" fillId="0" borderId="3" xfId="0" applyNumberFormat="1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left"/>
    </xf>
    <xf numFmtId="0" fontId="7" fillId="0" borderId="3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2" fontId="0" fillId="0" borderId="2" xfId="0" applyNumberFormat="1" applyFill="1" applyBorder="1" applyAlignment="1">
      <alignment horizontal="center"/>
    </xf>
    <xf numFmtId="2" fontId="0" fillId="0" borderId="3" xfId="0" applyNumberFormat="1" applyFill="1" applyBorder="1" applyAlignment="1">
      <alignment horizontal="center"/>
    </xf>
    <xf numFmtId="0" fontId="0" fillId="0" borderId="3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2" fontId="6" fillId="0" borderId="8" xfId="0" applyNumberFormat="1" applyFont="1" applyFill="1" applyBorder="1" applyAlignment="1">
      <alignment horizontal="center"/>
    </xf>
    <xf numFmtId="2" fontId="6" fillId="0" borderId="7" xfId="0" applyNumberFormat="1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164" fontId="6" fillId="0" borderId="0" xfId="0" applyNumberFormat="1" applyFont="1" applyFill="1" applyBorder="1" applyAlignment="1">
      <alignment horizontal="left"/>
    </xf>
    <xf numFmtId="2" fontId="0" fillId="0" borderId="0" xfId="0" applyNumberFormat="1" applyFill="1" applyBorder="1" applyAlignment="1">
      <alignment horizontal="center"/>
    </xf>
    <xf numFmtId="2" fontId="0" fillId="0" borderId="8" xfId="0" applyNumberFormat="1" applyFill="1" applyBorder="1" applyAlignment="1">
      <alignment horizontal="center"/>
    </xf>
    <xf numFmtId="164" fontId="6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  <xf numFmtId="164" fontId="0" fillId="0" borderId="8" xfId="0" applyNumberFormat="1" applyBorder="1" applyAlignment="1">
      <alignment horizontal="center"/>
    </xf>
    <xf numFmtId="166" fontId="6" fillId="0" borderId="0" xfId="0" applyNumberFormat="1" applyFont="1" applyBorder="1" applyAlignment="1">
      <alignment horizontal="left"/>
    </xf>
    <xf numFmtId="166" fontId="0" fillId="0" borderId="0" xfId="0" applyNumberFormat="1" applyBorder="1" applyAlignment="1">
      <alignment horizontal="center"/>
    </xf>
    <xf numFmtId="166" fontId="0" fillId="0" borderId="8" xfId="0" applyNumberFormat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2" fontId="7" fillId="0" borderId="7" xfId="0" applyNumberFormat="1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/>
    </xf>
    <xf numFmtId="0" fontId="0" fillId="0" borderId="8" xfId="0" applyFont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4" fontId="0" fillId="0" borderId="8" xfId="0" applyNumberFormat="1" applyFill="1" applyBorder="1" applyAlignment="1">
      <alignment horizontal="center"/>
    </xf>
    <xf numFmtId="0" fontId="7" fillId="0" borderId="12" xfId="0" applyFont="1" applyFill="1" applyBorder="1" applyAlignment="1">
      <alignment horizontal="center"/>
    </xf>
    <xf numFmtId="0" fontId="7" fillId="0" borderId="13" xfId="0" applyFont="1" applyFill="1" applyBorder="1" applyAlignment="1">
      <alignment horizontal="center"/>
    </xf>
    <xf numFmtId="0" fontId="7" fillId="0" borderId="13" xfId="0" applyFont="1" applyFill="1" applyBorder="1" applyAlignment="1">
      <alignment horizontal="left"/>
    </xf>
    <xf numFmtId="2" fontId="7" fillId="0" borderId="14" xfId="0" applyNumberFormat="1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/>
    </xf>
    <xf numFmtId="164" fontId="0" fillId="0" borderId="13" xfId="0" applyNumberFormat="1" applyFont="1" applyBorder="1" applyAlignment="1">
      <alignment horizontal="center"/>
    </xf>
    <xf numFmtId="2" fontId="0" fillId="0" borderId="13" xfId="0" applyNumberFormat="1" applyFill="1" applyBorder="1" applyAlignment="1">
      <alignment horizontal="center"/>
    </xf>
    <xf numFmtId="2" fontId="0" fillId="0" borderId="14" xfId="0" applyNumberFormat="1" applyFill="1" applyBorder="1" applyAlignment="1">
      <alignment horizontal="center"/>
    </xf>
    <xf numFmtId="1" fontId="0" fillId="0" borderId="14" xfId="0" applyNumberFormat="1" applyFont="1" applyBorder="1"/>
    <xf numFmtId="0" fontId="0" fillId="0" borderId="14" xfId="0" applyFont="1" applyBorder="1" applyAlignment="1">
      <alignment horizontal="center"/>
    </xf>
    <xf numFmtId="164" fontId="0" fillId="0" borderId="14" xfId="0" applyNumberFormat="1" applyFont="1" applyBorder="1" applyAlignment="1">
      <alignment horizontal="center"/>
    </xf>
    <xf numFmtId="166" fontId="0" fillId="0" borderId="13" xfId="0" applyNumberFormat="1" applyFont="1" applyBorder="1" applyAlignment="1">
      <alignment horizontal="center"/>
    </xf>
    <xf numFmtId="166" fontId="0" fillId="0" borderId="13" xfId="0" applyNumberFormat="1" applyBorder="1" applyAlignment="1">
      <alignment horizontal="center"/>
    </xf>
    <xf numFmtId="166" fontId="0" fillId="0" borderId="14" xfId="0" applyNumberFormat="1" applyFont="1" applyBorder="1" applyAlignment="1">
      <alignment horizontal="center"/>
    </xf>
    <xf numFmtId="16" fontId="6" fillId="0" borderId="7" xfId="0" applyNumberFormat="1" applyFont="1" applyFill="1" applyBorder="1" applyAlignment="1">
      <alignment horizontal="left"/>
    </xf>
    <xf numFmtId="2" fontId="7" fillId="0" borderId="8" xfId="0" applyNumberFormat="1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/>
    </xf>
    <xf numFmtId="164" fontId="7" fillId="0" borderId="0" xfId="0" applyNumberFormat="1" applyFont="1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49" fontId="0" fillId="4" borderId="0" xfId="0" applyNumberFormat="1" applyFill="1" applyBorder="1" applyAlignment="1">
      <alignment horizontal="center"/>
    </xf>
    <xf numFmtId="0" fontId="0" fillId="4" borderId="0" xfId="0" applyNumberFormat="1" applyFill="1" applyBorder="1" applyAlignment="1">
      <alignment horizontal="center"/>
    </xf>
    <xf numFmtId="2" fontId="7" fillId="4" borderId="8" xfId="0" applyNumberFormat="1" applyFont="1" applyFill="1" applyBorder="1" applyAlignment="1">
      <alignment horizontal="center"/>
    </xf>
    <xf numFmtId="2" fontId="7" fillId="4" borderId="7" xfId="0" applyNumberFormat="1" applyFont="1" applyFill="1" applyBorder="1" applyAlignment="1">
      <alignment horizontal="center"/>
    </xf>
    <xf numFmtId="164" fontId="7" fillId="4" borderId="0" xfId="0" applyNumberFormat="1" applyFont="1" applyFill="1" applyBorder="1" applyAlignment="1">
      <alignment horizontal="center"/>
    </xf>
    <xf numFmtId="1" fontId="7" fillId="4" borderId="8" xfId="0" applyNumberFormat="1" applyFont="1" applyFill="1" applyBorder="1" applyAlignment="1">
      <alignment horizontal="center"/>
    </xf>
    <xf numFmtId="1" fontId="7" fillId="4" borderId="0" xfId="0" applyNumberFormat="1" applyFont="1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2" fontId="0" fillId="4" borderId="8" xfId="0" applyNumberFormat="1" applyFill="1" applyBorder="1" applyAlignment="1">
      <alignment horizontal="center"/>
    </xf>
    <xf numFmtId="0" fontId="7" fillId="4" borderId="8" xfId="0" applyFont="1" applyFill="1" applyBorder="1" applyAlignment="1">
      <alignment horizontal="center"/>
    </xf>
    <xf numFmtId="0" fontId="7" fillId="4" borderId="0" xfId="0" applyFont="1" applyFill="1" applyBorder="1" applyAlignment="1">
      <alignment horizontal="center"/>
    </xf>
    <xf numFmtId="164" fontId="0" fillId="4" borderId="8" xfId="0" applyNumberFormat="1" applyFill="1" applyBorder="1" applyAlignment="1">
      <alignment horizontal="center"/>
    </xf>
    <xf numFmtId="0" fontId="7" fillId="4" borderId="30" xfId="0" applyFont="1" applyFill="1" applyBorder="1" applyAlignment="1">
      <alignment horizontal="center"/>
    </xf>
    <xf numFmtId="0" fontId="0" fillId="4" borderId="28" xfId="0" applyFill="1" applyBorder="1" applyAlignment="1">
      <alignment horizontal="center"/>
    </xf>
    <xf numFmtId="49" fontId="0" fillId="4" borderId="28" xfId="0" applyNumberFormat="1" applyFill="1" applyBorder="1" applyAlignment="1">
      <alignment horizontal="center"/>
    </xf>
    <xf numFmtId="0" fontId="0" fillId="4" borderId="28" xfId="0" applyNumberFormat="1" applyFill="1" applyBorder="1" applyAlignment="1">
      <alignment horizontal="center"/>
    </xf>
    <xf numFmtId="2" fontId="7" fillId="4" borderId="29" xfId="0" applyNumberFormat="1" applyFont="1" applyFill="1" applyBorder="1" applyAlignment="1">
      <alignment horizontal="center"/>
    </xf>
    <xf numFmtId="2" fontId="7" fillId="4" borderId="30" xfId="0" applyNumberFormat="1" applyFont="1" applyFill="1" applyBorder="1" applyAlignment="1">
      <alignment horizontal="center"/>
    </xf>
    <xf numFmtId="164" fontId="7" fillId="4" borderId="28" xfId="0" applyNumberFormat="1" applyFont="1" applyFill="1" applyBorder="1" applyAlignment="1">
      <alignment horizontal="center"/>
    </xf>
    <xf numFmtId="1" fontId="7" fillId="4" borderId="29" xfId="0" applyNumberFormat="1" applyFont="1" applyFill="1" applyBorder="1" applyAlignment="1">
      <alignment horizontal="center"/>
    </xf>
    <xf numFmtId="0" fontId="0" fillId="4" borderId="30" xfId="0" applyFill="1" applyBorder="1" applyAlignment="1">
      <alignment horizontal="center"/>
    </xf>
    <xf numFmtId="2" fontId="0" fillId="4" borderId="29" xfId="0" applyNumberFormat="1" applyFill="1" applyBorder="1" applyAlignment="1">
      <alignment horizontal="center"/>
    </xf>
    <xf numFmtId="0" fontId="7" fillId="4" borderId="29" xfId="0" applyFont="1" applyFill="1" applyBorder="1" applyAlignment="1">
      <alignment horizontal="center"/>
    </xf>
    <xf numFmtId="164" fontId="0" fillId="4" borderId="29" xfId="0" applyNumberFormat="1" applyFill="1" applyBorder="1" applyAlignment="1">
      <alignment horizontal="center"/>
    </xf>
    <xf numFmtId="1" fontId="0" fillId="2" borderId="0" xfId="0" applyNumberFormat="1" applyFill="1" applyBorder="1" applyAlignment="1">
      <alignment horizontal="center"/>
    </xf>
    <xf numFmtId="1" fontId="0" fillId="0" borderId="0" xfId="0" applyNumberForma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nl-NL" sz="1200" baseline="0"/>
              <a:t>Water-layer thickness on landward-side slope</a:t>
            </a:r>
            <a:endParaRPr lang="nl-NL" sz="1200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A</c:v>
          </c:tx>
          <c:spPr>
            <a:ln w="28575">
              <a:noFill/>
            </a:ln>
          </c:spPr>
          <c:marker>
            <c:symbol val="diamond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vG_landward!$BA$5:$BA$22</c:f>
              <c:numCache>
                <c:formatCode>General</c:formatCode>
                <c:ptCount val="18"/>
                <c:pt idx="0">
                  <c:v>2.5928813898202927E-2</c:v>
                </c:pt>
                <c:pt idx="2">
                  <c:v>3.5729065249619871E-2</c:v>
                </c:pt>
                <c:pt idx="3">
                  <c:v>2.349474865656178E-2</c:v>
                </c:pt>
                <c:pt idx="4">
                  <c:v>5.1716071519263877E-2</c:v>
                </c:pt>
                <c:pt idx="5">
                  <c:v>3.307547669900749E-2</c:v>
                </c:pt>
                <c:pt idx="6">
                  <c:v>2.1898279520091199E-2</c:v>
                </c:pt>
                <c:pt idx="7">
                  <c:v>5.3993842626672894E-2</c:v>
                </c:pt>
                <c:pt idx="8">
                  <c:v>3.6212770702909285E-2</c:v>
                </c:pt>
                <c:pt idx="9">
                  <c:v>6.8260088369946612E-2</c:v>
                </c:pt>
                <c:pt idx="10">
                  <c:v>4.5255777259936639E-2</c:v>
                </c:pt>
                <c:pt idx="11">
                  <c:v>3.814465656859771E-2</c:v>
                </c:pt>
                <c:pt idx="12">
                  <c:v>3.2575515029730606E-2</c:v>
                </c:pt>
                <c:pt idx="13">
                  <c:v>3.1634183984412804E-2</c:v>
                </c:pt>
                <c:pt idx="14">
                  <c:v>2.8476319091310681E-2</c:v>
                </c:pt>
                <c:pt idx="15">
                  <c:v>2.4657225392810182E-2</c:v>
                </c:pt>
                <c:pt idx="16">
                  <c:v>1.9052185454914345E-2</c:v>
                </c:pt>
                <c:pt idx="17">
                  <c:v>1.8056852730830065E-2</c:v>
                </c:pt>
              </c:numCache>
            </c:numRef>
          </c:xVal>
          <c:yVal>
            <c:numRef>
              <c:f>vG_landward!$AK$5:$AK$22</c:f>
              <c:numCache>
                <c:formatCode>General</c:formatCode>
                <c:ptCount val="18"/>
                <c:pt idx="0">
                  <c:v>2.0833333333333336E-2</c:v>
                </c:pt>
                <c:pt idx="2">
                  <c:v>4.8666666666666671E-2</c:v>
                </c:pt>
                <c:pt idx="3">
                  <c:v>1.3380281690140846E-2</c:v>
                </c:pt>
                <c:pt idx="4">
                  <c:v>8.6928104575163409E-2</c:v>
                </c:pt>
                <c:pt idx="5">
                  <c:v>3.03448275862069E-2</c:v>
                </c:pt>
                <c:pt idx="6">
                  <c:v>1.2318840579710144E-2</c:v>
                </c:pt>
                <c:pt idx="7">
                  <c:v>5.8503401360544223E-2</c:v>
                </c:pt>
                <c:pt idx="8">
                  <c:v>3.428571428571428E-2</c:v>
                </c:pt>
                <c:pt idx="9">
                  <c:v>7.2916666666666671E-2</c:v>
                </c:pt>
                <c:pt idx="10">
                  <c:v>4.6052631578947373E-2</c:v>
                </c:pt>
                <c:pt idx="11">
                  <c:v>3.8513513513513516E-2</c:v>
                </c:pt>
                <c:pt idx="12">
                  <c:v>3.1654676258992806E-2</c:v>
                </c:pt>
                <c:pt idx="13">
                  <c:v>2.5384615384615384E-2</c:v>
                </c:pt>
                <c:pt idx="14">
                  <c:v>2.323943661971831E-2</c:v>
                </c:pt>
                <c:pt idx="15">
                  <c:v>2.0289855072463767E-2</c:v>
                </c:pt>
                <c:pt idx="16">
                  <c:v>9.0225563909774424E-3</c:v>
                </c:pt>
                <c:pt idx="17">
                  <c:v>8.7301587301587304E-3</c:v>
                </c:pt>
              </c:numCache>
            </c:numRef>
          </c:yVal>
          <c:smooth val="0"/>
        </c:ser>
        <c:ser>
          <c:idx val="0"/>
          <c:order val="1"/>
          <c:spPr>
            <a:ln w="28575">
              <a:noFill/>
            </a:ln>
          </c:spPr>
          <c:marker>
            <c:symbol val="diamond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vG_landward!$BB$5:$BB$22</c:f>
              <c:numCache>
                <c:formatCode>General</c:formatCode>
                <c:ptCount val="18"/>
                <c:pt idx="0">
                  <c:v>2.1960117893375947E-2</c:v>
                </c:pt>
                <c:pt idx="2">
                  <c:v>3.0500421554553545E-2</c:v>
                </c:pt>
                <c:pt idx="3">
                  <c:v>1.9842715186629896E-2</c:v>
                </c:pt>
                <c:pt idx="4">
                  <c:v>4.431042881960795E-2</c:v>
                </c:pt>
                <c:pt idx="5">
                  <c:v>2.805135365612027E-2</c:v>
                </c:pt>
                <c:pt idx="6">
                  <c:v>1.8385186548953575E-2</c:v>
                </c:pt>
                <c:pt idx="7">
                  <c:v>4.5914963430661988E-2</c:v>
                </c:pt>
                <c:pt idx="8">
                  <c:v>3.0494964802449922E-2</c:v>
                </c:pt>
                <c:pt idx="9">
                  <c:v>5.7812115660260892E-2</c:v>
                </c:pt>
                <c:pt idx="10">
                  <c:v>3.8728501693599621E-2</c:v>
                </c:pt>
                <c:pt idx="11">
                  <c:v>3.2479608563360421E-2</c:v>
                </c:pt>
                <c:pt idx="12">
                  <c:v>2.7391082929508224E-2</c:v>
                </c:pt>
                <c:pt idx="13">
                  <c:v>2.6211181015656324E-2</c:v>
                </c:pt>
                <c:pt idx="14">
                  <c:v>2.4049948248101766E-2</c:v>
                </c:pt>
                <c:pt idx="15">
                  <c:v>2.070152078433796E-2</c:v>
                </c:pt>
                <c:pt idx="16">
                  <c:v>1.5867976186683536E-2</c:v>
                </c:pt>
                <c:pt idx="17">
                  <c:v>1.4851494257901651E-2</c:v>
                </c:pt>
              </c:numCache>
            </c:numRef>
          </c:xVal>
          <c:yVal>
            <c:numRef>
              <c:f>vG_landward!$AM$5:$AM$22</c:f>
              <c:numCache>
                <c:formatCode>General</c:formatCode>
                <c:ptCount val="18"/>
                <c:pt idx="0">
                  <c:v>1.8055555555555557E-2</c:v>
                </c:pt>
                <c:pt idx="2">
                  <c:v>3.8000000000000006E-2</c:v>
                </c:pt>
                <c:pt idx="3">
                  <c:v>1.4084507042253523E-2</c:v>
                </c:pt>
                <c:pt idx="4">
                  <c:v>7.4509803921568626E-2</c:v>
                </c:pt>
                <c:pt idx="5">
                  <c:v>2.6206896551724139E-2</c:v>
                </c:pt>
                <c:pt idx="6">
                  <c:v>1.5942028985507246E-2</c:v>
                </c:pt>
                <c:pt idx="7">
                  <c:v>4.3537414965986398E-2</c:v>
                </c:pt>
                <c:pt idx="8">
                  <c:v>2.7857142857142855E-2</c:v>
                </c:pt>
                <c:pt idx="9">
                  <c:v>5.9722222222222225E-2</c:v>
                </c:pt>
                <c:pt idx="10">
                  <c:v>3.8815789473684213E-2</c:v>
                </c:pt>
                <c:pt idx="11">
                  <c:v>3.3108108108108117E-2</c:v>
                </c:pt>
                <c:pt idx="12">
                  <c:v>2.8776978417266185E-2</c:v>
                </c:pt>
                <c:pt idx="13">
                  <c:v>2.6153846153846153E-2</c:v>
                </c:pt>
                <c:pt idx="14">
                  <c:v>2.1126760563380285E-2</c:v>
                </c:pt>
                <c:pt idx="15">
                  <c:v>1.8840579710144925E-2</c:v>
                </c:pt>
                <c:pt idx="16">
                  <c:v>9.7744360902255623E-3</c:v>
                </c:pt>
                <c:pt idx="17">
                  <c:v>1.0317460317460317E-2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marker>
            <c:symbol val="diamond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vG_landward!$BC$5:$BC$20</c:f>
              <c:numCache>
                <c:formatCode>General</c:formatCode>
                <c:ptCount val="16"/>
                <c:pt idx="0">
                  <c:v>1.7991421888548968E-2</c:v>
                </c:pt>
                <c:pt idx="2">
                  <c:v>2.5271777859487223E-2</c:v>
                </c:pt>
                <c:pt idx="3">
                  <c:v>1.6190681716698012E-2</c:v>
                </c:pt>
                <c:pt idx="4">
                  <c:v>3.6904786119952022E-2</c:v>
                </c:pt>
                <c:pt idx="5">
                  <c:v>2.3027230613233054E-2</c:v>
                </c:pt>
                <c:pt idx="6">
                  <c:v>1.4872093577815947E-2</c:v>
                </c:pt>
                <c:pt idx="7">
                  <c:v>3.7836084234651075E-2</c:v>
                </c:pt>
                <c:pt idx="8">
                  <c:v>2.4777158901990563E-2</c:v>
                </c:pt>
                <c:pt idx="9">
                  <c:v>4.7364142950575186E-2</c:v>
                </c:pt>
                <c:pt idx="10">
                  <c:v>3.2201226127262603E-2</c:v>
                </c:pt>
                <c:pt idx="11">
                  <c:v>2.6814560558123136E-2</c:v>
                </c:pt>
                <c:pt idx="12">
                  <c:v>2.2206650829285846E-2</c:v>
                </c:pt>
                <c:pt idx="13">
                  <c:v>2.0788178046899843E-2</c:v>
                </c:pt>
                <c:pt idx="14">
                  <c:v>1.9623577404892852E-2</c:v>
                </c:pt>
                <c:pt idx="15">
                  <c:v>1.6745816175865739E-2</c:v>
                </c:pt>
              </c:numCache>
            </c:numRef>
          </c:xVal>
          <c:yVal>
            <c:numRef>
              <c:f>vG_landward!$AO$5:$AO$20</c:f>
              <c:numCache>
                <c:formatCode>General</c:formatCode>
                <c:ptCount val="16"/>
                <c:pt idx="0">
                  <c:v>1.5277777777777779E-2</c:v>
                </c:pt>
                <c:pt idx="2">
                  <c:v>2.8666666666666667E-2</c:v>
                </c:pt>
                <c:pt idx="3">
                  <c:v>1.1971830985915493E-2</c:v>
                </c:pt>
                <c:pt idx="4">
                  <c:v>5.4248366013071897E-2</c:v>
                </c:pt>
                <c:pt idx="5">
                  <c:v>2.4827586206896554E-2</c:v>
                </c:pt>
                <c:pt idx="6">
                  <c:v>1.0144927536231883E-2</c:v>
                </c:pt>
                <c:pt idx="7">
                  <c:v>3.7414965986394558E-2</c:v>
                </c:pt>
                <c:pt idx="8">
                  <c:v>1.9999999999999997E-2</c:v>
                </c:pt>
                <c:pt idx="9">
                  <c:v>4.1666666666666671E-2</c:v>
                </c:pt>
                <c:pt idx="10">
                  <c:v>3.0263157894736843E-2</c:v>
                </c:pt>
                <c:pt idx="11">
                  <c:v>2.9054054054054056E-2</c:v>
                </c:pt>
                <c:pt idx="12">
                  <c:v>2.6618705035971222E-2</c:v>
                </c:pt>
                <c:pt idx="13">
                  <c:v>2.6153846153846153E-2</c:v>
                </c:pt>
                <c:pt idx="14">
                  <c:v>1.5492957746478875E-2</c:v>
                </c:pt>
                <c:pt idx="15">
                  <c:v>1.5217391304347827E-2</c:v>
                </c:pt>
              </c:numCache>
            </c:numRef>
          </c:yVal>
          <c:smooth val="0"/>
        </c:ser>
        <c:ser>
          <c:idx val="6"/>
          <c:order val="3"/>
          <c:tx>
            <c:v>C</c:v>
          </c:tx>
          <c:spPr>
            <a:ln w="28575">
              <a:noFill/>
            </a:ln>
          </c:spPr>
          <c:marker>
            <c:symbol val="triang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vG_landward!$BA$5:$BA$22</c:f>
              <c:numCache>
                <c:formatCode>General</c:formatCode>
                <c:ptCount val="18"/>
                <c:pt idx="0">
                  <c:v>2.5928813898202927E-2</c:v>
                </c:pt>
                <c:pt idx="2">
                  <c:v>3.5729065249619871E-2</c:v>
                </c:pt>
                <c:pt idx="3">
                  <c:v>2.349474865656178E-2</c:v>
                </c:pt>
                <c:pt idx="4">
                  <c:v>5.1716071519263877E-2</c:v>
                </c:pt>
                <c:pt idx="5">
                  <c:v>3.307547669900749E-2</c:v>
                </c:pt>
                <c:pt idx="6">
                  <c:v>2.1898279520091199E-2</c:v>
                </c:pt>
                <c:pt idx="7">
                  <c:v>5.3993842626672894E-2</c:v>
                </c:pt>
                <c:pt idx="8">
                  <c:v>3.6212770702909285E-2</c:v>
                </c:pt>
                <c:pt idx="9">
                  <c:v>6.8260088369946612E-2</c:v>
                </c:pt>
                <c:pt idx="10">
                  <c:v>4.5255777259936639E-2</c:v>
                </c:pt>
                <c:pt idx="11">
                  <c:v>3.814465656859771E-2</c:v>
                </c:pt>
                <c:pt idx="12">
                  <c:v>3.2575515029730606E-2</c:v>
                </c:pt>
                <c:pt idx="13">
                  <c:v>3.1634183984412804E-2</c:v>
                </c:pt>
                <c:pt idx="14">
                  <c:v>2.8476319091310681E-2</c:v>
                </c:pt>
                <c:pt idx="15">
                  <c:v>2.4657225392810182E-2</c:v>
                </c:pt>
                <c:pt idx="16">
                  <c:v>1.9052185454914345E-2</c:v>
                </c:pt>
                <c:pt idx="17">
                  <c:v>1.8056852730830065E-2</c:v>
                </c:pt>
              </c:numCache>
            </c:numRef>
          </c:xVal>
          <c:yVal>
            <c:numRef>
              <c:f>vG_landward!$AK$49:$AK$66</c:f>
              <c:numCache>
                <c:formatCode>General</c:formatCode>
                <c:ptCount val="18"/>
                <c:pt idx="0">
                  <c:v>1.9444444444444445E-2</c:v>
                </c:pt>
                <c:pt idx="2">
                  <c:v>4.6000000000000006E-2</c:v>
                </c:pt>
                <c:pt idx="4">
                  <c:v>7.3856209150326799E-2</c:v>
                </c:pt>
                <c:pt idx="5">
                  <c:v>3.3793103448275873E-2</c:v>
                </c:pt>
                <c:pt idx="7">
                  <c:v>5.3741496598639464E-2</c:v>
                </c:pt>
                <c:pt idx="8">
                  <c:v>2.4285714285714282E-2</c:v>
                </c:pt>
                <c:pt idx="9">
                  <c:v>7.013888888888889E-2</c:v>
                </c:pt>
                <c:pt idx="10">
                  <c:v>4.9342105263157895E-2</c:v>
                </c:pt>
                <c:pt idx="11">
                  <c:v>4.0540540540540543E-2</c:v>
                </c:pt>
                <c:pt idx="12">
                  <c:v>4.1007194244604313E-2</c:v>
                </c:pt>
                <c:pt idx="13">
                  <c:v>2.923076923076923E-2</c:v>
                </c:pt>
                <c:pt idx="14">
                  <c:v>1.7605633802816902E-2</c:v>
                </c:pt>
                <c:pt idx="15">
                  <c:v>1.7391304347826084E-2</c:v>
                </c:pt>
              </c:numCache>
            </c:numRef>
          </c:yVal>
          <c:smooth val="0"/>
        </c:ser>
        <c:ser>
          <c:idx val="7"/>
          <c:order val="4"/>
          <c:spPr>
            <a:ln w="28575">
              <a:noFill/>
            </a:ln>
          </c:spPr>
          <c:marker>
            <c:symbol val="triang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vG_landward!$BB$5:$BB$22</c:f>
              <c:numCache>
                <c:formatCode>General</c:formatCode>
                <c:ptCount val="18"/>
                <c:pt idx="0">
                  <c:v>2.1960117893375947E-2</c:v>
                </c:pt>
                <c:pt idx="2">
                  <c:v>3.0500421554553545E-2</c:v>
                </c:pt>
                <c:pt idx="3">
                  <c:v>1.9842715186629896E-2</c:v>
                </c:pt>
                <c:pt idx="4">
                  <c:v>4.431042881960795E-2</c:v>
                </c:pt>
                <c:pt idx="5">
                  <c:v>2.805135365612027E-2</c:v>
                </c:pt>
                <c:pt idx="6">
                  <c:v>1.8385186548953575E-2</c:v>
                </c:pt>
                <c:pt idx="7">
                  <c:v>4.5914963430661988E-2</c:v>
                </c:pt>
                <c:pt idx="8">
                  <c:v>3.0494964802449922E-2</c:v>
                </c:pt>
                <c:pt idx="9">
                  <c:v>5.7812115660260892E-2</c:v>
                </c:pt>
                <c:pt idx="10">
                  <c:v>3.8728501693599621E-2</c:v>
                </c:pt>
                <c:pt idx="11">
                  <c:v>3.2479608563360421E-2</c:v>
                </c:pt>
                <c:pt idx="12">
                  <c:v>2.7391082929508224E-2</c:v>
                </c:pt>
                <c:pt idx="13">
                  <c:v>2.6211181015656324E-2</c:v>
                </c:pt>
                <c:pt idx="14">
                  <c:v>2.4049948248101766E-2</c:v>
                </c:pt>
                <c:pt idx="15">
                  <c:v>2.070152078433796E-2</c:v>
                </c:pt>
                <c:pt idx="16">
                  <c:v>1.5867976186683536E-2</c:v>
                </c:pt>
                <c:pt idx="17">
                  <c:v>1.4851494257901651E-2</c:v>
                </c:pt>
              </c:numCache>
            </c:numRef>
          </c:xVal>
          <c:yVal>
            <c:numRef>
              <c:f>vG_landward!$AM$49:$AM$66</c:f>
              <c:numCache>
                <c:formatCode>General</c:formatCode>
                <c:ptCount val="18"/>
                <c:pt idx="0">
                  <c:v>1.9444444444444445E-2</c:v>
                </c:pt>
                <c:pt idx="2">
                  <c:v>3.8000000000000006E-2</c:v>
                </c:pt>
                <c:pt idx="3">
                  <c:v>1.1971830985915493E-2</c:v>
                </c:pt>
                <c:pt idx="4">
                  <c:v>5.8169934640522877E-2</c:v>
                </c:pt>
                <c:pt idx="5">
                  <c:v>2.9655172413793104E-2</c:v>
                </c:pt>
                <c:pt idx="6">
                  <c:v>8.6956521739130418E-3</c:v>
                </c:pt>
                <c:pt idx="7">
                  <c:v>4.3537414965986398E-2</c:v>
                </c:pt>
                <c:pt idx="8">
                  <c:v>2.4285714285714282E-2</c:v>
                </c:pt>
                <c:pt idx="9">
                  <c:v>4.6527777777777786E-2</c:v>
                </c:pt>
                <c:pt idx="10">
                  <c:v>4.0131578947368421E-2</c:v>
                </c:pt>
                <c:pt idx="11">
                  <c:v>3.4459459459459454E-2</c:v>
                </c:pt>
                <c:pt idx="12">
                  <c:v>3.2374100719424453E-2</c:v>
                </c:pt>
                <c:pt idx="13">
                  <c:v>2.769230769230769E-2</c:v>
                </c:pt>
                <c:pt idx="14">
                  <c:v>1.6901408450704224E-2</c:v>
                </c:pt>
                <c:pt idx="15">
                  <c:v>1.6666666666666666E-2</c:v>
                </c:pt>
              </c:numCache>
            </c:numRef>
          </c:yVal>
          <c:smooth val="0"/>
        </c:ser>
        <c:ser>
          <c:idx val="8"/>
          <c:order val="5"/>
          <c:spPr>
            <a:ln w="28575">
              <a:noFill/>
            </a:ln>
          </c:spPr>
          <c:marker>
            <c:symbol val="triang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vG_landward!$BC$5:$BC$22</c:f>
              <c:numCache>
                <c:formatCode>General</c:formatCode>
                <c:ptCount val="18"/>
                <c:pt idx="0">
                  <c:v>1.7991421888548968E-2</c:v>
                </c:pt>
                <c:pt idx="2">
                  <c:v>2.5271777859487223E-2</c:v>
                </c:pt>
                <c:pt idx="3">
                  <c:v>1.6190681716698012E-2</c:v>
                </c:pt>
                <c:pt idx="4">
                  <c:v>3.6904786119952022E-2</c:v>
                </c:pt>
                <c:pt idx="5">
                  <c:v>2.3027230613233054E-2</c:v>
                </c:pt>
                <c:pt idx="6">
                  <c:v>1.4872093577815947E-2</c:v>
                </c:pt>
                <c:pt idx="7">
                  <c:v>3.7836084234651075E-2</c:v>
                </c:pt>
                <c:pt idx="8">
                  <c:v>2.4777158901990563E-2</c:v>
                </c:pt>
                <c:pt idx="9">
                  <c:v>4.7364142950575186E-2</c:v>
                </c:pt>
                <c:pt idx="10">
                  <c:v>3.2201226127262603E-2</c:v>
                </c:pt>
                <c:pt idx="11">
                  <c:v>2.6814560558123136E-2</c:v>
                </c:pt>
                <c:pt idx="12">
                  <c:v>2.2206650829285846E-2</c:v>
                </c:pt>
                <c:pt idx="13">
                  <c:v>2.0788178046899843E-2</c:v>
                </c:pt>
                <c:pt idx="14">
                  <c:v>1.9623577404892852E-2</c:v>
                </c:pt>
                <c:pt idx="15">
                  <c:v>1.6745816175865739E-2</c:v>
                </c:pt>
              </c:numCache>
            </c:numRef>
          </c:xVal>
          <c:yVal>
            <c:numRef>
              <c:f>vG_landward!$AO$49:$AO$66</c:f>
              <c:numCache>
                <c:formatCode>General</c:formatCode>
                <c:ptCount val="18"/>
                <c:pt idx="0">
                  <c:v>1.5972222222222224E-2</c:v>
                </c:pt>
                <c:pt idx="2">
                  <c:v>3.3999999999999996E-2</c:v>
                </c:pt>
                <c:pt idx="3">
                  <c:v>9.8591549295774655E-3</c:v>
                </c:pt>
                <c:pt idx="4">
                  <c:v>5.1633986928104579E-2</c:v>
                </c:pt>
                <c:pt idx="5">
                  <c:v>2.9655172413793104E-2</c:v>
                </c:pt>
                <c:pt idx="7">
                  <c:v>3.6054421768707483E-2</c:v>
                </c:pt>
                <c:pt idx="8">
                  <c:v>2.1428571428571425E-2</c:v>
                </c:pt>
                <c:pt idx="9">
                  <c:v>4.4444444444444453E-2</c:v>
                </c:pt>
                <c:pt idx="10">
                  <c:v>3.6842105263157898E-2</c:v>
                </c:pt>
                <c:pt idx="11">
                  <c:v>3.2432432432432434E-2</c:v>
                </c:pt>
                <c:pt idx="12">
                  <c:v>3.1654676258992806E-2</c:v>
                </c:pt>
                <c:pt idx="13">
                  <c:v>2.3076923076923078E-2</c:v>
                </c:pt>
                <c:pt idx="14">
                  <c:v>1.4084507042253523E-2</c:v>
                </c:pt>
                <c:pt idx="15">
                  <c:v>1.5217391304347827E-2</c:v>
                </c:pt>
              </c:numCache>
            </c:numRef>
          </c:yVal>
          <c:smooth val="0"/>
        </c:ser>
        <c:ser>
          <c:idx val="3"/>
          <c:order val="6"/>
          <c:spPr>
            <a:ln w="12700">
              <a:solidFill>
                <a:schemeClr val="tx1"/>
              </a:solidFill>
            </a:ln>
          </c:spPr>
          <c:marker>
            <c:symbol val="none"/>
          </c:marker>
          <c:dPt>
            <c:idx val="1"/>
            <c:bubble3D val="0"/>
            <c:spPr>
              <a:ln w="19050">
                <a:solidFill>
                  <a:schemeClr val="tx1"/>
                </a:solidFill>
              </a:ln>
            </c:spPr>
          </c:dPt>
          <c:xVal>
            <c:numRef>
              <c:f>vG_landward!$BH$69:$BH$70</c:f>
              <c:numCache>
                <c:formatCode>General</c:formatCode>
                <c:ptCount val="2"/>
                <c:pt idx="0">
                  <c:v>0</c:v>
                </c:pt>
                <c:pt idx="1">
                  <c:v>0.2</c:v>
                </c:pt>
              </c:numCache>
            </c:numRef>
          </c:xVal>
          <c:yVal>
            <c:numRef>
              <c:f>vG_landward!$BI$69:$BI$70</c:f>
              <c:numCache>
                <c:formatCode>General</c:formatCode>
                <c:ptCount val="2"/>
                <c:pt idx="0">
                  <c:v>0</c:v>
                </c:pt>
                <c:pt idx="1">
                  <c:v>0.2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26464"/>
        <c:axId val="72532352"/>
      </c:scatterChart>
      <c:valAx>
        <c:axId val="72526464"/>
        <c:scaling>
          <c:orientation val="minMax"/>
          <c:max val="0.1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h</a:t>
                </a:r>
                <a:r>
                  <a:rPr lang="nl-NL" baseline="-25000"/>
                  <a:t>yC </a:t>
                </a:r>
                <a:r>
                  <a:rPr lang="nl-NL"/>
                  <a:t>/ H</a:t>
                </a:r>
                <a:r>
                  <a:rPr lang="nl-NL" baseline="-25000"/>
                  <a:t>m0 </a:t>
                </a:r>
                <a:r>
                  <a:rPr lang="nl-NL" baseline="0"/>
                  <a:t>com. by Trung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72532352"/>
        <c:crosses val="autoZero"/>
        <c:crossBetween val="midCat"/>
        <c:majorUnit val="2.0000000000000004E-2"/>
      </c:valAx>
      <c:valAx>
        <c:axId val="72532352"/>
        <c:scaling>
          <c:orientation val="minMax"/>
          <c:max val="0.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h</a:t>
                </a:r>
                <a:r>
                  <a:rPr lang="nl-NL" baseline="-25000"/>
                  <a:t>yC</a:t>
                </a:r>
                <a:r>
                  <a:rPr lang="nl-NL"/>
                  <a:t> / </a:t>
                </a:r>
                <a:r>
                  <a:rPr lang="nl-NL" sz="1200" b="0" i="0" u="none" strike="noStrike" baseline="0">
                    <a:effectLst/>
                  </a:rPr>
                  <a:t>H</a:t>
                </a:r>
                <a:r>
                  <a:rPr lang="nl-NL" sz="1200" b="0" i="0" u="none" strike="noStrike" baseline="-25000">
                    <a:effectLst/>
                  </a:rPr>
                  <a:t>m0 </a:t>
                </a:r>
                <a:r>
                  <a:rPr lang="nl-NL" sz="1200" b="0" i="0" u="none" strike="noStrike" baseline="0">
                    <a:effectLst/>
                  </a:rPr>
                  <a:t>mea. van Gent</a:t>
                </a:r>
                <a:endParaRPr lang="nl-NL" baseline="0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72526464"/>
        <c:crosses val="autoZero"/>
        <c:crossBetween val="midCat"/>
        <c:majorUnit val="2.0000000000000004E-2"/>
      </c:valAx>
    </c:plotArea>
    <c:legend>
      <c:legendPos val="r"/>
      <c:legendEntry>
        <c:idx val="1"/>
        <c:delete val="1"/>
      </c:legendEntry>
      <c:legendEntry>
        <c:idx val="2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overlay val="0"/>
    </c:legend>
    <c:plotVisOnly val="1"/>
    <c:dispBlanksAs val="gap"/>
    <c:showDLblsOverMax val="0"/>
  </c:chart>
  <c:txPr>
    <a:bodyPr/>
    <a:lstStyle/>
    <a:p>
      <a:pPr>
        <a:defRPr sz="1200" b="0">
          <a:latin typeface="Arial" pitchFamily="34" charset="0"/>
          <a:cs typeface="Arial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nl-NL" sz="1200"/>
              <a:t>Overtopping volume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A</c:v>
          </c:tx>
          <c:spPr>
            <a:ln w="28575">
              <a:noFill/>
            </a:ln>
          </c:spPr>
          <c:marker>
            <c:symbol val="diamond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vG_crest!$BA$6:$BA$23</c:f>
              <c:numCache>
                <c:formatCode>General</c:formatCode>
                <c:ptCount val="18"/>
                <c:pt idx="0">
                  <c:v>0.84355304429730171</c:v>
                </c:pt>
                <c:pt idx="1">
                  <c:v>0.19430690946620061</c:v>
                </c:pt>
                <c:pt idx="2">
                  <c:v>1.4590905095342972</c:v>
                </c:pt>
                <c:pt idx="3">
                  <c:v>0.57183657329970961</c:v>
                </c:pt>
                <c:pt idx="4">
                  <c:v>2.2883493628710077</c:v>
                </c:pt>
                <c:pt idx="5">
                  <c:v>1.0891033827677981</c:v>
                </c:pt>
                <c:pt idx="6">
                  <c:v>0.41709675079559738</c:v>
                </c:pt>
                <c:pt idx="7">
                  <c:v>1.8838141183719308</c:v>
                </c:pt>
                <c:pt idx="8">
                  <c:v>1.0173913623868354</c:v>
                </c:pt>
                <c:pt idx="9">
                  <c:v>1.7672599515030434</c:v>
                </c:pt>
                <c:pt idx="10">
                  <c:v>1.8713279867028025</c:v>
                </c:pt>
                <c:pt idx="11">
                  <c:v>1.4909654797575491</c:v>
                </c:pt>
                <c:pt idx="12">
                  <c:v>1.2208648824988706</c:v>
                </c:pt>
                <c:pt idx="13">
                  <c:v>1.2554891747160839</c:v>
                </c:pt>
                <c:pt idx="14">
                  <c:v>0.81566296986787723</c:v>
                </c:pt>
                <c:pt idx="15">
                  <c:v>0.6375285825649748</c:v>
                </c:pt>
                <c:pt idx="16">
                  <c:v>0.29764113583019575</c:v>
                </c:pt>
                <c:pt idx="17">
                  <c:v>0.25367187949860964</c:v>
                </c:pt>
              </c:numCache>
            </c:numRef>
          </c:xVal>
          <c:yVal>
            <c:numRef>
              <c:f>vG_crest!$AW$6:$AW$23</c:f>
              <c:numCache>
                <c:formatCode>General</c:formatCode>
                <c:ptCount val="18"/>
                <c:pt idx="0">
                  <c:v>0.28452932098765438</c:v>
                </c:pt>
                <c:pt idx="2">
                  <c:v>0.48444444444444446</c:v>
                </c:pt>
                <c:pt idx="3">
                  <c:v>0.21672287244594327</c:v>
                </c:pt>
                <c:pt idx="4">
                  <c:v>0.86846939211414409</c:v>
                </c:pt>
                <c:pt idx="5">
                  <c:v>0.37764565992865645</c:v>
                </c:pt>
                <c:pt idx="6">
                  <c:v>0.19008611636210879</c:v>
                </c:pt>
                <c:pt idx="7">
                  <c:v>0.5928085519922256</c:v>
                </c:pt>
                <c:pt idx="8">
                  <c:v>0.32602040816326527</c:v>
                </c:pt>
                <c:pt idx="9">
                  <c:v>0.77353395061728403</c:v>
                </c:pt>
                <c:pt idx="10">
                  <c:v>0.49601800554016628</c:v>
                </c:pt>
                <c:pt idx="11">
                  <c:v>0.42960189919649389</c:v>
                </c:pt>
                <c:pt idx="12">
                  <c:v>0.43890067801873595</c:v>
                </c:pt>
                <c:pt idx="13">
                  <c:v>0.40295857988165673</c:v>
                </c:pt>
                <c:pt idx="14">
                  <c:v>0.26532434040864911</c:v>
                </c:pt>
                <c:pt idx="15">
                  <c:v>0.27987817685360211</c:v>
                </c:pt>
                <c:pt idx="16">
                  <c:v>0.10458477019616709</c:v>
                </c:pt>
                <c:pt idx="17">
                  <c:v>0.17888636936255981</c:v>
                </c:pt>
              </c:numCache>
            </c:numRef>
          </c:yVal>
          <c:smooth val="0"/>
        </c:ser>
        <c:ser>
          <c:idx val="0"/>
          <c:order val="1"/>
          <c:tx>
            <c:v>B</c:v>
          </c:tx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vG_crest!$BA$6:$BA$23</c:f>
              <c:numCache>
                <c:formatCode>General</c:formatCode>
                <c:ptCount val="18"/>
                <c:pt idx="0">
                  <c:v>0.84355304429730171</c:v>
                </c:pt>
                <c:pt idx="1">
                  <c:v>0.19430690946620061</c:v>
                </c:pt>
                <c:pt idx="2">
                  <c:v>1.4590905095342972</c:v>
                </c:pt>
                <c:pt idx="3">
                  <c:v>0.57183657329970961</c:v>
                </c:pt>
                <c:pt idx="4">
                  <c:v>2.2883493628710077</c:v>
                </c:pt>
                <c:pt idx="5">
                  <c:v>1.0891033827677981</c:v>
                </c:pt>
                <c:pt idx="6">
                  <c:v>0.41709675079559738</c:v>
                </c:pt>
                <c:pt idx="7">
                  <c:v>1.8838141183719308</c:v>
                </c:pt>
                <c:pt idx="8">
                  <c:v>1.0173913623868354</c:v>
                </c:pt>
                <c:pt idx="9">
                  <c:v>1.7672599515030434</c:v>
                </c:pt>
                <c:pt idx="10">
                  <c:v>1.8713279867028025</c:v>
                </c:pt>
                <c:pt idx="11">
                  <c:v>1.4909654797575491</c:v>
                </c:pt>
                <c:pt idx="12">
                  <c:v>1.2208648824988706</c:v>
                </c:pt>
                <c:pt idx="13">
                  <c:v>1.2554891747160839</c:v>
                </c:pt>
                <c:pt idx="14">
                  <c:v>0.81566296986787723</c:v>
                </c:pt>
                <c:pt idx="15">
                  <c:v>0.6375285825649748</c:v>
                </c:pt>
                <c:pt idx="16">
                  <c:v>0.29764113583019575</c:v>
                </c:pt>
                <c:pt idx="17">
                  <c:v>0.25367187949860964</c:v>
                </c:pt>
              </c:numCache>
            </c:numRef>
          </c:xVal>
          <c:yVal>
            <c:numRef>
              <c:f>vG_crest!$AW$28:$AW$45</c:f>
              <c:numCache>
                <c:formatCode>General</c:formatCode>
                <c:ptCount val="18"/>
                <c:pt idx="0">
                  <c:v>0.28983410493827161</c:v>
                </c:pt>
                <c:pt idx="2">
                  <c:v>0.46888888888888891</c:v>
                </c:pt>
                <c:pt idx="3">
                  <c:v>0.19837333862328904</c:v>
                </c:pt>
                <c:pt idx="4">
                  <c:v>0.69802212824127474</c:v>
                </c:pt>
                <c:pt idx="5">
                  <c:v>0.3652794292508918</c:v>
                </c:pt>
                <c:pt idx="6">
                  <c:v>0.20268851081705522</c:v>
                </c:pt>
                <c:pt idx="7">
                  <c:v>0.56226572261557695</c:v>
                </c:pt>
                <c:pt idx="8">
                  <c:v>0.31071428571428567</c:v>
                </c:pt>
                <c:pt idx="9">
                  <c:v>0.79909336419753108</c:v>
                </c:pt>
                <c:pt idx="10">
                  <c:v>0.47264542936288084</c:v>
                </c:pt>
                <c:pt idx="11">
                  <c:v>0.41955807158509867</c:v>
                </c:pt>
                <c:pt idx="12">
                  <c:v>0.41871538740230824</c:v>
                </c:pt>
                <c:pt idx="13">
                  <c:v>0.39999999999999991</c:v>
                </c:pt>
                <c:pt idx="14">
                  <c:v>0.27921047411227934</c:v>
                </c:pt>
                <c:pt idx="15">
                  <c:v>0.27725267800882164</c:v>
                </c:pt>
                <c:pt idx="16">
                  <c:v>0.16111707841031148</c:v>
                </c:pt>
                <c:pt idx="17">
                  <c:v>0.12156714537666917</c:v>
                </c:pt>
              </c:numCache>
            </c:numRef>
          </c:yVal>
          <c:smooth val="0"/>
        </c:ser>
        <c:ser>
          <c:idx val="2"/>
          <c:order val="2"/>
          <c:tx>
            <c:v>C</c:v>
          </c:tx>
          <c:spPr>
            <a:ln w="28575">
              <a:noFill/>
            </a:ln>
          </c:spPr>
          <c:marker>
            <c:symbol val="triang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vG_crest!$BA$6:$BA$23</c:f>
              <c:numCache>
                <c:formatCode>General</c:formatCode>
                <c:ptCount val="18"/>
                <c:pt idx="0">
                  <c:v>0.84355304429730171</c:v>
                </c:pt>
                <c:pt idx="1">
                  <c:v>0.19430690946620061</c:v>
                </c:pt>
                <c:pt idx="2">
                  <c:v>1.4590905095342972</c:v>
                </c:pt>
                <c:pt idx="3">
                  <c:v>0.57183657329970961</c:v>
                </c:pt>
                <c:pt idx="4">
                  <c:v>2.2883493628710077</c:v>
                </c:pt>
                <c:pt idx="5">
                  <c:v>1.0891033827677981</c:v>
                </c:pt>
                <c:pt idx="6">
                  <c:v>0.41709675079559738</c:v>
                </c:pt>
                <c:pt idx="7">
                  <c:v>1.8838141183719308</c:v>
                </c:pt>
                <c:pt idx="8">
                  <c:v>1.0173913623868354</c:v>
                </c:pt>
                <c:pt idx="9">
                  <c:v>1.7672599515030434</c:v>
                </c:pt>
                <c:pt idx="10">
                  <c:v>1.8713279867028025</c:v>
                </c:pt>
                <c:pt idx="11">
                  <c:v>1.4909654797575491</c:v>
                </c:pt>
                <c:pt idx="12">
                  <c:v>1.2208648824988706</c:v>
                </c:pt>
                <c:pt idx="13">
                  <c:v>1.2554891747160839</c:v>
                </c:pt>
                <c:pt idx="14">
                  <c:v>0.81566296986787723</c:v>
                </c:pt>
                <c:pt idx="15">
                  <c:v>0.6375285825649748</c:v>
                </c:pt>
                <c:pt idx="16">
                  <c:v>0.29764113583019575</c:v>
                </c:pt>
                <c:pt idx="17">
                  <c:v>0.25367187949860964</c:v>
                </c:pt>
              </c:numCache>
            </c:numRef>
          </c:xVal>
          <c:yVal>
            <c:numRef>
              <c:f>vG_crest!$AW$50:$AW$67</c:f>
              <c:numCache>
                <c:formatCode>General</c:formatCode>
                <c:ptCount val="18"/>
                <c:pt idx="0">
                  <c:v>0.29513888888888895</c:v>
                </c:pt>
                <c:pt idx="3">
                  <c:v>0.27573894068637178</c:v>
                </c:pt>
                <c:pt idx="7">
                  <c:v>0.62011199037438114</c:v>
                </c:pt>
                <c:pt idx="8">
                  <c:v>0.35663265306122449</c:v>
                </c:pt>
                <c:pt idx="9">
                  <c:v>0.88782793209876554</c:v>
                </c:pt>
                <c:pt idx="10">
                  <c:v>0.48606301939058172</c:v>
                </c:pt>
                <c:pt idx="11">
                  <c:v>0.48256026296566845</c:v>
                </c:pt>
                <c:pt idx="12">
                  <c:v>0.45028725221261823</c:v>
                </c:pt>
                <c:pt idx="13">
                  <c:v>0.43668639053254432</c:v>
                </c:pt>
                <c:pt idx="14">
                  <c:v>0.29012100773656019</c:v>
                </c:pt>
                <c:pt idx="15">
                  <c:v>0.28985507246376807</c:v>
                </c:pt>
                <c:pt idx="16">
                  <c:v>8.3667816156933666E-2</c:v>
                </c:pt>
                <c:pt idx="17">
                  <c:v>0.13668430335097001</c:v>
                </c:pt>
              </c:numCache>
            </c:numRef>
          </c:yVal>
          <c:smooth val="0"/>
        </c:ser>
        <c:ser>
          <c:idx val="3"/>
          <c:order val="3"/>
          <c:tx>
            <c:v>D</c:v>
          </c:tx>
          <c:spPr>
            <a:ln w="28575">
              <a:noFill/>
            </a:ln>
          </c:spPr>
          <c:marker>
            <c:symbol val="circ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vG_crest!$BA$6:$BA$23</c:f>
              <c:numCache>
                <c:formatCode>General</c:formatCode>
                <c:ptCount val="18"/>
                <c:pt idx="0">
                  <c:v>0.84355304429730171</c:v>
                </c:pt>
                <c:pt idx="1">
                  <c:v>0.19430690946620061</c:v>
                </c:pt>
                <c:pt idx="2">
                  <c:v>1.4590905095342972</c:v>
                </c:pt>
                <c:pt idx="3">
                  <c:v>0.57183657329970961</c:v>
                </c:pt>
                <c:pt idx="4">
                  <c:v>2.2883493628710077</c:v>
                </c:pt>
                <c:pt idx="5">
                  <c:v>1.0891033827677981</c:v>
                </c:pt>
                <c:pt idx="6">
                  <c:v>0.41709675079559738</c:v>
                </c:pt>
                <c:pt idx="7">
                  <c:v>1.8838141183719308</c:v>
                </c:pt>
                <c:pt idx="8">
                  <c:v>1.0173913623868354</c:v>
                </c:pt>
                <c:pt idx="9">
                  <c:v>1.7672599515030434</c:v>
                </c:pt>
                <c:pt idx="10">
                  <c:v>1.8713279867028025</c:v>
                </c:pt>
                <c:pt idx="11">
                  <c:v>1.4909654797575491</c:v>
                </c:pt>
                <c:pt idx="12">
                  <c:v>1.2208648824988706</c:v>
                </c:pt>
                <c:pt idx="13">
                  <c:v>1.2554891747160839</c:v>
                </c:pt>
                <c:pt idx="14">
                  <c:v>0.81566296986787723</c:v>
                </c:pt>
                <c:pt idx="15">
                  <c:v>0.6375285825649748</c:v>
                </c:pt>
                <c:pt idx="16">
                  <c:v>0.29764113583019575</c:v>
                </c:pt>
                <c:pt idx="17">
                  <c:v>0.25367187949860964</c:v>
                </c:pt>
              </c:numCache>
            </c:numRef>
          </c:xVal>
          <c:yVal>
            <c:numRef>
              <c:f>vG_crest!$AW$72:$AW$89</c:f>
              <c:numCache>
                <c:formatCode>General</c:formatCode>
                <c:ptCount val="18"/>
                <c:pt idx="0">
                  <c:v>0.26957947530864196</c:v>
                </c:pt>
                <c:pt idx="2">
                  <c:v>0.52399999999999991</c:v>
                </c:pt>
                <c:pt idx="3">
                  <c:v>0.21771473913905973</c:v>
                </c:pt>
                <c:pt idx="4">
                  <c:v>0.68776966124140293</c:v>
                </c:pt>
                <c:pt idx="5">
                  <c:v>0.40713436385255652</c:v>
                </c:pt>
                <c:pt idx="6">
                  <c:v>0.17800882167611845</c:v>
                </c:pt>
                <c:pt idx="7">
                  <c:v>0.58586699986116908</c:v>
                </c:pt>
                <c:pt idx="8">
                  <c:v>0.35459183673469385</c:v>
                </c:pt>
                <c:pt idx="9">
                  <c:v>0.88011188271604945</c:v>
                </c:pt>
                <c:pt idx="10">
                  <c:v>0.52847991689750695</c:v>
                </c:pt>
                <c:pt idx="11">
                  <c:v>0.49808254200146096</c:v>
                </c:pt>
                <c:pt idx="12">
                  <c:v>0.42751410382485366</c:v>
                </c:pt>
                <c:pt idx="13">
                  <c:v>0.40946745562130171</c:v>
                </c:pt>
                <c:pt idx="14">
                  <c:v>0.29706407458837536</c:v>
                </c:pt>
                <c:pt idx="15">
                  <c:v>0.27725267800882164</c:v>
                </c:pt>
                <c:pt idx="16">
                  <c:v>0.12776301656396627</c:v>
                </c:pt>
                <c:pt idx="17">
                  <c:v>0.13668430335097001</c:v>
                </c:pt>
              </c:numCache>
            </c:numRef>
          </c:yVal>
          <c:smooth val="0"/>
        </c:ser>
        <c:ser>
          <c:idx val="4"/>
          <c:order val="4"/>
          <c:tx>
            <c:v>D'</c:v>
          </c:tx>
          <c:spPr>
            <a:ln w="28575">
              <a:noFill/>
            </a:ln>
          </c:spPr>
          <c:marker>
            <c:symbol val="dot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vG_crest!$BA$6:$BA$23</c:f>
              <c:numCache>
                <c:formatCode>General</c:formatCode>
                <c:ptCount val="18"/>
                <c:pt idx="0">
                  <c:v>0.84355304429730171</c:v>
                </c:pt>
                <c:pt idx="1">
                  <c:v>0.19430690946620061</c:v>
                </c:pt>
                <c:pt idx="2">
                  <c:v>1.4590905095342972</c:v>
                </c:pt>
                <c:pt idx="3">
                  <c:v>0.57183657329970961</c:v>
                </c:pt>
                <c:pt idx="4">
                  <c:v>2.2883493628710077</c:v>
                </c:pt>
                <c:pt idx="5">
                  <c:v>1.0891033827677981</c:v>
                </c:pt>
                <c:pt idx="6">
                  <c:v>0.41709675079559738</c:v>
                </c:pt>
                <c:pt idx="7">
                  <c:v>1.8838141183719308</c:v>
                </c:pt>
                <c:pt idx="8">
                  <c:v>1.0173913623868354</c:v>
                </c:pt>
                <c:pt idx="9">
                  <c:v>1.7672599515030434</c:v>
                </c:pt>
                <c:pt idx="10">
                  <c:v>1.8713279867028025</c:v>
                </c:pt>
                <c:pt idx="11">
                  <c:v>1.4909654797575491</c:v>
                </c:pt>
                <c:pt idx="12">
                  <c:v>1.2208648824988706</c:v>
                </c:pt>
                <c:pt idx="13">
                  <c:v>1.2554891747160839</c:v>
                </c:pt>
                <c:pt idx="14">
                  <c:v>0.81566296986787723</c:v>
                </c:pt>
                <c:pt idx="15">
                  <c:v>0.6375285825649748</c:v>
                </c:pt>
                <c:pt idx="16">
                  <c:v>0.29764113583019575</c:v>
                </c:pt>
                <c:pt idx="17">
                  <c:v>0.25367187949860964</c:v>
                </c:pt>
              </c:numCache>
            </c:numRef>
          </c:xVal>
          <c:yVal>
            <c:numRef>
              <c:f>vG_crest!$AW$94:$AW$111</c:f>
              <c:numCache>
                <c:formatCode>General</c:formatCode>
                <c:ptCount val="18"/>
                <c:pt idx="0">
                  <c:v>0.19193672839506176</c:v>
                </c:pt>
                <c:pt idx="2">
                  <c:v>0.52533333333333343</c:v>
                </c:pt>
                <c:pt idx="4">
                  <c:v>0.8654790892391816</c:v>
                </c:pt>
                <c:pt idx="5">
                  <c:v>0.39714625445897744</c:v>
                </c:pt>
                <c:pt idx="7">
                  <c:v>0.58586699986116908</c:v>
                </c:pt>
                <c:pt idx="8">
                  <c:v>0.29591836734693872</c:v>
                </c:pt>
                <c:pt idx="9">
                  <c:v>0.78028549382716061</c:v>
                </c:pt>
                <c:pt idx="10">
                  <c:v>0.47567520775623268</c:v>
                </c:pt>
                <c:pt idx="11">
                  <c:v>0.45060262965668374</c:v>
                </c:pt>
                <c:pt idx="12">
                  <c:v>0.43113710470472533</c:v>
                </c:pt>
                <c:pt idx="13">
                  <c:v>0.41952662721893486</c:v>
                </c:pt>
                <c:pt idx="14">
                  <c:v>7.2406268597500503E-2</c:v>
                </c:pt>
                <c:pt idx="15">
                  <c:v>7.4039067422810328E-2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112384"/>
        <c:axId val="94119040"/>
      </c:scatterChart>
      <c:valAx>
        <c:axId val="94112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nl-NL" sz="1200" b="0" i="0" baseline="0">
                    <a:effectLst/>
                  </a:rPr>
                  <a:t>(R</a:t>
                </a:r>
                <a:r>
                  <a:rPr lang="nl-NL" sz="1200" b="0" i="0" baseline="-25000">
                    <a:effectLst/>
                  </a:rPr>
                  <a:t>u2%</a:t>
                </a:r>
                <a:r>
                  <a:rPr lang="nl-NL" sz="1200" b="0" i="0" baseline="0">
                    <a:effectLst/>
                  </a:rPr>
                  <a:t> - R</a:t>
                </a:r>
                <a:r>
                  <a:rPr lang="nl-NL" sz="1200" b="0" i="0" baseline="-25000">
                    <a:effectLst/>
                  </a:rPr>
                  <a:t>c</a:t>
                </a:r>
                <a:r>
                  <a:rPr lang="nl-NL" sz="1200" b="0" i="0" baseline="0">
                    <a:effectLst/>
                  </a:rPr>
                  <a:t>)</a:t>
                </a:r>
                <a:r>
                  <a:rPr lang="nl-NL" sz="1200" b="0" i="0" baseline="30000">
                    <a:effectLst/>
                  </a:rPr>
                  <a:t>2</a:t>
                </a:r>
                <a:r>
                  <a:rPr lang="nl-NL" sz="1200" b="0" i="0" baseline="0">
                    <a:effectLst/>
                  </a:rPr>
                  <a:t> / H</a:t>
                </a:r>
                <a:r>
                  <a:rPr lang="nl-NL" sz="1200" b="0" i="0" baseline="-25000">
                    <a:effectLst/>
                  </a:rPr>
                  <a:t>m0</a:t>
                </a:r>
                <a:r>
                  <a:rPr lang="nl-NL" sz="1200" b="0" i="0" baseline="30000">
                    <a:effectLst/>
                  </a:rPr>
                  <a:t>2</a:t>
                </a:r>
                <a:endParaRPr lang="nl-NL" sz="12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94119040"/>
        <c:crosses val="autoZero"/>
        <c:crossBetween val="midCat"/>
      </c:valAx>
      <c:valAx>
        <c:axId val="94119040"/>
        <c:scaling>
          <c:orientation val="minMax"/>
          <c:max val="1.2"/>
        </c:scaling>
        <c:delete val="0"/>
        <c:axPos val="l"/>
        <c:majorGridlines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itchFamily="34" charset="0"/>
                    <a:ea typeface="+mn-ea"/>
                    <a:cs typeface="Arial" pitchFamily="34" charset="0"/>
                  </a:defRPr>
                </a:pPr>
                <a:r>
                  <a:rPr lang="nl-NL" sz="1200" b="0" i="0" baseline="0">
                    <a:effectLst/>
                  </a:rPr>
                  <a:t>V</a:t>
                </a:r>
                <a:r>
                  <a:rPr lang="nl-NL" sz="1200" b="0" i="0" baseline="-25000">
                    <a:effectLst/>
                  </a:rPr>
                  <a:t>2% </a:t>
                </a:r>
                <a:r>
                  <a:rPr lang="nl-NL" sz="1200" b="0" i="0" baseline="0">
                    <a:effectLst/>
                  </a:rPr>
                  <a:t>/ (H</a:t>
                </a:r>
                <a:r>
                  <a:rPr lang="nl-NL" sz="1200" b="0" i="0" baseline="-25000">
                    <a:effectLst/>
                  </a:rPr>
                  <a:t>m0</a:t>
                </a:r>
                <a:r>
                  <a:rPr lang="nl-NL" sz="1200" b="0" i="0" baseline="0">
                    <a:effectLst/>
                  </a:rPr>
                  <a:t>)</a:t>
                </a:r>
                <a:r>
                  <a:rPr lang="nl-NL" sz="1200" b="0" i="0" baseline="30000">
                    <a:effectLst/>
                  </a:rPr>
                  <a:t>2</a:t>
                </a:r>
                <a:r>
                  <a:rPr lang="nl-NL" sz="1200" b="0" i="0" baseline="0">
                    <a:effectLst/>
                  </a:rPr>
                  <a:t> mea</a:t>
                </a:r>
                <a:endParaRPr lang="nl-NL" sz="12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94112384"/>
        <c:crosses val="autoZero"/>
        <c:crossBetween val="midCat"/>
        <c:majorUnit val="0.30000000000000004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 sz="1200" b="0">
          <a:latin typeface="Arial" pitchFamily="34" charset="0"/>
          <a:cs typeface="Arial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nl-NL" sz="1200"/>
              <a:t>Seaward-side crest edge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</c:v>
          </c:tx>
          <c:spPr>
            <a:ln w="28575">
              <a:noFill/>
            </a:ln>
          </c:spPr>
          <c:marker>
            <c:symbol val="diamond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vG_crest!$BE$6:$BE$23</c:f>
              <c:numCache>
                <c:formatCode>General</c:formatCode>
                <c:ptCount val="18"/>
                <c:pt idx="0">
                  <c:v>5.3030626098999015E-2</c:v>
                </c:pt>
                <c:pt idx="1">
                  <c:v>3.4549284493300018E-2</c:v>
                </c:pt>
                <c:pt idx="2">
                  <c:v>7.5158007541467189E-2</c:v>
                </c:pt>
                <c:pt idx="3">
                  <c:v>4.8068281001615802E-2</c:v>
                </c:pt>
                <c:pt idx="4">
                  <c:v>0.1128170789162415</c:v>
                </c:pt>
                <c:pt idx="5">
                  <c:v>7.0121999829966572E-2</c:v>
                </c:pt>
                <c:pt idx="6">
                  <c:v>4.5087420909729843E-2</c:v>
                </c:pt>
                <c:pt idx="7">
                  <c:v>0.12008361722202196</c:v>
                </c:pt>
                <c:pt idx="8">
                  <c:v>7.8517809007429912E-2</c:v>
                </c:pt>
                <c:pt idx="9">
                  <c:v>0.15761598951034481</c:v>
                </c:pt>
                <c:pt idx="10">
                  <c:v>9.7865115831982846E-2</c:v>
                </c:pt>
                <c:pt idx="11">
                  <c:v>8.1793391459807865E-2</c:v>
                </c:pt>
                <c:pt idx="12">
                  <c:v>6.9551530712366597E-2</c:v>
                </c:pt>
                <c:pt idx="13">
                  <c:v>6.7943495937887025E-2</c:v>
                </c:pt>
                <c:pt idx="14">
                  <c:v>5.9813535281155468E-2</c:v>
                </c:pt>
                <c:pt idx="15">
                  <c:v>5.1463933698554329E-2</c:v>
                </c:pt>
                <c:pt idx="16">
                  <c:v>3.8947468491184335E-2</c:v>
                </c:pt>
                <c:pt idx="17">
                  <c:v>3.6920322015696831E-2</c:v>
                </c:pt>
              </c:numCache>
            </c:numRef>
          </c:xVal>
          <c:yVal>
            <c:numRef>
              <c:f>vG_crest!$AX$6:$AX$23</c:f>
              <c:numCache>
                <c:formatCode>General</c:formatCode>
                <c:ptCount val="18"/>
                <c:pt idx="0">
                  <c:v>5.7638888888888892E-2</c:v>
                </c:pt>
                <c:pt idx="1">
                  <c:v>1.9424460431654675E-2</c:v>
                </c:pt>
                <c:pt idx="2">
                  <c:v>0.1</c:v>
                </c:pt>
                <c:pt idx="3">
                  <c:v>4.2957746478873238E-2</c:v>
                </c:pt>
                <c:pt idx="4">
                  <c:v>0.17058823529411765</c:v>
                </c:pt>
                <c:pt idx="5">
                  <c:v>8.8965517241379313E-2</c:v>
                </c:pt>
                <c:pt idx="6">
                  <c:v>4.6376811594202899E-2</c:v>
                </c:pt>
                <c:pt idx="7">
                  <c:v>0.14013605442176871</c:v>
                </c:pt>
                <c:pt idx="8">
                  <c:v>9.0714285714285706E-2</c:v>
                </c:pt>
                <c:pt idx="9">
                  <c:v>0.17708333333333334</c:v>
                </c:pt>
                <c:pt idx="10">
                  <c:v>0.11447368421052631</c:v>
                </c:pt>
                <c:pt idx="11">
                  <c:v>9.8648648648648654E-2</c:v>
                </c:pt>
                <c:pt idx="12">
                  <c:v>9.2805755395683448E-2</c:v>
                </c:pt>
                <c:pt idx="13">
                  <c:v>8.6923076923076922E-2</c:v>
                </c:pt>
                <c:pt idx="14">
                  <c:v>6.1971830985915501E-2</c:v>
                </c:pt>
                <c:pt idx="15">
                  <c:v>6.1594202898550721E-2</c:v>
                </c:pt>
                <c:pt idx="16">
                  <c:v>3.0827067669172925E-2</c:v>
                </c:pt>
                <c:pt idx="17">
                  <c:v>3.1746031746031744E-2</c:v>
                </c:pt>
              </c:numCache>
            </c:numRef>
          </c:yVal>
          <c:smooth val="0"/>
        </c:ser>
        <c:ser>
          <c:idx val="1"/>
          <c:order val="1"/>
          <c:tx>
            <c:v>B</c:v>
          </c:tx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vG_crest!$BE$6:$BE$23</c:f>
              <c:numCache>
                <c:formatCode>General</c:formatCode>
                <c:ptCount val="18"/>
                <c:pt idx="0">
                  <c:v>5.3030626098999015E-2</c:v>
                </c:pt>
                <c:pt idx="1">
                  <c:v>3.4549284493300018E-2</c:v>
                </c:pt>
                <c:pt idx="2">
                  <c:v>7.5158007541467189E-2</c:v>
                </c:pt>
                <c:pt idx="3">
                  <c:v>4.8068281001615802E-2</c:v>
                </c:pt>
                <c:pt idx="4">
                  <c:v>0.1128170789162415</c:v>
                </c:pt>
                <c:pt idx="5">
                  <c:v>7.0121999829966572E-2</c:v>
                </c:pt>
                <c:pt idx="6">
                  <c:v>4.5087420909729843E-2</c:v>
                </c:pt>
                <c:pt idx="7">
                  <c:v>0.12008361722202196</c:v>
                </c:pt>
                <c:pt idx="8">
                  <c:v>7.8517809007429912E-2</c:v>
                </c:pt>
                <c:pt idx="9">
                  <c:v>0.15761598951034481</c:v>
                </c:pt>
                <c:pt idx="10">
                  <c:v>9.7865115831982846E-2</c:v>
                </c:pt>
                <c:pt idx="11">
                  <c:v>8.1793391459807865E-2</c:v>
                </c:pt>
                <c:pt idx="12">
                  <c:v>6.9551530712366597E-2</c:v>
                </c:pt>
                <c:pt idx="13">
                  <c:v>6.7943495937887025E-2</c:v>
                </c:pt>
                <c:pt idx="14">
                  <c:v>5.9813535281155468E-2</c:v>
                </c:pt>
                <c:pt idx="15">
                  <c:v>5.1463933698554329E-2</c:v>
                </c:pt>
                <c:pt idx="16">
                  <c:v>3.8947468491184335E-2</c:v>
                </c:pt>
                <c:pt idx="17">
                  <c:v>3.6920322015696831E-2</c:v>
                </c:pt>
              </c:numCache>
            </c:numRef>
          </c:xVal>
          <c:yVal>
            <c:numRef>
              <c:f>vG_crest!$AX$28:$AX$45</c:f>
              <c:numCache>
                <c:formatCode>General</c:formatCode>
                <c:ptCount val="18"/>
                <c:pt idx="0">
                  <c:v>5.1388888888888894E-2</c:v>
                </c:pt>
                <c:pt idx="2">
                  <c:v>9.5333333333333339E-2</c:v>
                </c:pt>
                <c:pt idx="3">
                  <c:v>4.0845070422535212E-2</c:v>
                </c:pt>
                <c:pt idx="4">
                  <c:v>0.13856209150326798</c:v>
                </c:pt>
                <c:pt idx="5">
                  <c:v>8.3448275862068974E-2</c:v>
                </c:pt>
                <c:pt idx="6">
                  <c:v>4.6376811594202899E-2</c:v>
                </c:pt>
                <c:pt idx="7">
                  <c:v>0.13877551020408163</c:v>
                </c:pt>
                <c:pt idx="8">
                  <c:v>8.3571428571428547E-2</c:v>
                </c:pt>
                <c:pt idx="9">
                  <c:v>0.1590277777777778</c:v>
                </c:pt>
                <c:pt idx="10">
                  <c:v>0.10526315789473685</c:v>
                </c:pt>
                <c:pt idx="11">
                  <c:v>9.45945945945946E-2</c:v>
                </c:pt>
                <c:pt idx="12">
                  <c:v>8.4172661870503582E-2</c:v>
                </c:pt>
                <c:pt idx="13">
                  <c:v>7.7692307692307686E-2</c:v>
                </c:pt>
                <c:pt idx="14">
                  <c:v>5.3521126760563385E-2</c:v>
                </c:pt>
                <c:pt idx="15">
                  <c:v>5.5072463768115934E-2</c:v>
                </c:pt>
                <c:pt idx="16">
                  <c:v>2.4812030075187969E-2</c:v>
                </c:pt>
                <c:pt idx="17">
                  <c:v>1.984126984126984E-2</c:v>
                </c:pt>
              </c:numCache>
            </c:numRef>
          </c:yVal>
          <c:smooth val="0"/>
        </c:ser>
        <c:ser>
          <c:idx val="2"/>
          <c:order val="2"/>
          <c:tx>
            <c:v>C</c:v>
          </c:tx>
          <c:spPr>
            <a:ln w="28575">
              <a:noFill/>
            </a:ln>
          </c:spPr>
          <c:marker>
            <c:symbol val="triang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vG_crest!$BE$6:$BE$23</c:f>
              <c:numCache>
                <c:formatCode>General</c:formatCode>
                <c:ptCount val="18"/>
                <c:pt idx="0">
                  <c:v>5.3030626098999015E-2</c:v>
                </c:pt>
                <c:pt idx="1">
                  <c:v>3.4549284493300018E-2</c:v>
                </c:pt>
                <c:pt idx="2">
                  <c:v>7.5158007541467189E-2</c:v>
                </c:pt>
                <c:pt idx="3">
                  <c:v>4.8068281001615802E-2</c:v>
                </c:pt>
                <c:pt idx="4">
                  <c:v>0.1128170789162415</c:v>
                </c:pt>
                <c:pt idx="5">
                  <c:v>7.0121999829966572E-2</c:v>
                </c:pt>
                <c:pt idx="6">
                  <c:v>4.5087420909729843E-2</c:v>
                </c:pt>
                <c:pt idx="7">
                  <c:v>0.12008361722202196</c:v>
                </c:pt>
                <c:pt idx="8">
                  <c:v>7.8517809007429912E-2</c:v>
                </c:pt>
                <c:pt idx="9">
                  <c:v>0.15761598951034481</c:v>
                </c:pt>
                <c:pt idx="10">
                  <c:v>9.7865115831982846E-2</c:v>
                </c:pt>
                <c:pt idx="11">
                  <c:v>8.1793391459807865E-2</c:v>
                </c:pt>
                <c:pt idx="12">
                  <c:v>6.9551530712366597E-2</c:v>
                </c:pt>
                <c:pt idx="13">
                  <c:v>6.7943495937887025E-2</c:v>
                </c:pt>
                <c:pt idx="14">
                  <c:v>5.9813535281155468E-2</c:v>
                </c:pt>
                <c:pt idx="15">
                  <c:v>5.1463933698554329E-2</c:v>
                </c:pt>
                <c:pt idx="16">
                  <c:v>3.8947468491184335E-2</c:v>
                </c:pt>
                <c:pt idx="17">
                  <c:v>3.6920322015696831E-2</c:v>
                </c:pt>
              </c:numCache>
            </c:numRef>
          </c:xVal>
          <c:yVal>
            <c:numRef>
              <c:f>vG_crest!$AX$50:$AX$67</c:f>
              <c:numCache>
                <c:formatCode>General</c:formatCode>
                <c:ptCount val="18"/>
                <c:pt idx="0">
                  <c:v>4.9305555555555554E-2</c:v>
                </c:pt>
                <c:pt idx="2">
                  <c:v>9.2666666666666675E-2</c:v>
                </c:pt>
                <c:pt idx="3">
                  <c:v>4.0140845070422537E-2</c:v>
                </c:pt>
                <c:pt idx="4">
                  <c:v>0.13660130718954247</c:v>
                </c:pt>
                <c:pt idx="5">
                  <c:v>8.2758620689655185E-2</c:v>
                </c:pt>
                <c:pt idx="6">
                  <c:v>3.8405797101449271E-2</c:v>
                </c:pt>
                <c:pt idx="7">
                  <c:v>0.1380952380952381</c:v>
                </c:pt>
                <c:pt idx="8">
                  <c:v>9.2142857142857137E-2</c:v>
                </c:pt>
                <c:pt idx="9">
                  <c:v>0.15277777777777779</c:v>
                </c:pt>
                <c:pt idx="10">
                  <c:v>0.10723684210526317</c:v>
                </c:pt>
                <c:pt idx="11">
                  <c:v>8.7837837837837843E-2</c:v>
                </c:pt>
                <c:pt idx="12">
                  <c:v>8.776978417266186E-2</c:v>
                </c:pt>
                <c:pt idx="13">
                  <c:v>7.9999999999999988E-2</c:v>
                </c:pt>
                <c:pt idx="14">
                  <c:v>5.6338028169014093E-2</c:v>
                </c:pt>
                <c:pt idx="15">
                  <c:v>5.2898550724637679E-2</c:v>
                </c:pt>
                <c:pt idx="16">
                  <c:v>2.2556390977443608E-2</c:v>
                </c:pt>
                <c:pt idx="17">
                  <c:v>1.984126984126984E-2</c:v>
                </c:pt>
              </c:numCache>
            </c:numRef>
          </c:yVal>
          <c:smooth val="0"/>
        </c:ser>
        <c:ser>
          <c:idx val="3"/>
          <c:order val="3"/>
          <c:tx>
            <c:v>D</c:v>
          </c:tx>
          <c:spPr>
            <a:ln w="28575">
              <a:noFill/>
            </a:ln>
          </c:spPr>
          <c:marker>
            <c:symbol val="circ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vG_crest!$BE$6:$BE$23</c:f>
              <c:numCache>
                <c:formatCode>General</c:formatCode>
                <c:ptCount val="18"/>
                <c:pt idx="0">
                  <c:v>5.3030626098999015E-2</c:v>
                </c:pt>
                <c:pt idx="1">
                  <c:v>3.4549284493300018E-2</c:v>
                </c:pt>
                <c:pt idx="2">
                  <c:v>7.5158007541467189E-2</c:v>
                </c:pt>
                <c:pt idx="3">
                  <c:v>4.8068281001615802E-2</c:v>
                </c:pt>
                <c:pt idx="4">
                  <c:v>0.1128170789162415</c:v>
                </c:pt>
                <c:pt idx="5">
                  <c:v>7.0121999829966572E-2</c:v>
                </c:pt>
                <c:pt idx="6">
                  <c:v>4.5087420909729843E-2</c:v>
                </c:pt>
                <c:pt idx="7">
                  <c:v>0.12008361722202196</c:v>
                </c:pt>
                <c:pt idx="8">
                  <c:v>7.8517809007429912E-2</c:v>
                </c:pt>
                <c:pt idx="9">
                  <c:v>0.15761598951034481</c:v>
                </c:pt>
                <c:pt idx="10">
                  <c:v>9.7865115831982846E-2</c:v>
                </c:pt>
                <c:pt idx="11">
                  <c:v>8.1793391459807865E-2</c:v>
                </c:pt>
                <c:pt idx="12">
                  <c:v>6.9551530712366597E-2</c:v>
                </c:pt>
                <c:pt idx="13">
                  <c:v>6.7943495937887025E-2</c:v>
                </c:pt>
                <c:pt idx="14">
                  <c:v>5.9813535281155468E-2</c:v>
                </c:pt>
                <c:pt idx="15">
                  <c:v>5.1463933698554329E-2</c:v>
                </c:pt>
                <c:pt idx="16">
                  <c:v>3.8947468491184335E-2</c:v>
                </c:pt>
                <c:pt idx="17">
                  <c:v>3.6920322015696831E-2</c:v>
                </c:pt>
              </c:numCache>
            </c:numRef>
          </c:xVal>
          <c:yVal>
            <c:numRef>
              <c:f>vG_crest!$AX$72:$AX$89</c:f>
              <c:numCache>
                <c:formatCode>General</c:formatCode>
                <c:ptCount val="18"/>
                <c:pt idx="0">
                  <c:v>4.4444444444444453E-2</c:v>
                </c:pt>
                <c:pt idx="2">
                  <c:v>9.0666666666666659E-2</c:v>
                </c:pt>
                <c:pt idx="3">
                  <c:v>3.5211267605633804E-2</c:v>
                </c:pt>
                <c:pt idx="4">
                  <c:v>0.13594771241830064</c:v>
                </c:pt>
                <c:pt idx="5">
                  <c:v>7.8620689655172424E-2</c:v>
                </c:pt>
                <c:pt idx="6">
                  <c:v>3.695652173913043E-2</c:v>
                </c:pt>
                <c:pt idx="7">
                  <c:v>0.12585034013605442</c:v>
                </c:pt>
                <c:pt idx="8">
                  <c:v>7.6428571428571415E-2</c:v>
                </c:pt>
                <c:pt idx="9">
                  <c:v>0.14722222222222223</c:v>
                </c:pt>
                <c:pt idx="10">
                  <c:v>0.10197368421052631</c:v>
                </c:pt>
                <c:pt idx="11">
                  <c:v>8.6486486486486491E-2</c:v>
                </c:pt>
                <c:pt idx="12">
                  <c:v>7.7697841726618699E-2</c:v>
                </c:pt>
                <c:pt idx="13">
                  <c:v>7.9999999999999988E-2</c:v>
                </c:pt>
                <c:pt idx="14">
                  <c:v>5.6338028169014093E-2</c:v>
                </c:pt>
                <c:pt idx="15">
                  <c:v>4.8550724637681154E-2</c:v>
                </c:pt>
                <c:pt idx="16">
                  <c:v>1.5789473684210527E-2</c:v>
                </c:pt>
                <c:pt idx="17">
                  <c:v>2.3015873015873014E-2</c:v>
                </c:pt>
              </c:numCache>
            </c:numRef>
          </c:yVal>
          <c:smooth val="0"/>
        </c:ser>
        <c:ser>
          <c:idx val="5"/>
          <c:order val="4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vG_crest!$CG$2:$CG$3</c:f>
              <c:numCache>
                <c:formatCode>General</c:formatCode>
                <c:ptCount val="2"/>
                <c:pt idx="0">
                  <c:v>0</c:v>
                </c:pt>
                <c:pt idx="1">
                  <c:v>0.2</c:v>
                </c:pt>
              </c:numCache>
            </c:numRef>
          </c:xVal>
          <c:yVal>
            <c:numRef>
              <c:f>vG_crest!$CH$2:$CH$3</c:f>
              <c:numCache>
                <c:formatCode>General</c:formatCode>
                <c:ptCount val="2"/>
                <c:pt idx="0">
                  <c:v>0</c:v>
                </c:pt>
                <c:pt idx="1">
                  <c:v>0.2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167808"/>
        <c:axId val="94169728"/>
      </c:scatterChart>
      <c:valAx>
        <c:axId val="94167808"/>
        <c:scaling>
          <c:orientation val="minMax"/>
          <c:max val="0.2"/>
        </c:scaling>
        <c:delete val="0"/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itchFamily="34" charset="0"/>
                    <a:ea typeface="+mn-ea"/>
                    <a:cs typeface="Arial" pitchFamily="34" charset="0"/>
                  </a:defRPr>
                </a:pPr>
                <a:r>
                  <a:rPr lang="nl-NL" sz="1200" b="0" i="0" baseline="0">
                    <a:effectLst/>
                  </a:rPr>
                  <a:t> h</a:t>
                </a:r>
                <a:r>
                  <a:rPr lang="nl-NL" sz="1200" b="0" i="0" baseline="-25000">
                    <a:effectLst/>
                  </a:rPr>
                  <a:t>A, 2%</a:t>
                </a:r>
                <a:r>
                  <a:rPr lang="nl-NL" sz="1200" b="0" i="0" baseline="0">
                    <a:effectLst/>
                  </a:rPr>
                  <a:t> / H</a:t>
                </a:r>
                <a:r>
                  <a:rPr lang="nl-NL" sz="1200" b="0" i="0" baseline="-25000">
                    <a:effectLst/>
                  </a:rPr>
                  <a:t>m0 </a:t>
                </a:r>
                <a:r>
                  <a:rPr lang="nl-NL" sz="1200" b="0" i="0" baseline="0">
                    <a:effectLst/>
                  </a:rPr>
                  <a:t>com. by Trung</a:t>
                </a:r>
                <a:endParaRPr lang="nl-NL" sz="12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94169728"/>
        <c:crosses val="autoZero"/>
        <c:crossBetween val="midCat"/>
      </c:valAx>
      <c:valAx>
        <c:axId val="94169728"/>
        <c:scaling>
          <c:orientation val="minMax"/>
          <c:max val="0.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nl-NL" sz="1200" b="0" i="0" baseline="0">
                    <a:effectLst/>
                  </a:rPr>
                  <a:t>h</a:t>
                </a:r>
                <a:r>
                  <a:rPr lang="nl-NL" sz="1200" b="0" i="0" baseline="-25000">
                    <a:effectLst/>
                  </a:rPr>
                  <a:t>2% </a:t>
                </a:r>
                <a:r>
                  <a:rPr lang="nl-NL" sz="1200" b="0" i="0" baseline="0">
                    <a:effectLst/>
                  </a:rPr>
                  <a:t>/ H</a:t>
                </a:r>
                <a:r>
                  <a:rPr lang="nl-NL" sz="1200" b="0" i="0" baseline="-25000">
                    <a:effectLst/>
                  </a:rPr>
                  <a:t>m0 </a:t>
                </a:r>
                <a:r>
                  <a:rPr lang="nl-NL" sz="1200" b="0" i="0" baseline="0">
                    <a:effectLst/>
                  </a:rPr>
                  <a:t>mea. by van Gent</a:t>
                </a:r>
                <a:endParaRPr lang="nl-NL" sz="1200" baseline="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94167808"/>
        <c:crosses val="autoZero"/>
        <c:crossBetween val="midCat"/>
        <c:majorUnit val="5.000000000000001E-2"/>
      </c:valAx>
    </c:plotArea>
    <c:legend>
      <c:legendPos val="r"/>
      <c:legendEntry>
        <c:idx val="4"/>
        <c:delete val="1"/>
      </c:legendEntry>
      <c:overlay val="0"/>
    </c:legend>
    <c:plotVisOnly val="1"/>
    <c:dispBlanksAs val="gap"/>
    <c:showDLblsOverMax val="0"/>
  </c:chart>
  <c:txPr>
    <a:bodyPr/>
    <a:lstStyle/>
    <a:p>
      <a:pPr>
        <a:defRPr sz="1200" b="0">
          <a:latin typeface="Arial" pitchFamily="34" charset="0"/>
          <a:cs typeface="Arial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nl-NL" sz="1200"/>
              <a:t>Seaward-side</a:t>
            </a:r>
            <a:r>
              <a:rPr lang="nl-NL" sz="1200" baseline="0"/>
              <a:t> crest edge</a:t>
            </a:r>
            <a:endParaRPr lang="nl-NL" sz="1200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</c:v>
          </c:tx>
          <c:spPr>
            <a:ln w="28575">
              <a:noFill/>
            </a:ln>
          </c:spPr>
          <c:marker>
            <c:symbol val="diamond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vG_crest!$BC$6:$BC$23</c:f>
              <c:numCache>
                <c:formatCode>General</c:formatCode>
                <c:ptCount val="18"/>
                <c:pt idx="0">
                  <c:v>0.95835872103367525</c:v>
                </c:pt>
                <c:pt idx="1">
                  <c:v>0.66392964555807998</c:v>
                </c:pt>
                <c:pt idx="2">
                  <c:v>1.0990578642173288</c:v>
                </c:pt>
                <c:pt idx="3">
                  <c:v>0.86959689841637455</c:v>
                </c:pt>
                <c:pt idx="4">
                  <c:v>1.2299305309118733</c:v>
                </c:pt>
                <c:pt idx="5">
                  <c:v>1.0215679912631859</c:v>
                </c:pt>
                <c:pt idx="6">
                  <c:v>0.80363566382946316</c:v>
                </c:pt>
                <c:pt idx="7">
                  <c:v>1.1715464485935712</c:v>
                </c:pt>
                <c:pt idx="8">
                  <c:v>1.004319769290914</c:v>
                </c:pt>
                <c:pt idx="9">
                  <c:v>1.1529888539948958</c:v>
                </c:pt>
                <c:pt idx="10">
                  <c:v>1.1696003193272897</c:v>
                </c:pt>
                <c:pt idx="11">
                  <c:v>1.1050117526287624</c:v>
                </c:pt>
                <c:pt idx="12">
                  <c:v>1.0511553387899735</c:v>
                </c:pt>
                <c:pt idx="13">
                  <c:v>1.0585301758618331</c:v>
                </c:pt>
                <c:pt idx="14">
                  <c:v>0.95033710580549224</c:v>
                </c:pt>
                <c:pt idx="15">
                  <c:v>0.89356246006053242</c:v>
                </c:pt>
                <c:pt idx="16">
                  <c:v>0.73862369945344486</c:v>
                </c:pt>
                <c:pt idx="17">
                  <c:v>0.70968901281728813</c:v>
                </c:pt>
              </c:numCache>
            </c:numRef>
          </c:xVal>
          <c:yVal>
            <c:numRef>
              <c:f>vG_crest!$AY$6:$AY$23</c:f>
              <c:numCache>
                <c:formatCode>General</c:formatCode>
                <c:ptCount val="18"/>
                <c:pt idx="0">
                  <c:v>0.84977827519935634</c:v>
                </c:pt>
                <c:pt idx="2">
                  <c:v>1.187086480390795</c:v>
                </c:pt>
                <c:pt idx="3">
                  <c:v>0.56767023973780406</c:v>
                </c:pt>
                <c:pt idx="4">
                  <c:v>1.4529135806322204</c:v>
                </c:pt>
                <c:pt idx="5">
                  <c:v>0.9558425213686812</c:v>
                </c:pt>
                <c:pt idx="6">
                  <c:v>0.46410870355080341</c:v>
                </c:pt>
                <c:pt idx="7">
                  <c:v>1.3073939813676074</c:v>
                </c:pt>
                <c:pt idx="8">
                  <c:v>1.0239593700982756</c:v>
                </c:pt>
                <c:pt idx="9">
                  <c:v>1.3966652839910212</c:v>
                </c:pt>
                <c:pt idx="10">
                  <c:v>1.1628723565391326</c:v>
                </c:pt>
                <c:pt idx="11">
                  <c:v>1.2033795886423229</c:v>
                </c:pt>
                <c:pt idx="12">
                  <c:v>1.1047087819741277</c:v>
                </c:pt>
                <c:pt idx="13">
                  <c:v>1.0183373210268887</c:v>
                </c:pt>
                <c:pt idx="14">
                  <c:v>0.85574170467937627</c:v>
                </c:pt>
                <c:pt idx="15">
                  <c:v>0.91102819585898442</c:v>
                </c:pt>
                <c:pt idx="16">
                  <c:v>0.50777073778219761</c:v>
                </c:pt>
                <c:pt idx="17">
                  <c:v>0.66559790064627178</c:v>
                </c:pt>
              </c:numCache>
            </c:numRef>
          </c:yVal>
          <c:smooth val="0"/>
        </c:ser>
        <c:ser>
          <c:idx val="1"/>
          <c:order val="1"/>
          <c:tx>
            <c:v>B</c:v>
          </c:tx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vG_crest!$BC$6:$BC$23</c:f>
              <c:numCache>
                <c:formatCode>General</c:formatCode>
                <c:ptCount val="18"/>
                <c:pt idx="0">
                  <c:v>0.95835872103367525</c:v>
                </c:pt>
                <c:pt idx="1">
                  <c:v>0.66392964555807998</c:v>
                </c:pt>
                <c:pt idx="2">
                  <c:v>1.0990578642173288</c:v>
                </c:pt>
                <c:pt idx="3">
                  <c:v>0.86959689841637455</c:v>
                </c:pt>
                <c:pt idx="4">
                  <c:v>1.2299305309118733</c:v>
                </c:pt>
                <c:pt idx="5">
                  <c:v>1.0215679912631859</c:v>
                </c:pt>
                <c:pt idx="6">
                  <c:v>0.80363566382946316</c:v>
                </c:pt>
                <c:pt idx="7">
                  <c:v>1.1715464485935712</c:v>
                </c:pt>
                <c:pt idx="8">
                  <c:v>1.004319769290914</c:v>
                </c:pt>
                <c:pt idx="9">
                  <c:v>1.1529888539948958</c:v>
                </c:pt>
                <c:pt idx="10">
                  <c:v>1.1696003193272897</c:v>
                </c:pt>
                <c:pt idx="11">
                  <c:v>1.1050117526287624</c:v>
                </c:pt>
                <c:pt idx="12">
                  <c:v>1.0511553387899735</c:v>
                </c:pt>
                <c:pt idx="13">
                  <c:v>1.0585301758618331</c:v>
                </c:pt>
                <c:pt idx="14">
                  <c:v>0.95033710580549224</c:v>
                </c:pt>
                <c:pt idx="15">
                  <c:v>0.89356246006053242</c:v>
                </c:pt>
                <c:pt idx="16">
                  <c:v>0.73862369945344486</c:v>
                </c:pt>
                <c:pt idx="17">
                  <c:v>0.70968901281728813</c:v>
                </c:pt>
              </c:numCache>
            </c:numRef>
          </c:xVal>
          <c:yVal>
            <c:numRef>
              <c:f>vG_crest!$AY$28:$AY$45</c:f>
              <c:numCache>
                <c:formatCode>General</c:formatCode>
                <c:ptCount val="18"/>
                <c:pt idx="0">
                  <c:v>1.0601194324269199</c:v>
                </c:pt>
                <c:pt idx="2">
                  <c:v>1.2612793854152198</c:v>
                </c:pt>
                <c:pt idx="3">
                  <c:v>0.83879632438869545</c:v>
                </c:pt>
                <c:pt idx="4">
                  <c:v>1.4202638372472265</c:v>
                </c:pt>
                <c:pt idx="5">
                  <c:v>1.1654571093881287</c:v>
                </c:pt>
                <c:pt idx="6">
                  <c:v>0.72194687219013853</c:v>
                </c:pt>
                <c:pt idx="7">
                  <c:v>1.3656854327661632</c:v>
                </c:pt>
                <c:pt idx="8">
                  <c:v>1.1263553071081034</c:v>
                </c:pt>
                <c:pt idx="9">
                  <c:v>1.4303198691474315</c:v>
                </c:pt>
                <c:pt idx="10">
                  <c:v>1.2693325018560957</c:v>
                </c:pt>
                <c:pt idx="11">
                  <c:v>1.2697729452570719</c:v>
                </c:pt>
                <c:pt idx="12">
                  <c:v>1.2331632915060029</c:v>
                </c:pt>
                <c:pt idx="13">
                  <c:v>1.1423088209779881</c:v>
                </c:pt>
                <c:pt idx="14">
                  <c:v>0.92352322584209912</c:v>
                </c:pt>
                <c:pt idx="15">
                  <c:v>0.92821740710160683</c:v>
                </c:pt>
                <c:pt idx="16">
                  <c:v>0.66535475985253489</c:v>
                </c:pt>
                <c:pt idx="17">
                  <c:v>0.63861420197142282</c:v>
                </c:pt>
              </c:numCache>
            </c:numRef>
          </c:yVal>
          <c:smooth val="0"/>
        </c:ser>
        <c:ser>
          <c:idx val="2"/>
          <c:order val="2"/>
          <c:tx>
            <c:v>C</c:v>
          </c:tx>
          <c:spPr>
            <a:ln w="28575">
              <a:noFill/>
            </a:ln>
          </c:spPr>
          <c:marker>
            <c:symbol val="triang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vG_crest!$BC$6:$BC$23</c:f>
              <c:numCache>
                <c:formatCode>General</c:formatCode>
                <c:ptCount val="18"/>
                <c:pt idx="0">
                  <c:v>0.95835872103367525</c:v>
                </c:pt>
                <c:pt idx="1">
                  <c:v>0.66392964555807998</c:v>
                </c:pt>
                <c:pt idx="2">
                  <c:v>1.0990578642173288</c:v>
                </c:pt>
                <c:pt idx="3">
                  <c:v>0.86959689841637455</c:v>
                </c:pt>
                <c:pt idx="4">
                  <c:v>1.2299305309118733</c:v>
                </c:pt>
                <c:pt idx="5">
                  <c:v>1.0215679912631859</c:v>
                </c:pt>
                <c:pt idx="6">
                  <c:v>0.80363566382946316</c:v>
                </c:pt>
                <c:pt idx="7">
                  <c:v>1.1715464485935712</c:v>
                </c:pt>
                <c:pt idx="8">
                  <c:v>1.004319769290914</c:v>
                </c:pt>
                <c:pt idx="9">
                  <c:v>1.1529888539948958</c:v>
                </c:pt>
                <c:pt idx="10">
                  <c:v>1.1696003193272897</c:v>
                </c:pt>
                <c:pt idx="11">
                  <c:v>1.1050117526287624</c:v>
                </c:pt>
                <c:pt idx="12">
                  <c:v>1.0511553387899735</c:v>
                </c:pt>
                <c:pt idx="13">
                  <c:v>1.0585301758618331</c:v>
                </c:pt>
                <c:pt idx="14">
                  <c:v>0.95033710580549224</c:v>
                </c:pt>
                <c:pt idx="15">
                  <c:v>0.89356246006053242</c:v>
                </c:pt>
                <c:pt idx="16">
                  <c:v>0.73862369945344486</c:v>
                </c:pt>
                <c:pt idx="17">
                  <c:v>0.70968901281728813</c:v>
                </c:pt>
              </c:numCache>
            </c:numRef>
          </c:xVal>
          <c:yVal>
            <c:numRef>
              <c:f>vG_crest!$AY$50:$AY$67</c:f>
              <c:numCache>
                <c:formatCode>General</c:formatCode>
                <c:ptCount val="18"/>
                <c:pt idx="0">
                  <c:v>0.94232838437948441</c:v>
                </c:pt>
                <c:pt idx="2">
                  <c:v>1.2942540098705198</c:v>
                </c:pt>
                <c:pt idx="3">
                  <c:v>0.79643287366199367</c:v>
                </c:pt>
                <c:pt idx="4">
                  <c:v>1.4937257598634626</c:v>
                </c:pt>
                <c:pt idx="5">
                  <c:v>1.1906108599504626</c:v>
                </c:pt>
                <c:pt idx="6">
                  <c:v>0.83367674526718383</c:v>
                </c:pt>
                <c:pt idx="7">
                  <c:v>1.3240486817671948</c:v>
                </c:pt>
                <c:pt idx="8">
                  <c:v>1.0239593700982756</c:v>
                </c:pt>
                <c:pt idx="9">
                  <c:v>1.3882516377019187</c:v>
                </c:pt>
                <c:pt idx="10">
                  <c:v>1.3102787115933889</c:v>
                </c:pt>
                <c:pt idx="11">
                  <c:v>1.2365762669496974</c:v>
                </c:pt>
                <c:pt idx="12">
                  <c:v>1.2074723895996278</c:v>
                </c:pt>
                <c:pt idx="13">
                  <c:v>1.1245986066992597</c:v>
                </c:pt>
                <c:pt idx="14">
                  <c:v>0.94046860613277983</c:v>
                </c:pt>
                <c:pt idx="15">
                  <c:v>0.97978504082947371</c:v>
                </c:pt>
                <c:pt idx="16">
                  <c:v>0.59531741671016281</c:v>
                </c:pt>
                <c:pt idx="17">
                  <c:v>0.62062506952152363</c:v>
                </c:pt>
              </c:numCache>
            </c:numRef>
          </c:yVal>
          <c:smooth val="0"/>
        </c:ser>
        <c:ser>
          <c:idx val="3"/>
          <c:order val="3"/>
          <c:tx>
            <c:v>D</c:v>
          </c:tx>
          <c:spPr>
            <a:ln w="28575">
              <a:noFill/>
            </a:ln>
          </c:spPr>
          <c:marker>
            <c:symbol val="circ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vG_crest!$BC$6:$BC$23</c:f>
              <c:numCache>
                <c:formatCode>General</c:formatCode>
                <c:ptCount val="18"/>
                <c:pt idx="0">
                  <c:v>0.95835872103367525</c:v>
                </c:pt>
                <c:pt idx="1">
                  <c:v>0.66392964555807998</c:v>
                </c:pt>
                <c:pt idx="2">
                  <c:v>1.0990578642173288</c:v>
                </c:pt>
                <c:pt idx="3">
                  <c:v>0.86959689841637455</c:v>
                </c:pt>
                <c:pt idx="4">
                  <c:v>1.2299305309118733</c:v>
                </c:pt>
                <c:pt idx="5">
                  <c:v>1.0215679912631859</c:v>
                </c:pt>
                <c:pt idx="6">
                  <c:v>0.80363566382946316</c:v>
                </c:pt>
                <c:pt idx="7">
                  <c:v>1.1715464485935712</c:v>
                </c:pt>
                <c:pt idx="8">
                  <c:v>1.004319769290914</c:v>
                </c:pt>
                <c:pt idx="9">
                  <c:v>1.1529888539948958</c:v>
                </c:pt>
                <c:pt idx="10">
                  <c:v>1.1696003193272897</c:v>
                </c:pt>
                <c:pt idx="11">
                  <c:v>1.1050117526287624</c:v>
                </c:pt>
                <c:pt idx="12">
                  <c:v>1.0511553387899735</c:v>
                </c:pt>
                <c:pt idx="13">
                  <c:v>1.0585301758618331</c:v>
                </c:pt>
                <c:pt idx="14">
                  <c:v>0.95033710580549224</c:v>
                </c:pt>
                <c:pt idx="15">
                  <c:v>0.89356246006053242</c:v>
                </c:pt>
                <c:pt idx="16">
                  <c:v>0.73862369945344486</c:v>
                </c:pt>
                <c:pt idx="17">
                  <c:v>0.70968901281728813</c:v>
                </c:pt>
              </c:numCache>
            </c:numRef>
          </c:xVal>
          <c:yVal>
            <c:numRef>
              <c:f>vG_crest!$AY$72:$AY$89</c:f>
              <c:numCache>
                <c:formatCode>General</c:formatCode>
                <c:ptCount val="18"/>
                <c:pt idx="0">
                  <c:v>0.57212794765897268</c:v>
                </c:pt>
                <c:pt idx="2">
                  <c:v>1.1788428242769702</c:v>
                </c:pt>
                <c:pt idx="3">
                  <c:v>0.47447064813906015</c:v>
                </c:pt>
                <c:pt idx="4">
                  <c:v>1.2978272995535003</c:v>
                </c:pt>
                <c:pt idx="5">
                  <c:v>1.0145346060141265</c:v>
                </c:pt>
                <c:pt idx="6">
                  <c:v>0.48129791479342576</c:v>
                </c:pt>
                <c:pt idx="7">
                  <c:v>1.1991384287702895</c:v>
                </c:pt>
                <c:pt idx="8">
                  <c:v>0.81063450132780157</c:v>
                </c:pt>
                <c:pt idx="9">
                  <c:v>1.295701528521791</c:v>
                </c:pt>
                <c:pt idx="10">
                  <c:v>1.2120078082238848</c:v>
                </c:pt>
                <c:pt idx="11">
                  <c:v>1.0456953666822943</c:v>
                </c:pt>
                <c:pt idx="12">
                  <c:v>0.95912700450466903</c:v>
                </c:pt>
                <c:pt idx="13">
                  <c:v>0.88551071393642489</c:v>
                </c:pt>
                <c:pt idx="14">
                  <c:v>0.76254211308063224</c:v>
                </c:pt>
                <c:pt idx="15">
                  <c:v>0.58443318224915985</c:v>
                </c:pt>
              </c:numCache>
            </c:numRef>
          </c:yVal>
          <c:smooth val="0"/>
        </c:ser>
        <c:ser>
          <c:idx val="5"/>
          <c:order val="4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vG_crest!$CP$2:$CP$3</c:f>
              <c:numCache>
                <c:formatCode>General</c:formatCode>
                <c:ptCount val="2"/>
                <c:pt idx="0">
                  <c:v>0</c:v>
                </c:pt>
                <c:pt idx="1">
                  <c:v>2.5</c:v>
                </c:pt>
              </c:numCache>
            </c:numRef>
          </c:xVal>
          <c:yVal>
            <c:numRef>
              <c:f>vG_crest!$CQ$2:$CQ$3</c:f>
              <c:numCache>
                <c:formatCode>General</c:formatCode>
                <c:ptCount val="2"/>
                <c:pt idx="0">
                  <c:v>0</c:v>
                </c:pt>
                <c:pt idx="1">
                  <c:v>2.5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588288"/>
        <c:axId val="114590464"/>
      </c:scatterChart>
      <c:valAx>
        <c:axId val="114588288"/>
        <c:scaling>
          <c:orientation val="minMax"/>
          <c:max val="2.5"/>
        </c:scaling>
        <c:delete val="0"/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itchFamily="34" charset="0"/>
                    <a:ea typeface="+mn-ea"/>
                    <a:cs typeface="Arial" pitchFamily="34" charset="0"/>
                  </a:defRPr>
                </a:pPr>
                <a:r>
                  <a:rPr lang="nl-NL" sz="1200" b="0" i="0" baseline="0">
                    <a:effectLst/>
                  </a:rPr>
                  <a:t>((R</a:t>
                </a:r>
                <a:r>
                  <a:rPr lang="nl-NL" sz="1200" b="0" i="0" baseline="-25000">
                    <a:effectLst/>
                  </a:rPr>
                  <a:t>u2%</a:t>
                </a:r>
                <a:r>
                  <a:rPr lang="nl-NL" sz="1200" b="0" i="0" baseline="0">
                    <a:effectLst/>
                  </a:rPr>
                  <a:t> - R</a:t>
                </a:r>
                <a:r>
                  <a:rPr lang="nl-NL" sz="1200" b="0" i="0" baseline="-25000">
                    <a:effectLst/>
                  </a:rPr>
                  <a:t>c</a:t>
                </a:r>
                <a:r>
                  <a:rPr lang="nl-NL" sz="1200" b="0" i="0" baseline="0">
                    <a:effectLst/>
                  </a:rPr>
                  <a:t>) / H</a:t>
                </a:r>
                <a:r>
                  <a:rPr lang="nl-NL" sz="1200" b="0" i="0" baseline="-25000">
                    <a:effectLst/>
                  </a:rPr>
                  <a:t>m0</a:t>
                </a:r>
                <a:r>
                  <a:rPr lang="nl-NL" sz="1200" b="0" i="0" baseline="0">
                    <a:effectLst/>
                  </a:rPr>
                  <a:t>)</a:t>
                </a:r>
                <a:r>
                  <a:rPr lang="nl-NL" sz="1200" b="0" i="0" baseline="30000">
                    <a:effectLst/>
                  </a:rPr>
                  <a:t>0.5</a:t>
                </a:r>
                <a:endParaRPr lang="nl-NL" sz="12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14590464"/>
        <c:crosses val="autoZero"/>
        <c:crossBetween val="midCat"/>
        <c:majorUnit val="0.5"/>
      </c:valAx>
      <c:valAx>
        <c:axId val="114590464"/>
        <c:scaling>
          <c:orientation val="minMax"/>
          <c:max val="2.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nl-NL" sz="1200" b="0" i="0" baseline="0">
                    <a:effectLst/>
                  </a:rPr>
                  <a:t>u</a:t>
                </a:r>
                <a:r>
                  <a:rPr lang="nl-NL" sz="1200" b="0" i="0" baseline="-25000">
                    <a:effectLst/>
                  </a:rPr>
                  <a:t>2% </a:t>
                </a:r>
                <a:r>
                  <a:rPr lang="nl-NL" sz="1200" b="0" i="0" baseline="0">
                    <a:effectLst/>
                  </a:rPr>
                  <a:t>/ (gH</a:t>
                </a:r>
                <a:r>
                  <a:rPr lang="nl-NL" sz="1200" b="0" i="0" baseline="-25000">
                    <a:effectLst/>
                  </a:rPr>
                  <a:t>m0</a:t>
                </a:r>
                <a:r>
                  <a:rPr lang="nl-NL" sz="1200" b="0" i="0" baseline="0">
                    <a:effectLst/>
                  </a:rPr>
                  <a:t>)</a:t>
                </a:r>
                <a:r>
                  <a:rPr lang="nl-NL" sz="1200" b="0" i="0" baseline="30000">
                    <a:effectLst/>
                  </a:rPr>
                  <a:t>0.5  </a:t>
                </a:r>
                <a:r>
                  <a:rPr lang="nl-NL" sz="1200" b="0" i="0" baseline="0">
                    <a:effectLst/>
                  </a:rPr>
                  <a:t>mea. by van Gent</a:t>
                </a:r>
                <a:endParaRPr lang="nl-NL" sz="1200" baseline="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14588288"/>
        <c:crosses val="autoZero"/>
        <c:crossBetween val="midCat"/>
        <c:majorUnit val="0.5"/>
      </c:valAx>
    </c:plotArea>
    <c:legend>
      <c:legendPos val="r"/>
      <c:legendEntry>
        <c:idx val="4"/>
        <c:delete val="1"/>
      </c:legendEntry>
      <c:overlay val="0"/>
    </c:legend>
    <c:plotVisOnly val="1"/>
    <c:dispBlanksAs val="gap"/>
    <c:showDLblsOverMax val="0"/>
  </c:chart>
  <c:txPr>
    <a:bodyPr/>
    <a:lstStyle/>
    <a:p>
      <a:pPr>
        <a:defRPr sz="1200" b="0">
          <a:latin typeface="Arial" pitchFamily="34" charset="0"/>
          <a:cs typeface="Arial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nl-NL" sz="1200"/>
              <a:t>Seaward-side</a:t>
            </a:r>
            <a:r>
              <a:rPr lang="nl-NL" sz="1200" baseline="0"/>
              <a:t> crest edge</a:t>
            </a:r>
            <a:endParaRPr lang="nl-NL" sz="1200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</c:v>
          </c:tx>
          <c:spPr>
            <a:ln w="28575">
              <a:noFill/>
            </a:ln>
          </c:spPr>
          <c:marker>
            <c:symbol val="diamond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vG_crest!$BF$6:$BF$23</c:f>
              <c:numCache>
                <c:formatCode>General</c:formatCode>
                <c:ptCount val="18"/>
                <c:pt idx="0">
                  <c:v>0.8827779318336455</c:v>
                </c:pt>
                <c:pt idx="1">
                  <c:v>0.49363004030423568</c:v>
                </c:pt>
                <c:pt idx="2">
                  <c:v>1.2052251303768498</c:v>
                </c:pt>
                <c:pt idx="3">
                  <c:v>0.76261838178153774</c:v>
                </c:pt>
                <c:pt idx="4">
                  <c:v>1.6524487500909535</c:v>
                </c:pt>
                <c:pt idx="5">
                  <c:v>1.0820676534732001</c:v>
                </c:pt>
                <c:pt idx="6">
                  <c:v>0.68256951796765475</c:v>
                </c:pt>
                <c:pt idx="7">
                  <c:v>1.6239078601715928</c:v>
                </c:pt>
                <c:pt idx="8">
                  <c:v>1.1256829523233376</c:v>
                </c:pt>
                <c:pt idx="9">
                  <c:v>1.8309868983211131</c:v>
                </c:pt>
                <c:pt idx="10">
                  <c:v>1.4635630171591814</c:v>
                </c:pt>
                <c:pt idx="11">
                  <c:v>1.2641132877307242</c:v>
                </c:pt>
                <c:pt idx="12">
                  <c:v>1.1088689889728596</c:v>
                </c:pt>
                <c:pt idx="13">
                  <c:v>1.1036647682351233</c:v>
                </c:pt>
                <c:pt idx="14">
                  <c:v>0.92968840388124796</c:v>
                </c:pt>
                <c:pt idx="15">
                  <c:v>0.81084229814235742</c:v>
                </c:pt>
                <c:pt idx="16">
                  <c:v>0.58307288676978519</c:v>
                </c:pt>
                <c:pt idx="17">
                  <c:v>0.54545736871950634</c:v>
                </c:pt>
              </c:numCache>
            </c:numRef>
          </c:xVal>
          <c:yVal>
            <c:numRef>
              <c:f>vG_crest!$AY$6:$AY$23</c:f>
              <c:numCache>
                <c:formatCode>General</c:formatCode>
                <c:ptCount val="18"/>
                <c:pt idx="0">
                  <c:v>0.84977827519935634</c:v>
                </c:pt>
                <c:pt idx="2">
                  <c:v>1.187086480390795</c:v>
                </c:pt>
                <c:pt idx="3">
                  <c:v>0.56767023973780406</c:v>
                </c:pt>
                <c:pt idx="4">
                  <c:v>1.4529135806322204</c:v>
                </c:pt>
                <c:pt idx="5">
                  <c:v>0.9558425213686812</c:v>
                </c:pt>
                <c:pt idx="6">
                  <c:v>0.46410870355080341</c:v>
                </c:pt>
                <c:pt idx="7">
                  <c:v>1.3073939813676074</c:v>
                </c:pt>
                <c:pt idx="8">
                  <c:v>1.0239593700982756</c:v>
                </c:pt>
                <c:pt idx="9">
                  <c:v>1.3966652839910212</c:v>
                </c:pt>
                <c:pt idx="10">
                  <c:v>1.1628723565391326</c:v>
                </c:pt>
                <c:pt idx="11">
                  <c:v>1.2033795886423229</c:v>
                </c:pt>
                <c:pt idx="12">
                  <c:v>1.1047087819741277</c:v>
                </c:pt>
                <c:pt idx="13">
                  <c:v>1.0183373210268887</c:v>
                </c:pt>
                <c:pt idx="14">
                  <c:v>0.85574170467937627</c:v>
                </c:pt>
                <c:pt idx="15">
                  <c:v>0.91102819585898442</c:v>
                </c:pt>
                <c:pt idx="16">
                  <c:v>0.50777073778219761</c:v>
                </c:pt>
                <c:pt idx="17">
                  <c:v>0.66559790064627178</c:v>
                </c:pt>
              </c:numCache>
            </c:numRef>
          </c:yVal>
          <c:smooth val="0"/>
        </c:ser>
        <c:ser>
          <c:idx val="1"/>
          <c:order val="1"/>
          <c:tx>
            <c:v>B</c:v>
          </c:tx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vG_crest!$BF$6:$BF$23</c:f>
              <c:numCache>
                <c:formatCode>General</c:formatCode>
                <c:ptCount val="18"/>
                <c:pt idx="0">
                  <c:v>0.8827779318336455</c:v>
                </c:pt>
                <c:pt idx="1">
                  <c:v>0.49363004030423568</c:v>
                </c:pt>
                <c:pt idx="2">
                  <c:v>1.2052251303768498</c:v>
                </c:pt>
                <c:pt idx="3">
                  <c:v>0.76261838178153774</c:v>
                </c:pt>
                <c:pt idx="4">
                  <c:v>1.6524487500909535</c:v>
                </c:pt>
                <c:pt idx="5">
                  <c:v>1.0820676534732001</c:v>
                </c:pt>
                <c:pt idx="6">
                  <c:v>0.68256951796765475</c:v>
                </c:pt>
                <c:pt idx="7">
                  <c:v>1.6239078601715928</c:v>
                </c:pt>
                <c:pt idx="8">
                  <c:v>1.1256829523233376</c:v>
                </c:pt>
                <c:pt idx="9">
                  <c:v>1.8309868983211131</c:v>
                </c:pt>
                <c:pt idx="10">
                  <c:v>1.4635630171591814</c:v>
                </c:pt>
                <c:pt idx="11">
                  <c:v>1.2641132877307242</c:v>
                </c:pt>
                <c:pt idx="12">
                  <c:v>1.1088689889728596</c:v>
                </c:pt>
                <c:pt idx="13">
                  <c:v>1.1036647682351233</c:v>
                </c:pt>
                <c:pt idx="14">
                  <c:v>0.92968840388124796</c:v>
                </c:pt>
                <c:pt idx="15">
                  <c:v>0.81084229814235742</c:v>
                </c:pt>
                <c:pt idx="16">
                  <c:v>0.58307288676978519</c:v>
                </c:pt>
                <c:pt idx="17">
                  <c:v>0.54545736871950634</c:v>
                </c:pt>
              </c:numCache>
            </c:numRef>
          </c:xVal>
          <c:yVal>
            <c:numRef>
              <c:f>vG_crest!$AY$28:$AY$45</c:f>
              <c:numCache>
                <c:formatCode>General</c:formatCode>
                <c:ptCount val="18"/>
                <c:pt idx="0">
                  <c:v>1.0601194324269199</c:v>
                </c:pt>
                <c:pt idx="2">
                  <c:v>1.2612793854152198</c:v>
                </c:pt>
                <c:pt idx="3">
                  <c:v>0.83879632438869545</c:v>
                </c:pt>
                <c:pt idx="4">
                  <c:v>1.4202638372472265</c:v>
                </c:pt>
                <c:pt idx="5">
                  <c:v>1.1654571093881287</c:v>
                </c:pt>
                <c:pt idx="6">
                  <c:v>0.72194687219013853</c:v>
                </c:pt>
                <c:pt idx="7">
                  <c:v>1.3656854327661632</c:v>
                </c:pt>
                <c:pt idx="8">
                  <c:v>1.1263553071081034</c:v>
                </c:pt>
                <c:pt idx="9">
                  <c:v>1.4303198691474315</c:v>
                </c:pt>
                <c:pt idx="10">
                  <c:v>1.2693325018560957</c:v>
                </c:pt>
                <c:pt idx="11">
                  <c:v>1.2697729452570719</c:v>
                </c:pt>
                <c:pt idx="12">
                  <c:v>1.2331632915060029</c:v>
                </c:pt>
                <c:pt idx="13">
                  <c:v>1.1423088209779881</c:v>
                </c:pt>
                <c:pt idx="14">
                  <c:v>0.92352322584209912</c:v>
                </c:pt>
                <c:pt idx="15">
                  <c:v>0.92821740710160683</c:v>
                </c:pt>
                <c:pt idx="16">
                  <c:v>0.66535475985253489</c:v>
                </c:pt>
                <c:pt idx="17">
                  <c:v>0.63861420197142282</c:v>
                </c:pt>
              </c:numCache>
            </c:numRef>
          </c:yVal>
          <c:smooth val="0"/>
        </c:ser>
        <c:ser>
          <c:idx val="2"/>
          <c:order val="2"/>
          <c:tx>
            <c:v>C</c:v>
          </c:tx>
          <c:spPr>
            <a:ln w="28575">
              <a:noFill/>
            </a:ln>
          </c:spPr>
          <c:marker>
            <c:symbol val="triang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vG_crest!$BF$6:$BF$23</c:f>
              <c:numCache>
                <c:formatCode>General</c:formatCode>
                <c:ptCount val="18"/>
                <c:pt idx="0">
                  <c:v>0.8827779318336455</c:v>
                </c:pt>
                <c:pt idx="1">
                  <c:v>0.49363004030423568</c:v>
                </c:pt>
                <c:pt idx="2">
                  <c:v>1.2052251303768498</c:v>
                </c:pt>
                <c:pt idx="3">
                  <c:v>0.76261838178153774</c:v>
                </c:pt>
                <c:pt idx="4">
                  <c:v>1.6524487500909535</c:v>
                </c:pt>
                <c:pt idx="5">
                  <c:v>1.0820676534732001</c:v>
                </c:pt>
                <c:pt idx="6">
                  <c:v>0.68256951796765475</c:v>
                </c:pt>
                <c:pt idx="7">
                  <c:v>1.6239078601715928</c:v>
                </c:pt>
                <c:pt idx="8">
                  <c:v>1.1256829523233376</c:v>
                </c:pt>
                <c:pt idx="9">
                  <c:v>1.8309868983211131</c:v>
                </c:pt>
                <c:pt idx="10">
                  <c:v>1.4635630171591814</c:v>
                </c:pt>
                <c:pt idx="11">
                  <c:v>1.2641132877307242</c:v>
                </c:pt>
                <c:pt idx="12">
                  <c:v>1.1088689889728596</c:v>
                </c:pt>
                <c:pt idx="13">
                  <c:v>1.1036647682351233</c:v>
                </c:pt>
                <c:pt idx="14">
                  <c:v>0.92968840388124796</c:v>
                </c:pt>
                <c:pt idx="15">
                  <c:v>0.81084229814235742</c:v>
                </c:pt>
                <c:pt idx="16">
                  <c:v>0.58307288676978519</c:v>
                </c:pt>
                <c:pt idx="17">
                  <c:v>0.54545736871950634</c:v>
                </c:pt>
              </c:numCache>
            </c:numRef>
          </c:xVal>
          <c:yVal>
            <c:numRef>
              <c:f>vG_crest!$AY$50:$AY$67</c:f>
              <c:numCache>
                <c:formatCode>General</c:formatCode>
                <c:ptCount val="18"/>
                <c:pt idx="0">
                  <c:v>0.94232838437948441</c:v>
                </c:pt>
                <c:pt idx="2">
                  <c:v>1.2942540098705198</c:v>
                </c:pt>
                <c:pt idx="3">
                  <c:v>0.79643287366199367</c:v>
                </c:pt>
                <c:pt idx="4">
                  <c:v>1.4937257598634626</c:v>
                </c:pt>
                <c:pt idx="5">
                  <c:v>1.1906108599504626</c:v>
                </c:pt>
                <c:pt idx="6">
                  <c:v>0.83367674526718383</c:v>
                </c:pt>
                <c:pt idx="7">
                  <c:v>1.3240486817671948</c:v>
                </c:pt>
                <c:pt idx="8">
                  <c:v>1.0239593700982756</c:v>
                </c:pt>
                <c:pt idx="9">
                  <c:v>1.3882516377019187</c:v>
                </c:pt>
                <c:pt idx="10">
                  <c:v>1.3102787115933889</c:v>
                </c:pt>
                <c:pt idx="11">
                  <c:v>1.2365762669496974</c:v>
                </c:pt>
                <c:pt idx="12">
                  <c:v>1.2074723895996278</c:v>
                </c:pt>
                <c:pt idx="13">
                  <c:v>1.1245986066992597</c:v>
                </c:pt>
                <c:pt idx="14">
                  <c:v>0.94046860613277983</c:v>
                </c:pt>
                <c:pt idx="15">
                  <c:v>0.97978504082947371</c:v>
                </c:pt>
                <c:pt idx="16">
                  <c:v>0.59531741671016281</c:v>
                </c:pt>
                <c:pt idx="17">
                  <c:v>0.62062506952152363</c:v>
                </c:pt>
              </c:numCache>
            </c:numRef>
          </c:yVal>
          <c:smooth val="0"/>
        </c:ser>
        <c:ser>
          <c:idx val="3"/>
          <c:order val="3"/>
          <c:tx>
            <c:v>D</c:v>
          </c:tx>
          <c:spPr>
            <a:ln w="28575">
              <a:noFill/>
            </a:ln>
          </c:spPr>
          <c:marker>
            <c:symbol val="circ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vG_crest!$BF$6:$BF$23</c:f>
              <c:numCache>
                <c:formatCode>General</c:formatCode>
                <c:ptCount val="18"/>
                <c:pt idx="0">
                  <c:v>0.8827779318336455</c:v>
                </c:pt>
                <c:pt idx="1">
                  <c:v>0.49363004030423568</c:v>
                </c:pt>
                <c:pt idx="2">
                  <c:v>1.2052251303768498</c:v>
                </c:pt>
                <c:pt idx="3">
                  <c:v>0.76261838178153774</c:v>
                </c:pt>
                <c:pt idx="4">
                  <c:v>1.6524487500909535</c:v>
                </c:pt>
                <c:pt idx="5">
                  <c:v>1.0820676534732001</c:v>
                </c:pt>
                <c:pt idx="6">
                  <c:v>0.68256951796765475</c:v>
                </c:pt>
                <c:pt idx="7">
                  <c:v>1.6239078601715928</c:v>
                </c:pt>
                <c:pt idx="8">
                  <c:v>1.1256829523233376</c:v>
                </c:pt>
                <c:pt idx="9">
                  <c:v>1.8309868983211131</c:v>
                </c:pt>
                <c:pt idx="10">
                  <c:v>1.4635630171591814</c:v>
                </c:pt>
                <c:pt idx="11">
                  <c:v>1.2641132877307242</c:v>
                </c:pt>
                <c:pt idx="12">
                  <c:v>1.1088689889728596</c:v>
                </c:pt>
                <c:pt idx="13">
                  <c:v>1.1036647682351233</c:v>
                </c:pt>
                <c:pt idx="14">
                  <c:v>0.92968840388124796</c:v>
                </c:pt>
                <c:pt idx="15">
                  <c:v>0.81084229814235742</c:v>
                </c:pt>
                <c:pt idx="16">
                  <c:v>0.58307288676978519</c:v>
                </c:pt>
                <c:pt idx="17">
                  <c:v>0.54545736871950634</c:v>
                </c:pt>
              </c:numCache>
            </c:numRef>
          </c:xVal>
          <c:yVal>
            <c:numRef>
              <c:f>vG_crest!$AY$72:$AY$87</c:f>
              <c:numCache>
                <c:formatCode>General</c:formatCode>
                <c:ptCount val="16"/>
                <c:pt idx="0">
                  <c:v>0.57212794765897268</c:v>
                </c:pt>
                <c:pt idx="2">
                  <c:v>1.1788428242769702</c:v>
                </c:pt>
                <c:pt idx="3">
                  <c:v>0.47447064813906015</c:v>
                </c:pt>
                <c:pt idx="4">
                  <c:v>1.2978272995535003</c:v>
                </c:pt>
                <c:pt idx="5">
                  <c:v>1.0145346060141265</c:v>
                </c:pt>
                <c:pt idx="6">
                  <c:v>0.48129791479342576</c:v>
                </c:pt>
                <c:pt idx="7">
                  <c:v>1.1991384287702895</c:v>
                </c:pt>
                <c:pt idx="8">
                  <c:v>0.81063450132780157</c:v>
                </c:pt>
                <c:pt idx="9">
                  <c:v>1.295701528521791</c:v>
                </c:pt>
                <c:pt idx="10">
                  <c:v>1.2120078082238848</c:v>
                </c:pt>
                <c:pt idx="11">
                  <c:v>1.0456953666822943</c:v>
                </c:pt>
                <c:pt idx="12">
                  <c:v>0.95912700450466903</c:v>
                </c:pt>
                <c:pt idx="13">
                  <c:v>0.88551071393642489</c:v>
                </c:pt>
                <c:pt idx="14">
                  <c:v>0.76254211308063224</c:v>
                </c:pt>
                <c:pt idx="15">
                  <c:v>0.58443318224915985</c:v>
                </c:pt>
              </c:numCache>
            </c:numRef>
          </c:yVal>
          <c:smooth val="0"/>
        </c:ser>
        <c:ser>
          <c:idx val="5"/>
          <c:order val="4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vG_crest!$CY$2:$CY$3</c:f>
              <c:numCache>
                <c:formatCode>General</c:formatCode>
                <c:ptCount val="2"/>
                <c:pt idx="0">
                  <c:v>0</c:v>
                </c:pt>
                <c:pt idx="1">
                  <c:v>2.5</c:v>
                </c:pt>
              </c:numCache>
            </c:numRef>
          </c:xVal>
          <c:yVal>
            <c:numRef>
              <c:f>vG_crest!$CZ$2:$CZ$3</c:f>
              <c:numCache>
                <c:formatCode>General</c:formatCode>
                <c:ptCount val="2"/>
                <c:pt idx="0">
                  <c:v>0</c:v>
                </c:pt>
                <c:pt idx="1">
                  <c:v>2.5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073216"/>
        <c:axId val="116075136"/>
      </c:scatterChart>
      <c:valAx>
        <c:axId val="116073216"/>
        <c:scaling>
          <c:orientation val="minMax"/>
          <c:max val="2.5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nl-NL" sz="1200" b="0" i="0" baseline="0">
                    <a:effectLst/>
                  </a:rPr>
                  <a:t>u</a:t>
                </a:r>
                <a:r>
                  <a:rPr lang="nl-NL" sz="1200" b="0" i="0" baseline="-25000">
                    <a:effectLst/>
                  </a:rPr>
                  <a:t>A, 2%</a:t>
                </a:r>
                <a:r>
                  <a:rPr lang="nl-NL" sz="1200" b="0" i="0" baseline="0">
                    <a:effectLst/>
                  </a:rPr>
                  <a:t> / (gH</a:t>
                </a:r>
                <a:r>
                  <a:rPr lang="nl-NL" sz="1200" b="0" i="0" baseline="-25000">
                    <a:effectLst/>
                  </a:rPr>
                  <a:t>m0</a:t>
                </a:r>
                <a:r>
                  <a:rPr lang="nl-NL" sz="1200" b="0" i="0" baseline="0">
                    <a:effectLst/>
                  </a:rPr>
                  <a:t>)</a:t>
                </a:r>
                <a:r>
                  <a:rPr lang="nl-NL" sz="1200" b="0" i="0" baseline="30000">
                    <a:effectLst/>
                  </a:rPr>
                  <a:t>0.5 </a:t>
                </a:r>
                <a:r>
                  <a:rPr lang="nl-NL" sz="1200" b="0" i="0" baseline="0">
                    <a:effectLst/>
                  </a:rPr>
                  <a:t>com. by Trung</a:t>
                </a:r>
                <a:endParaRPr lang="nl-NL" sz="1200" baseline="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16075136"/>
        <c:crosses val="autoZero"/>
        <c:crossBetween val="midCat"/>
        <c:majorUnit val="0.5"/>
      </c:valAx>
      <c:valAx>
        <c:axId val="116075136"/>
        <c:scaling>
          <c:orientation val="minMax"/>
          <c:max val="2.5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itchFamily="34" charset="0"/>
                    <a:ea typeface="+mn-ea"/>
                    <a:cs typeface="Arial" pitchFamily="34" charset="0"/>
                  </a:defRPr>
                </a:pPr>
                <a:r>
                  <a:rPr lang="nl-NL" sz="1200" b="0" i="0" baseline="0">
                    <a:effectLst/>
                  </a:rPr>
                  <a:t>u</a:t>
                </a:r>
                <a:r>
                  <a:rPr lang="nl-NL" sz="1200" b="0" i="0" baseline="-25000">
                    <a:effectLst/>
                  </a:rPr>
                  <a:t>2% </a:t>
                </a:r>
                <a:r>
                  <a:rPr lang="nl-NL" sz="1200" b="0" i="0" baseline="0">
                    <a:effectLst/>
                  </a:rPr>
                  <a:t>/ (gH</a:t>
                </a:r>
                <a:r>
                  <a:rPr lang="nl-NL" sz="1200" b="0" i="0" baseline="-25000">
                    <a:effectLst/>
                  </a:rPr>
                  <a:t>m0</a:t>
                </a:r>
                <a:r>
                  <a:rPr lang="nl-NL" sz="1200" b="0" i="0" baseline="0">
                    <a:effectLst/>
                  </a:rPr>
                  <a:t>)</a:t>
                </a:r>
                <a:r>
                  <a:rPr lang="nl-NL" sz="1200" b="0" i="0" baseline="30000">
                    <a:effectLst/>
                  </a:rPr>
                  <a:t>0.5 </a:t>
                </a:r>
                <a:r>
                  <a:rPr lang="nl-NL" sz="1200" b="0" i="0" baseline="0">
                    <a:effectLst/>
                  </a:rPr>
                  <a:t>mea. by van Gent</a:t>
                </a:r>
                <a:endParaRPr lang="nl-NL" sz="12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16073216"/>
        <c:crosses val="autoZero"/>
        <c:crossBetween val="midCat"/>
        <c:majorUnit val="0.5"/>
      </c:valAx>
    </c:plotArea>
    <c:legend>
      <c:legendPos val="r"/>
      <c:legendEntry>
        <c:idx val="4"/>
        <c:delete val="1"/>
      </c:legendEntry>
      <c:overlay val="0"/>
    </c:legend>
    <c:plotVisOnly val="1"/>
    <c:dispBlanksAs val="gap"/>
    <c:showDLblsOverMax val="0"/>
  </c:chart>
  <c:txPr>
    <a:bodyPr/>
    <a:lstStyle/>
    <a:p>
      <a:pPr>
        <a:defRPr sz="1200" b="0">
          <a:latin typeface="Arial" pitchFamily="34" charset="0"/>
          <a:cs typeface="Arial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nl-NL" sz="1200"/>
              <a:t>Overtopping probability</a:t>
            </a:r>
          </a:p>
        </c:rich>
      </c:tx>
      <c:layout>
        <c:manualLayout>
          <c:xMode val="edge"/>
          <c:yMode val="edge"/>
          <c:x val="0.33246858769799459"/>
          <c:y val="3.1502230678523348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</c:v>
          </c:tx>
          <c:spPr>
            <a:ln w="28575">
              <a:noFill/>
            </a:ln>
          </c:spPr>
          <c:marker>
            <c:symbol val="diamond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vG_crest!$W$6:$W$23</c:f>
              <c:numCache>
                <c:formatCode>0.000</c:formatCode>
                <c:ptCount val="18"/>
                <c:pt idx="0">
                  <c:v>0.19</c:v>
                </c:pt>
                <c:pt idx="1">
                  <c:v>0.05</c:v>
                </c:pt>
                <c:pt idx="2">
                  <c:v>0.3</c:v>
                </c:pt>
                <c:pt idx="3">
                  <c:v>0.13</c:v>
                </c:pt>
                <c:pt idx="4">
                  <c:v>0.51</c:v>
                </c:pt>
                <c:pt idx="5">
                  <c:v>0.27</c:v>
                </c:pt>
                <c:pt idx="6">
                  <c:v>0.14000000000000001</c:v>
                </c:pt>
                <c:pt idx="7">
                  <c:v>0.5</c:v>
                </c:pt>
                <c:pt idx="8">
                  <c:v>0.4</c:v>
                </c:pt>
                <c:pt idx="9">
                  <c:v>0.63</c:v>
                </c:pt>
                <c:pt idx="10">
                  <c:v>0.38</c:v>
                </c:pt>
                <c:pt idx="11">
                  <c:v>0.31</c:v>
                </c:pt>
                <c:pt idx="12">
                  <c:v>0.27</c:v>
                </c:pt>
                <c:pt idx="13">
                  <c:v>0.22</c:v>
                </c:pt>
                <c:pt idx="14">
                  <c:v>0.2</c:v>
                </c:pt>
                <c:pt idx="15">
                  <c:v>0.2</c:v>
                </c:pt>
                <c:pt idx="16">
                  <c:v>0.11</c:v>
                </c:pt>
                <c:pt idx="17">
                  <c:v>0.11</c:v>
                </c:pt>
              </c:numCache>
            </c:numRef>
          </c:xVal>
          <c:yVal>
            <c:numRef>
              <c:f>vG_crest!$P$6:$P$23</c:f>
              <c:numCache>
                <c:formatCode>General</c:formatCode>
                <c:ptCount val="18"/>
                <c:pt idx="0">
                  <c:v>0.151928931844481</c:v>
                </c:pt>
                <c:pt idx="1">
                  <c:v>6.7367496375903058E-2</c:v>
                </c:pt>
                <c:pt idx="2">
                  <c:v>0.26845818016256462</c:v>
                </c:pt>
                <c:pt idx="3">
                  <c:v>0.14743826007013819</c:v>
                </c:pt>
                <c:pt idx="4">
                  <c:v>0.43143822704997298</c:v>
                </c:pt>
                <c:pt idx="5">
                  <c:v>0.28145051352325856</c:v>
                </c:pt>
                <c:pt idx="6">
                  <c:v>0.15382532229544876</c:v>
                </c:pt>
                <c:pt idx="7">
                  <c:v>0.49097594101940695</c:v>
                </c:pt>
                <c:pt idx="8">
                  <c:v>0.35418973339795073</c:v>
                </c:pt>
                <c:pt idx="9">
                  <c:v>0.63090138053171607</c:v>
                </c:pt>
                <c:pt idx="10">
                  <c:v>0.39049185488216409</c:v>
                </c:pt>
                <c:pt idx="11">
                  <c:v>0.33973367300540419</c:v>
                </c:pt>
                <c:pt idx="12">
                  <c:v>0.28603987571372996</c:v>
                </c:pt>
                <c:pt idx="13">
                  <c:v>0.26991462503009422</c:v>
                </c:pt>
                <c:pt idx="14">
                  <c:v>0.23402650067417108</c:v>
                </c:pt>
                <c:pt idx="15">
                  <c:v>0.19664512751983035</c:v>
                </c:pt>
                <c:pt idx="16">
                  <c:v>0.12167765579600523</c:v>
                </c:pt>
                <c:pt idx="17">
                  <c:v>0.10493766250375938</c:v>
                </c:pt>
              </c:numCache>
            </c:numRef>
          </c:yVal>
          <c:smooth val="0"/>
        </c:ser>
        <c:ser>
          <c:idx val="1"/>
          <c:order val="1"/>
          <c:tx>
            <c:v>B</c:v>
          </c:tx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vG_crest!$W$28:$W$45</c:f>
              <c:numCache>
                <c:formatCode>0.000</c:formatCode>
                <c:ptCount val="18"/>
                <c:pt idx="0">
                  <c:v>0.18</c:v>
                </c:pt>
                <c:pt idx="2">
                  <c:v>0.28000000000000003</c:v>
                </c:pt>
                <c:pt idx="3">
                  <c:v>0.13</c:v>
                </c:pt>
                <c:pt idx="4">
                  <c:v>0.41</c:v>
                </c:pt>
                <c:pt idx="5">
                  <c:v>0.27</c:v>
                </c:pt>
                <c:pt idx="6">
                  <c:v>0.13</c:v>
                </c:pt>
                <c:pt idx="7">
                  <c:v>0.48</c:v>
                </c:pt>
                <c:pt idx="8">
                  <c:v>0.37</c:v>
                </c:pt>
                <c:pt idx="9">
                  <c:v>0.62</c:v>
                </c:pt>
                <c:pt idx="10">
                  <c:v>0.36</c:v>
                </c:pt>
                <c:pt idx="11">
                  <c:v>0.28999999999999998</c:v>
                </c:pt>
                <c:pt idx="12">
                  <c:v>0.26</c:v>
                </c:pt>
                <c:pt idx="13">
                  <c:v>0.22</c:v>
                </c:pt>
                <c:pt idx="14">
                  <c:v>0.19</c:v>
                </c:pt>
                <c:pt idx="15">
                  <c:v>0.17</c:v>
                </c:pt>
                <c:pt idx="16">
                  <c:v>0.09</c:v>
                </c:pt>
                <c:pt idx="17">
                  <c:v>0.08</c:v>
                </c:pt>
              </c:numCache>
            </c:numRef>
          </c:xVal>
          <c:yVal>
            <c:numRef>
              <c:f>vG_crest!$P$6:$P$23</c:f>
              <c:numCache>
                <c:formatCode>General</c:formatCode>
                <c:ptCount val="18"/>
                <c:pt idx="0">
                  <c:v>0.151928931844481</c:v>
                </c:pt>
                <c:pt idx="1">
                  <c:v>6.7367496375903058E-2</c:v>
                </c:pt>
                <c:pt idx="2">
                  <c:v>0.26845818016256462</c:v>
                </c:pt>
                <c:pt idx="3">
                  <c:v>0.14743826007013819</c:v>
                </c:pt>
                <c:pt idx="4">
                  <c:v>0.43143822704997298</c:v>
                </c:pt>
                <c:pt idx="5">
                  <c:v>0.28145051352325856</c:v>
                </c:pt>
                <c:pt idx="6">
                  <c:v>0.15382532229544876</c:v>
                </c:pt>
                <c:pt idx="7">
                  <c:v>0.49097594101940695</c:v>
                </c:pt>
                <c:pt idx="8">
                  <c:v>0.35418973339795073</c:v>
                </c:pt>
                <c:pt idx="9">
                  <c:v>0.63090138053171607</c:v>
                </c:pt>
                <c:pt idx="10">
                  <c:v>0.39049185488216409</c:v>
                </c:pt>
                <c:pt idx="11">
                  <c:v>0.33973367300540419</c:v>
                </c:pt>
                <c:pt idx="12">
                  <c:v>0.28603987571372996</c:v>
                </c:pt>
                <c:pt idx="13">
                  <c:v>0.26991462503009422</c:v>
                </c:pt>
                <c:pt idx="14">
                  <c:v>0.23402650067417108</c:v>
                </c:pt>
                <c:pt idx="15">
                  <c:v>0.19664512751983035</c:v>
                </c:pt>
                <c:pt idx="16">
                  <c:v>0.12167765579600523</c:v>
                </c:pt>
                <c:pt idx="17">
                  <c:v>0.10493766250375938</c:v>
                </c:pt>
              </c:numCache>
            </c:numRef>
          </c:yVal>
          <c:smooth val="0"/>
        </c:ser>
        <c:ser>
          <c:idx val="2"/>
          <c:order val="2"/>
          <c:tx>
            <c:v>C</c:v>
          </c:tx>
          <c:spPr>
            <a:ln w="28575">
              <a:noFill/>
            </a:ln>
          </c:spPr>
          <c:marker>
            <c:symbol val="triang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vG_crest!$W$50:$W$67</c:f>
              <c:numCache>
                <c:formatCode>0.000</c:formatCode>
                <c:ptCount val="18"/>
                <c:pt idx="0">
                  <c:v>0.13</c:v>
                </c:pt>
                <c:pt idx="2">
                  <c:v>0.2</c:v>
                </c:pt>
                <c:pt idx="3">
                  <c:v>0.1</c:v>
                </c:pt>
                <c:pt idx="4">
                  <c:v>0.2</c:v>
                </c:pt>
                <c:pt idx="5">
                  <c:v>0.18</c:v>
                </c:pt>
                <c:pt idx="6">
                  <c:v>0.09</c:v>
                </c:pt>
                <c:pt idx="7">
                  <c:v>0.12</c:v>
                </c:pt>
                <c:pt idx="8">
                  <c:v>0.2</c:v>
                </c:pt>
                <c:pt idx="9">
                  <c:v>0.16</c:v>
                </c:pt>
                <c:pt idx="10">
                  <c:v>0.21</c:v>
                </c:pt>
                <c:pt idx="11">
                  <c:v>0.21</c:v>
                </c:pt>
                <c:pt idx="12">
                  <c:v>0.18</c:v>
                </c:pt>
                <c:pt idx="13">
                  <c:v>0.16</c:v>
                </c:pt>
                <c:pt idx="14">
                  <c:v>0.22</c:v>
                </c:pt>
                <c:pt idx="15">
                  <c:v>0.14000000000000001</c:v>
                </c:pt>
                <c:pt idx="16">
                  <c:v>7.0000000000000007E-2</c:v>
                </c:pt>
                <c:pt idx="17">
                  <c:v>7.0000000000000007E-2</c:v>
                </c:pt>
              </c:numCache>
            </c:numRef>
          </c:xVal>
          <c:yVal>
            <c:numRef>
              <c:f>vG_crest!$P$6:$P$23</c:f>
              <c:numCache>
                <c:formatCode>General</c:formatCode>
                <c:ptCount val="18"/>
                <c:pt idx="0">
                  <c:v>0.151928931844481</c:v>
                </c:pt>
                <c:pt idx="1">
                  <c:v>6.7367496375903058E-2</c:v>
                </c:pt>
                <c:pt idx="2">
                  <c:v>0.26845818016256462</c:v>
                </c:pt>
                <c:pt idx="3">
                  <c:v>0.14743826007013819</c:v>
                </c:pt>
                <c:pt idx="4">
                  <c:v>0.43143822704997298</c:v>
                </c:pt>
                <c:pt idx="5">
                  <c:v>0.28145051352325856</c:v>
                </c:pt>
                <c:pt idx="6">
                  <c:v>0.15382532229544876</c:v>
                </c:pt>
                <c:pt idx="7">
                  <c:v>0.49097594101940695</c:v>
                </c:pt>
                <c:pt idx="8">
                  <c:v>0.35418973339795073</c:v>
                </c:pt>
                <c:pt idx="9">
                  <c:v>0.63090138053171607</c:v>
                </c:pt>
                <c:pt idx="10">
                  <c:v>0.39049185488216409</c:v>
                </c:pt>
                <c:pt idx="11">
                  <c:v>0.33973367300540419</c:v>
                </c:pt>
                <c:pt idx="12">
                  <c:v>0.28603987571372996</c:v>
                </c:pt>
                <c:pt idx="13">
                  <c:v>0.26991462503009422</c:v>
                </c:pt>
                <c:pt idx="14">
                  <c:v>0.23402650067417108</c:v>
                </c:pt>
                <c:pt idx="15">
                  <c:v>0.19664512751983035</c:v>
                </c:pt>
                <c:pt idx="16">
                  <c:v>0.12167765579600523</c:v>
                </c:pt>
                <c:pt idx="17">
                  <c:v>0.10493766250375938</c:v>
                </c:pt>
              </c:numCache>
            </c:numRef>
          </c:yVal>
          <c:smooth val="0"/>
        </c:ser>
        <c:ser>
          <c:idx val="3"/>
          <c:order val="3"/>
          <c:tx>
            <c:v>D</c:v>
          </c:tx>
          <c:spPr>
            <a:ln w="28575">
              <a:noFill/>
            </a:ln>
          </c:spPr>
          <c:marker>
            <c:symbol val="circ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vG_crest!$W$72:$W$89</c:f>
              <c:numCache>
                <c:formatCode>0.000</c:formatCode>
                <c:ptCount val="18"/>
                <c:pt idx="0">
                  <c:v>0.15</c:v>
                </c:pt>
                <c:pt idx="2">
                  <c:v>0.23</c:v>
                </c:pt>
                <c:pt idx="3">
                  <c:v>0.14000000000000001</c:v>
                </c:pt>
                <c:pt idx="4">
                  <c:v>0.27</c:v>
                </c:pt>
                <c:pt idx="5">
                  <c:v>0.19</c:v>
                </c:pt>
                <c:pt idx="6">
                  <c:v>0.09</c:v>
                </c:pt>
                <c:pt idx="7">
                  <c:v>0.24</c:v>
                </c:pt>
                <c:pt idx="8">
                  <c:v>0.21</c:v>
                </c:pt>
                <c:pt idx="9">
                  <c:v>0.21</c:v>
                </c:pt>
                <c:pt idx="10">
                  <c:v>0.25</c:v>
                </c:pt>
                <c:pt idx="11">
                  <c:v>0.22</c:v>
                </c:pt>
                <c:pt idx="12">
                  <c:v>0.2</c:v>
                </c:pt>
                <c:pt idx="13">
                  <c:v>0.16</c:v>
                </c:pt>
                <c:pt idx="14">
                  <c:v>0.13</c:v>
                </c:pt>
                <c:pt idx="15">
                  <c:v>0.13</c:v>
                </c:pt>
                <c:pt idx="16">
                  <c:v>0.06</c:v>
                </c:pt>
                <c:pt idx="17">
                  <c:v>7.0000000000000007E-2</c:v>
                </c:pt>
              </c:numCache>
            </c:numRef>
          </c:xVal>
          <c:yVal>
            <c:numRef>
              <c:f>vG_crest!$P$6:$P$23</c:f>
              <c:numCache>
                <c:formatCode>General</c:formatCode>
                <c:ptCount val="18"/>
                <c:pt idx="0">
                  <c:v>0.151928931844481</c:v>
                </c:pt>
                <c:pt idx="1">
                  <c:v>6.7367496375903058E-2</c:v>
                </c:pt>
                <c:pt idx="2">
                  <c:v>0.26845818016256462</c:v>
                </c:pt>
                <c:pt idx="3">
                  <c:v>0.14743826007013819</c:v>
                </c:pt>
                <c:pt idx="4">
                  <c:v>0.43143822704997298</c:v>
                </c:pt>
                <c:pt idx="5">
                  <c:v>0.28145051352325856</c:v>
                </c:pt>
                <c:pt idx="6">
                  <c:v>0.15382532229544876</c:v>
                </c:pt>
                <c:pt idx="7">
                  <c:v>0.49097594101940695</c:v>
                </c:pt>
                <c:pt idx="8">
                  <c:v>0.35418973339795073</c:v>
                </c:pt>
                <c:pt idx="9">
                  <c:v>0.63090138053171607</c:v>
                </c:pt>
                <c:pt idx="10">
                  <c:v>0.39049185488216409</c:v>
                </c:pt>
                <c:pt idx="11">
                  <c:v>0.33973367300540419</c:v>
                </c:pt>
                <c:pt idx="12">
                  <c:v>0.28603987571372996</c:v>
                </c:pt>
                <c:pt idx="13">
                  <c:v>0.26991462503009422</c:v>
                </c:pt>
                <c:pt idx="14">
                  <c:v>0.23402650067417108</c:v>
                </c:pt>
                <c:pt idx="15">
                  <c:v>0.19664512751983035</c:v>
                </c:pt>
                <c:pt idx="16">
                  <c:v>0.12167765579600523</c:v>
                </c:pt>
                <c:pt idx="17">
                  <c:v>0.10493766250375938</c:v>
                </c:pt>
              </c:numCache>
            </c:numRef>
          </c:yVal>
          <c:smooth val="0"/>
        </c:ser>
        <c:ser>
          <c:idx val="4"/>
          <c:order val="4"/>
          <c:tx>
            <c:v>D'</c:v>
          </c:tx>
          <c:spPr>
            <a:ln w="28575">
              <a:noFill/>
            </a:ln>
          </c:spPr>
          <c:marker>
            <c:symbol val="dot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vG_crest!$W$94:$W$111</c:f>
              <c:numCache>
                <c:formatCode>0.000</c:formatCode>
                <c:ptCount val="18"/>
                <c:pt idx="0">
                  <c:v>0.05</c:v>
                </c:pt>
                <c:pt idx="2">
                  <c:v>0.14000000000000001</c:v>
                </c:pt>
                <c:pt idx="3">
                  <c:v>0.01</c:v>
                </c:pt>
                <c:pt idx="4">
                  <c:v>0.22</c:v>
                </c:pt>
                <c:pt idx="5">
                  <c:v>0.09</c:v>
                </c:pt>
                <c:pt idx="6">
                  <c:v>0.01</c:v>
                </c:pt>
                <c:pt idx="7">
                  <c:v>0.2</c:v>
                </c:pt>
                <c:pt idx="8">
                  <c:v>0.11</c:v>
                </c:pt>
                <c:pt idx="9">
                  <c:v>0.28999999999999998</c:v>
                </c:pt>
                <c:pt idx="10">
                  <c:v>0.19</c:v>
                </c:pt>
                <c:pt idx="11">
                  <c:v>0.15</c:v>
                </c:pt>
                <c:pt idx="12">
                  <c:v>0.1</c:v>
                </c:pt>
                <c:pt idx="13">
                  <c:v>0.09</c:v>
                </c:pt>
                <c:pt idx="14">
                  <c:v>0.04</c:v>
                </c:pt>
                <c:pt idx="15">
                  <c:v>0.04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vG_crest!$P$6:$P$23</c:f>
              <c:numCache>
                <c:formatCode>General</c:formatCode>
                <c:ptCount val="18"/>
                <c:pt idx="0">
                  <c:v>0.151928931844481</c:v>
                </c:pt>
                <c:pt idx="1">
                  <c:v>6.7367496375903058E-2</c:v>
                </c:pt>
                <c:pt idx="2">
                  <c:v>0.26845818016256462</c:v>
                </c:pt>
                <c:pt idx="3">
                  <c:v>0.14743826007013819</c:v>
                </c:pt>
                <c:pt idx="4">
                  <c:v>0.43143822704997298</c:v>
                </c:pt>
                <c:pt idx="5">
                  <c:v>0.28145051352325856</c:v>
                </c:pt>
                <c:pt idx="6">
                  <c:v>0.15382532229544876</c:v>
                </c:pt>
                <c:pt idx="7">
                  <c:v>0.49097594101940695</c:v>
                </c:pt>
                <c:pt idx="8">
                  <c:v>0.35418973339795073</c:v>
                </c:pt>
                <c:pt idx="9">
                  <c:v>0.63090138053171607</c:v>
                </c:pt>
                <c:pt idx="10">
                  <c:v>0.39049185488216409</c:v>
                </c:pt>
                <c:pt idx="11">
                  <c:v>0.33973367300540419</c:v>
                </c:pt>
                <c:pt idx="12">
                  <c:v>0.28603987571372996</c:v>
                </c:pt>
                <c:pt idx="13">
                  <c:v>0.26991462503009422</c:v>
                </c:pt>
                <c:pt idx="14">
                  <c:v>0.23402650067417108</c:v>
                </c:pt>
                <c:pt idx="15">
                  <c:v>0.19664512751983035</c:v>
                </c:pt>
                <c:pt idx="16">
                  <c:v>0.12167765579600523</c:v>
                </c:pt>
                <c:pt idx="17">
                  <c:v>0.10493766250375938</c:v>
                </c:pt>
              </c:numCache>
            </c:numRef>
          </c:yVal>
          <c:smooth val="0"/>
        </c:ser>
        <c:ser>
          <c:idx val="5"/>
          <c:order val="5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vG_crest!$H$50:$H$51</c:f>
              <c:numCache>
                <c:formatCode>General</c:formatCode>
                <c:ptCount val="2"/>
                <c:pt idx="0">
                  <c:v>0</c:v>
                </c:pt>
                <c:pt idx="1">
                  <c:v>1.2</c:v>
                </c:pt>
              </c:numCache>
            </c:numRef>
          </c:xVal>
          <c:yVal>
            <c:numRef>
              <c:f>vG_crest!$I$50:$I$51</c:f>
              <c:numCache>
                <c:formatCode>General</c:formatCode>
                <c:ptCount val="2"/>
                <c:pt idx="0">
                  <c:v>0</c:v>
                </c:pt>
                <c:pt idx="1">
                  <c:v>1.2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120960"/>
        <c:axId val="116852224"/>
      </c:scatterChart>
      <c:valAx>
        <c:axId val="116120960"/>
        <c:scaling>
          <c:orientation val="minMax"/>
          <c:max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P</a:t>
                </a:r>
                <a:r>
                  <a:rPr lang="nl-NL" baseline="-25000"/>
                  <a:t>ov</a:t>
                </a:r>
                <a:r>
                  <a:rPr lang="nl-NL"/>
                  <a:t> mea. of van Gent</a:t>
                </a:r>
              </a:p>
            </c:rich>
          </c:tx>
          <c:layout/>
          <c:overlay val="0"/>
        </c:title>
        <c:numFmt formatCode="0.000" sourceLinked="1"/>
        <c:majorTickMark val="none"/>
        <c:minorTickMark val="none"/>
        <c:tickLblPos val="nextTo"/>
        <c:crossAx val="116852224"/>
        <c:crosses val="autoZero"/>
        <c:crossBetween val="midCat"/>
        <c:majorUnit val="0.2"/>
      </c:valAx>
      <c:valAx>
        <c:axId val="116852224"/>
        <c:scaling>
          <c:orientation val="minMax"/>
          <c:max val="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P</a:t>
                </a:r>
                <a:r>
                  <a:rPr lang="nl-NL" baseline="-25000"/>
                  <a:t>ov</a:t>
                </a:r>
                <a:r>
                  <a:rPr lang="nl-NL"/>
                  <a:t> EurOtop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16120960"/>
        <c:crosses val="autoZero"/>
        <c:crossBetween val="midCat"/>
        <c:majorUnit val="0.2"/>
      </c:valAx>
    </c:plotArea>
    <c:legend>
      <c:legendPos val="r"/>
      <c:legendEntry>
        <c:idx val="5"/>
        <c:delete val="1"/>
      </c:legendEntry>
      <c:layout/>
      <c:overlay val="0"/>
    </c:legend>
    <c:plotVisOnly val="1"/>
    <c:dispBlanksAs val="gap"/>
    <c:showDLblsOverMax val="0"/>
  </c:chart>
  <c:txPr>
    <a:bodyPr/>
    <a:lstStyle/>
    <a:p>
      <a:pPr>
        <a:defRPr sz="1200" b="0">
          <a:latin typeface="Arial" pitchFamily="34" charset="0"/>
          <a:cs typeface="Arial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nl-NL" sz="1200"/>
              <a:t>Overtopping volume V</a:t>
            </a:r>
            <a:r>
              <a:rPr lang="nl-NL" sz="1200" baseline="-25000"/>
              <a:t>2%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</c:v>
          </c:tx>
          <c:spPr>
            <a:ln w="28575">
              <a:noFill/>
            </a:ln>
          </c:spPr>
          <c:marker>
            <c:symbol val="diamond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vG_crest!$AW$6:$AW$23</c:f>
              <c:numCache>
                <c:formatCode>General</c:formatCode>
                <c:ptCount val="18"/>
                <c:pt idx="0">
                  <c:v>0.28452932098765438</c:v>
                </c:pt>
                <c:pt idx="2">
                  <c:v>0.48444444444444446</c:v>
                </c:pt>
                <c:pt idx="3">
                  <c:v>0.21672287244594327</c:v>
                </c:pt>
                <c:pt idx="4">
                  <c:v>0.86846939211414409</c:v>
                </c:pt>
                <c:pt idx="5">
                  <c:v>0.37764565992865645</c:v>
                </c:pt>
                <c:pt idx="6">
                  <c:v>0.19008611636210879</c:v>
                </c:pt>
                <c:pt idx="7">
                  <c:v>0.5928085519922256</c:v>
                </c:pt>
                <c:pt idx="8">
                  <c:v>0.32602040816326527</c:v>
                </c:pt>
                <c:pt idx="9">
                  <c:v>0.77353395061728403</c:v>
                </c:pt>
                <c:pt idx="10">
                  <c:v>0.49601800554016628</c:v>
                </c:pt>
                <c:pt idx="11">
                  <c:v>0.42960189919649389</c:v>
                </c:pt>
                <c:pt idx="12">
                  <c:v>0.43890067801873595</c:v>
                </c:pt>
                <c:pt idx="13">
                  <c:v>0.40295857988165673</c:v>
                </c:pt>
                <c:pt idx="14">
                  <c:v>0.26532434040864911</c:v>
                </c:pt>
                <c:pt idx="15">
                  <c:v>0.27987817685360211</c:v>
                </c:pt>
                <c:pt idx="16">
                  <c:v>0.10458477019616709</c:v>
                </c:pt>
                <c:pt idx="17">
                  <c:v>0.17888636936255981</c:v>
                </c:pt>
              </c:numCache>
            </c:numRef>
          </c:xVal>
          <c:yVal>
            <c:numRef>
              <c:f>vG_crest!$T$6:$T$23</c:f>
              <c:numCache>
                <c:formatCode>0.00000</c:formatCode>
                <c:ptCount val="18"/>
                <c:pt idx="0">
                  <c:v>0.20082020858166352</c:v>
                </c:pt>
                <c:pt idx="1">
                  <c:v>6.2792480654712657E-2</c:v>
                </c:pt>
                <c:pt idx="2">
                  <c:v>0.37431810653442493</c:v>
                </c:pt>
                <c:pt idx="3">
                  <c:v>0.14987148695783528</c:v>
                </c:pt>
                <c:pt idx="4">
                  <c:v>0.70365613074061284</c:v>
                </c:pt>
                <c:pt idx="5">
                  <c:v>0.30172639754407099</c:v>
                </c:pt>
                <c:pt idx="6">
                  <c:v>0.12005997747464998</c:v>
                </c:pt>
                <c:pt idx="7">
                  <c:v>0.67955912093636628</c:v>
                </c:pt>
                <c:pt idx="8">
                  <c:v>0.32654020130072614</c:v>
                </c:pt>
                <c:pt idx="9">
                  <c:v>0.86392283126482661</c:v>
                </c:pt>
                <c:pt idx="10">
                  <c:v>0.55198507046006184</c:v>
                </c:pt>
                <c:pt idx="11">
                  <c:v>0.41179064002916976</c:v>
                </c:pt>
                <c:pt idx="12">
                  <c:v>0.31685820240879392</c:v>
                </c:pt>
                <c:pt idx="13">
                  <c:v>0.31389098005216115</c:v>
                </c:pt>
                <c:pt idx="14">
                  <c:v>0.22273030203856217</c:v>
                </c:pt>
                <c:pt idx="15">
                  <c:v>0.16942491241191071</c:v>
                </c:pt>
                <c:pt idx="16">
                  <c:v>8.7609292252200321E-2</c:v>
                </c:pt>
                <c:pt idx="17">
                  <c:v>7.6670113165291959E-2</c:v>
                </c:pt>
              </c:numCache>
            </c:numRef>
          </c:yVal>
          <c:smooth val="0"/>
        </c:ser>
        <c:ser>
          <c:idx val="1"/>
          <c:order val="1"/>
          <c:tx>
            <c:v>B</c:v>
          </c:tx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vG_crest!$AW$28:$AW$45</c:f>
              <c:numCache>
                <c:formatCode>General</c:formatCode>
                <c:ptCount val="18"/>
                <c:pt idx="0">
                  <c:v>0.28983410493827161</c:v>
                </c:pt>
                <c:pt idx="2">
                  <c:v>0.46888888888888891</c:v>
                </c:pt>
                <c:pt idx="3">
                  <c:v>0.19837333862328904</c:v>
                </c:pt>
                <c:pt idx="4">
                  <c:v>0.69802212824127474</c:v>
                </c:pt>
                <c:pt idx="5">
                  <c:v>0.3652794292508918</c:v>
                </c:pt>
                <c:pt idx="6">
                  <c:v>0.20268851081705522</c:v>
                </c:pt>
                <c:pt idx="7">
                  <c:v>0.56226572261557695</c:v>
                </c:pt>
                <c:pt idx="8">
                  <c:v>0.31071428571428567</c:v>
                </c:pt>
                <c:pt idx="9">
                  <c:v>0.79909336419753108</c:v>
                </c:pt>
                <c:pt idx="10">
                  <c:v>0.47264542936288084</c:v>
                </c:pt>
                <c:pt idx="11">
                  <c:v>0.41955807158509867</c:v>
                </c:pt>
                <c:pt idx="12">
                  <c:v>0.41871538740230824</c:v>
                </c:pt>
                <c:pt idx="13">
                  <c:v>0.39999999999999991</c:v>
                </c:pt>
                <c:pt idx="14">
                  <c:v>0.27921047411227934</c:v>
                </c:pt>
                <c:pt idx="15">
                  <c:v>0.27725267800882164</c:v>
                </c:pt>
                <c:pt idx="16">
                  <c:v>0.16111707841031148</c:v>
                </c:pt>
                <c:pt idx="17">
                  <c:v>0.12156714537666917</c:v>
                </c:pt>
              </c:numCache>
            </c:numRef>
          </c:xVal>
          <c:yVal>
            <c:numRef>
              <c:f>vG_crest!$T$6:$T$23</c:f>
              <c:numCache>
                <c:formatCode>0.00000</c:formatCode>
                <c:ptCount val="18"/>
                <c:pt idx="0">
                  <c:v>0.20082020858166352</c:v>
                </c:pt>
                <c:pt idx="1">
                  <c:v>6.2792480654712657E-2</c:v>
                </c:pt>
                <c:pt idx="2">
                  <c:v>0.37431810653442493</c:v>
                </c:pt>
                <c:pt idx="3">
                  <c:v>0.14987148695783528</c:v>
                </c:pt>
                <c:pt idx="4">
                  <c:v>0.70365613074061284</c:v>
                </c:pt>
                <c:pt idx="5">
                  <c:v>0.30172639754407099</c:v>
                </c:pt>
                <c:pt idx="6">
                  <c:v>0.12005997747464998</c:v>
                </c:pt>
                <c:pt idx="7">
                  <c:v>0.67955912093636628</c:v>
                </c:pt>
                <c:pt idx="8">
                  <c:v>0.32654020130072614</c:v>
                </c:pt>
                <c:pt idx="9">
                  <c:v>0.86392283126482661</c:v>
                </c:pt>
                <c:pt idx="10">
                  <c:v>0.55198507046006184</c:v>
                </c:pt>
                <c:pt idx="11">
                  <c:v>0.41179064002916976</c:v>
                </c:pt>
                <c:pt idx="12">
                  <c:v>0.31685820240879392</c:v>
                </c:pt>
                <c:pt idx="13">
                  <c:v>0.31389098005216115</c:v>
                </c:pt>
                <c:pt idx="14">
                  <c:v>0.22273030203856217</c:v>
                </c:pt>
                <c:pt idx="15">
                  <c:v>0.16942491241191071</c:v>
                </c:pt>
                <c:pt idx="16">
                  <c:v>8.7609292252200321E-2</c:v>
                </c:pt>
                <c:pt idx="17">
                  <c:v>7.6670113165291959E-2</c:v>
                </c:pt>
              </c:numCache>
            </c:numRef>
          </c:yVal>
          <c:smooth val="0"/>
        </c:ser>
        <c:ser>
          <c:idx val="2"/>
          <c:order val="2"/>
          <c:tx>
            <c:v>C</c:v>
          </c:tx>
          <c:spPr>
            <a:ln w="28575">
              <a:noFill/>
            </a:ln>
          </c:spPr>
          <c:marker>
            <c:symbol val="triang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vG_crest!$AW$50:$AW$67</c:f>
              <c:numCache>
                <c:formatCode>General</c:formatCode>
                <c:ptCount val="18"/>
                <c:pt idx="0">
                  <c:v>0.29513888888888895</c:v>
                </c:pt>
                <c:pt idx="3">
                  <c:v>0.27573894068637178</c:v>
                </c:pt>
                <c:pt idx="7">
                  <c:v>0.62011199037438114</c:v>
                </c:pt>
                <c:pt idx="8">
                  <c:v>0.35663265306122449</c:v>
                </c:pt>
                <c:pt idx="9">
                  <c:v>0.88782793209876554</c:v>
                </c:pt>
                <c:pt idx="10">
                  <c:v>0.48606301939058172</c:v>
                </c:pt>
                <c:pt idx="11">
                  <c:v>0.48256026296566845</c:v>
                </c:pt>
                <c:pt idx="12">
                  <c:v>0.45028725221261823</c:v>
                </c:pt>
                <c:pt idx="13">
                  <c:v>0.43668639053254432</c:v>
                </c:pt>
                <c:pt idx="14">
                  <c:v>0.29012100773656019</c:v>
                </c:pt>
                <c:pt idx="15">
                  <c:v>0.28985507246376807</c:v>
                </c:pt>
                <c:pt idx="16">
                  <c:v>8.3667816156933666E-2</c:v>
                </c:pt>
                <c:pt idx="17">
                  <c:v>0.13668430335097001</c:v>
                </c:pt>
              </c:numCache>
            </c:numRef>
          </c:xVal>
          <c:yVal>
            <c:numRef>
              <c:f>vG_crest!$T$6:$T$23</c:f>
              <c:numCache>
                <c:formatCode>0.00000</c:formatCode>
                <c:ptCount val="18"/>
                <c:pt idx="0">
                  <c:v>0.20082020858166352</c:v>
                </c:pt>
                <c:pt idx="1">
                  <c:v>6.2792480654712657E-2</c:v>
                </c:pt>
                <c:pt idx="2">
                  <c:v>0.37431810653442493</c:v>
                </c:pt>
                <c:pt idx="3">
                  <c:v>0.14987148695783528</c:v>
                </c:pt>
                <c:pt idx="4">
                  <c:v>0.70365613074061284</c:v>
                </c:pt>
                <c:pt idx="5">
                  <c:v>0.30172639754407099</c:v>
                </c:pt>
                <c:pt idx="6">
                  <c:v>0.12005997747464998</c:v>
                </c:pt>
                <c:pt idx="7">
                  <c:v>0.67955912093636628</c:v>
                </c:pt>
                <c:pt idx="8">
                  <c:v>0.32654020130072614</c:v>
                </c:pt>
                <c:pt idx="9">
                  <c:v>0.86392283126482661</c:v>
                </c:pt>
                <c:pt idx="10">
                  <c:v>0.55198507046006184</c:v>
                </c:pt>
                <c:pt idx="11">
                  <c:v>0.41179064002916976</c:v>
                </c:pt>
                <c:pt idx="12">
                  <c:v>0.31685820240879392</c:v>
                </c:pt>
                <c:pt idx="13">
                  <c:v>0.31389098005216115</c:v>
                </c:pt>
                <c:pt idx="14">
                  <c:v>0.22273030203856217</c:v>
                </c:pt>
                <c:pt idx="15">
                  <c:v>0.16942491241191071</c:v>
                </c:pt>
                <c:pt idx="16">
                  <c:v>8.7609292252200321E-2</c:v>
                </c:pt>
                <c:pt idx="17">
                  <c:v>7.6670113165291959E-2</c:v>
                </c:pt>
              </c:numCache>
            </c:numRef>
          </c:yVal>
          <c:smooth val="0"/>
        </c:ser>
        <c:ser>
          <c:idx val="3"/>
          <c:order val="3"/>
          <c:tx>
            <c:v>D</c:v>
          </c:tx>
          <c:spPr>
            <a:ln w="28575">
              <a:noFill/>
            </a:ln>
          </c:spPr>
          <c:marker>
            <c:symbol val="circ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vG_crest!$AW$72:$AW$89</c:f>
              <c:numCache>
                <c:formatCode>General</c:formatCode>
                <c:ptCount val="18"/>
                <c:pt idx="0">
                  <c:v>0.26957947530864196</c:v>
                </c:pt>
                <c:pt idx="2">
                  <c:v>0.52399999999999991</c:v>
                </c:pt>
                <c:pt idx="3">
                  <c:v>0.21771473913905973</c:v>
                </c:pt>
                <c:pt idx="4">
                  <c:v>0.68776966124140293</c:v>
                </c:pt>
                <c:pt idx="5">
                  <c:v>0.40713436385255652</c:v>
                </c:pt>
                <c:pt idx="6">
                  <c:v>0.17800882167611845</c:v>
                </c:pt>
                <c:pt idx="7">
                  <c:v>0.58586699986116908</c:v>
                </c:pt>
                <c:pt idx="8">
                  <c:v>0.35459183673469385</c:v>
                </c:pt>
                <c:pt idx="9">
                  <c:v>0.88011188271604945</c:v>
                </c:pt>
                <c:pt idx="10">
                  <c:v>0.52847991689750695</c:v>
                </c:pt>
                <c:pt idx="11">
                  <c:v>0.49808254200146096</c:v>
                </c:pt>
                <c:pt idx="12">
                  <c:v>0.42751410382485366</c:v>
                </c:pt>
                <c:pt idx="13">
                  <c:v>0.40946745562130171</c:v>
                </c:pt>
                <c:pt idx="14">
                  <c:v>0.29706407458837536</c:v>
                </c:pt>
                <c:pt idx="15">
                  <c:v>0.27725267800882164</c:v>
                </c:pt>
                <c:pt idx="16">
                  <c:v>0.12776301656396627</c:v>
                </c:pt>
                <c:pt idx="17">
                  <c:v>0.13668430335097001</c:v>
                </c:pt>
              </c:numCache>
            </c:numRef>
          </c:xVal>
          <c:yVal>
            <c:numRef>
              <c:f>vG_crest!$T$6:$T$23</c:f>
              <c:numCache>
                <c:formatCode>0.00000</c:formatCode>
                <c:ptCount val="18"/>
                <c:pt idx="0">
                  <c:v>0.20082020858166352</c:v>
                </c:pt>
                <c:pt idx="1">
                  <c:v>6.2792480654712657E-2</c:v>
                </c:pt>
                <c:pt idx="2">
                  <c:v>0.37431810653442493</c:v>
                </c:pt>
                <c:pt idx="3">
                  <c:v>0.14987148695783528</c:v>
                </c:pt>
                <c:pt idx="4">
                  <c:v>0.70365613074061284</c:v>
                </c:pt>
                <c:pt idx="5">
                  <c:v>0.30172639754407099</c:v>
                </c:pt>
                <c:pt idx="6">
                  <c:v>0.12005997747464998</c:v>
                </c:pt>
                <c:pt idx="7">
                  <c:v>0.67955912093636628</c:v>
                </c:pt>
                <c:pt idx="8">
                  <c:v>0.32654020130072614</c:v>
                </c:pt>
                <c:pt idx="9">
                  <c:v>0.86392283126482661</c:v>
                </c:pt>
                <c:pt idx="10">
                  <c:v>0.55198507046006184</c:v>
                </c:pt>
                <c:pt idx="11">
                  <c:v>0.41179064002916976</c:v>
                </c:pt>
                <c:pt idx="12">
                  <c:v>0.31685820240879392</c:v>
                </c:pt>
                <c:pt idx="13">
                  <c:v>0.31389098005216115</c:v>
                </c:pt>
                <c:pt idx="14">
                  <c:v>0.22273030203856217</c:v>
                </c:pt>
                <c:pt idx="15">
                  <c:v>0.16942491241191071</c:v>
                </c:pt>
                <c:pt idx="16">
                  <c:v>8.7609292252200321E-2</c:v>
                </c:pt>
                <c:pt idx="17">
                  <c:v>7.6670113165291959E-2</c:v>
                </c:pt>
              </c:numCache>
            </c:numRef>
          </c:yVal>
          <c:smooth val="0"/>
        </c:ser>
        <c:ser>
          <c:idx val="4"/>
          <c:order val="4"/>
          <c:tx>
            <c:v>D'</c:v>
          </c:tx>
          <c:spPr>
            <a:ln w="28575">
              <a:noFill/>
            </a:ln>
          </c:spPr>
          <c:marker>
            <c:symbol val="dot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vG_crest!$AW$94:$AW$111</c:f>
              <c:numCache>
                <c:formatCode>General</c:formatCode>
                <c:ptCount val="18"/>
                <c:pt idx="0">
                  <c:v>0.19193672839506176</c:v>
                </c:pt>
                <c:pt idx="2">
                  <c:v>0.52533333333333343</c:v>
                </c:pt>
                <c:pt idx="4">
                  <c:v>0.8654790892391816</c:v>
                </c:pt>
                <c:pt idx="5">
                  <c:v>0.39714625445897744</c:v>
                </c:pt>
                <c:pt idx="7">
                  <c:v>0.58586699986116908</c:v>
                </c:pt>
                <c:pt idx="8">
                  <c:v>0.29591836734693872</c:v>
                </c:pt>
                <c:pt idx="9">
                  <c:v>0.78028549382716061</c:v>
                </c:pt>
                <c:pt idx="10">
                  <c:v>0.47567520775623268</c:v>
                </c:pt>
                <c:pt idx="11">
                  <c:v>0.45060262965668374</c:v>
                </c:pt>
                <c:pt idx="12">
                  <c:v>0.43113710470472533</c:v>
                </c:pt>
                <c:pt idx="13">
                  <c:v>0.41952662721893486</c:v>
                </c:pt>
                <c:pt idx="14">
                  <c:v>7.2406268597500503E-2</c:v>
                </c:pt>
                <c:pt idx="15">
                  <c:v>7.4039067422810328E-2</c:v>
                </c:pt>
                <c:pt idx="16">
                  <c:v>0</c:v>
                </c:pt>
                <c:pt idx="17">
                  <c:v>0</c:v>
                </c:pt>
              </c:numCache>
            </c:numRef>
          </c:xVal>
          <c:yVal>
            <c:numRef>
              <c:f>vG_crest!$T$6:$T$23</c:f>
              <c:numCache>
                <c:formatCode>0.00000</c:formatCode>
                <c:ptCount val="18"/>
                <c:pt idx="0">
                  <c:v>0.20082020858166352</c:v>
                </c:pt>
                <c:pt idx="1">
                  <c:v>6.2792480654712657E-2</c:v>
                </c:pt>
                <c:pt idx="2">
                  <c:v>0.37431810653442493</c:v>
                </c:pt>
                <c:pt idx="3">
                  <c:v>0.14987148695783528</c:v>
                </c:pt>
                <c:pt idx="4">
                  <c:v>0.70365613074061284</c:v>
                </c:pt>
                <c:pt idx="5">
                  <c:v>0.30172639754407099</c:v>
                </c:pt>
                <c:pt idx="6">
                  <c:v>0.12005997747464998</c:v>
                </c:pt>
                <c:pt idx="7">
                  <c:v>0.67955912093636628</c:v>
                </c:pt>
                <c:pt idx="8">
                  <c:v>0.32654020130072614</c:v>
                </c:pt>
                <c:pt idx="9">
                  <c:v>0.86392283126482661</c:v>
                </c:pt>
                <c:pt idx="10">
                  <c:v>0.55198507046006184</c:v>
                </c:pt>
                <c:pt idx="11">
                  <c:v>0.41179064002916976</c:v>
                </c:pt>
                <c:pt idx="12">
                  <c:v>0.31685820240879392</c:v>
                </c:pt>
                <c:pt idx="13">
                  <c:v>0.31389098005216115</c:v>
                </c:pt>
                <c:pt idx="14">
                  <c:v>0.22273030203856217</c:v>
                </c:pt>
                <c:pt idx="15">
                  <c:v>0.16942491241191071</c:v>
                </c:pt>
                <c:pt idx="16">
                  <c:v>8.7609292252200321E-2</c:v>
                </c:pt>
                <c:pt idx="17">
                  <c:v>7.6670113165291959E-2</c:v>
                </c:pt>
              </c:numCache>
            </c:numRef>
          </c:yVal>
          <c:smooth val="0"/>
        </c:ser>
        <c:ser>
          <c:idx val="5"/>
          <c:order val="5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vG_crest!$H$50:$H$51</c:f>
              <c:numCache>
                <c:formatCode>General</c:formatCode>
                <c:ptCount val="2"/>
                <c:pt idx="0">
                  <c:v>0</c:v>
                </c:pt>
                <c:pt idx="1">
                  <c:v>1.2</c:v>
                </c:pt>
              </c:numCache>
            </c:numRef>
          </c:xVal>
          <c:yVal>
            <c:numRef>
              <c:f>vG_crest!$I$50:$I$51</c:f>
              <c:numCache>
                <c:formatCode>General</c:formatCode>
                <c:ptCount val="2"/>
                <c:pt idx="0">
                  <c:v>0</c:v>
                </c:pt>
                <c:pt idx="1">
                  <c:v>1.2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906240"/>
        <c:axId val="116908416"/>
      </c:scatterChart>
      <c:valAx>
        <c:axId val="116906240"/>
        <c:scaling>
          <c:orientation val="minMax"/>
          <c:max val="1.2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V</a:t>
                </a:r>
                <a:r>
                  <a:rPr lang="nl-NL" baseline="-25000"/>
                  <a:t>2%</a:t>
                </a:r>
                <a:r>
                  <a:rPr lang="nl-NL"/>
                  <a:t> / (H</a:t>
                </a:r>
                <a:r>
                  <a:rPr lang="nl-NL" baseline="-25000"/>
                  <a:t>m0</a:t>
                </a:r>
                <a:r>
                  <a:rPr lang="nl-NL"/>
                  <a:t>)</a:t>
                </a:r>
                <a:r>
                  <a:rPr lang="nl-NL" baseline="30000"/>
                  <a:t>2</a:t>
                </a:r>
                <a:r>
                  <a:rPr lang="nl-NL"/>
                  <a:t> mea. of van Gent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16908416"/>
        <c:crosses val="autoZero"/>
        <c:crossBetween val="midCat"/>
        <c:majorUnit val="0.2"/>
      </c:valAx>
      <c:valAx>
        <c:axId val="116908416"/>
        <c:scaling>
          <c:orientation val="minMax"/>
          <c:max val="1.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V</a:t>
                </a:r>
                <a:r>
                  <a:rPr lang="nl-NL" baseline="-25000"/>
                  <a:t>2%</a:t>
                </a:r>
                <a:r>
                  <a:rPr lang="nl-NL"/>
                  <a:t> / (H</a:t>
                </a:r>
                <a:r>
                  <a:rPr lang="nl-NL" baseline="-25000"/>
                  <a:t>m0</a:t>
                </a:r>
                <a:r>
                  <a:rPr lang="nl-NL"/>
                  <a:t>)</a:t>
                </a:r>
                <a:r>
                  <a:rPr lang="nl-NL" baseline="30000"/>
                  <a:t>2</a:t>
                </a:r>
                <a:r>
                  <a:rPr lang="nl-NL"/>
                  <a:t> EurOtop</a:t>
                </a:r>
              </a:p>
            </c:rich>
          </c:tx>
          <c:layout/>
          <c:overlay val="0"/>
        </c:title>
        <c:numFmt formatCode="0.00000" sourceLinked="1"/>
        <c:majorTickMark val="none"/>
        <c:minorTickMark val="none"/>
        <c:tickLblPos val="nextTo"/>
        <c:crossAx val="116906240"/>
        <c:crosses val="autoZero"/>
        <c:crossBetween val="midCat"/>
      </c:valAx>
    </c:plotArea>
    <c:legend>
      <c:legendPos val="r"/>
      <c:legendEntry>
        <c:idx val="5"/>
        <c:delete val="1"/>
      </c:legendEntry>
      <c:layout/>
      <c:overlay val="0"/>
    </c:legend>
    <c:plotVisOnly val="1"/>
    <c:dispBlanksAs val="gap"/>
    <c:showDLblsOverMax val="0"/>
  </c:chart>
  <c:txPr>
    <a:bodyPr/>
    <a:lstStyle/>
    <a:p>
      <a:pPr>
        <a:defRPr sz="1200" b="0">
          <a:latin typeface="Arial" pitchFamily="34" charset="0"/>
          <a:cs typeface="Arial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nl-NL" sz="1200" baseline="0"/>
              <a:t>Water-layer thickness on dike crest</a:t>
            </a:r>
            <a:endParaRPr lang="nl-NL" sz="1200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A</c:v>
          </c:tx>
          <c:spPr>
            <a:ln w="28575">
              <a:noFill/>
            </a:ln>
          </c:spPr>
          <c:marker>
            <c:symbol val="diamond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vG_crest!$AJ$6:$AJ$23</c:f>
              <c:numCache>
                <c:formatCode>General</c:formatCode>
                <c:ptCount val="18"/>
                <c:pt idx="0">
                  <c:v>1.3888888888888891</c:v>
                </c:pt>
                <c:pt idx="1">
                  <c:v>1.4388489208633093</c:v>
                </c:pt>
                <c:pt idx="2">
                  <c:v>1.3333333333333335</c:v>
                </c:pt>
                <c:pt idx="3">
                  <c:v>1.4084507042253522</c:v>
                </c:pt>
                <c:pt idx="4">
                  <c:v>1.3071895424836601</c:v>
                </c:pt>
                <c:pt idx="5">
                  <c:v>1.3793103448275863</c:v>
                </c:pt>
                <c:pt idx="6">
                  <c:v>1.4492753623188406</c:v>
                </c:pt>
                <c:pt idx="7">
                  <c:v>1.360544217687075</c:v>
                </c:pt>
                <c:pt idx="8">
                  <c:v>1.4285714285714286</c:v>
                </c:pt>
                <c:pt idx="9">
                  <c:v>1.3888888888888891</c:v>
                </c:pt>
                <c:pt idx="10">
                  <c:v>1.3157894736842106</c:v>
                </c:pt>
                <c:pt idx="11">
                  <c:v>1.3513513513513515</c:v>
                </c:pt>
                <c:pt idx="12">
                  <c:v>1.4388489208633093</c:v>
                </c:pt>
                <c:pt idx="13">
                  <c:v>1.5384615384615385</c:v>
                </c:pt>
                <c:pt idx="14">
                  <c:v>1.4084507042253522</c:v>
                </c:pt>
                <c:pt idx="15">
                  <c:v>1.4492753623188406</c:v>
                </c:pt>
                <c:pt idx="16">
                  <c:v>1.5037593984962405</c:v>
                </c:pt>
                <c:pt idx="17">
                  <c:v>1.5873015873015874</c:v>
                </c:pt>
              </c:numCache>
            </c:numRef>
          </c:xVal>
          <c:yVal>
            <c:numRef>
              <c:f>vG_crest!$AK$6:$AK$23</c:f>
              <c:numCache>
                <c:formatCode>General</c:formatCode>
                <c:ptCount val="18"/>
                <c:pt idx="0">
                  <c:v>-0.21686746987951813</c:v>
                </c:pt>
                <c:pt idx="1">
                  <c:v>-0.44444444444444448</c:v>
                </c:pt>
                <c:pt idx="2">
                  <c:v>-0.16000000000000003</c:v>
                </c:pt>
                <c:pt idx="3">
                  <c:v>-0.19672131147540972</c:v>
                </c:pt>
                <c:pt idx="4">
                  <c:v>-0.19923371647509588</c:v>
                </c:pt>
                <c:pt idx="5">
                  <c:v>-0.26356589147286824</c:v>
                </c:pt>
                <c:pt idx="6">
                  <c:v>-0.29687500000000006</c:v>
                </c:pt>
                <c:pt idx="7">
                  <c:v>-0.237864077669903</c:v>
                </c:pt>
                <c:pt idx="8">
                  <c:v>-0.32283464566929132</c:v>
                </c:pt>
                <c:pt idx="9">
                  <c:v>-0.37254901960784315</c:v>
                </c:pt>
                <c:pt idx="10">
                  <c:v>-0.18965517241379307</c:v>
                </c:pt>
                <c:pt idx="11">
                  <c:v>-0.19178082191780815</c:v>
                </c:pt>
                <c:pt idx="12">
                  <c:v>-0.24806201550387605</c:v>
                </c:pt>
                <c:pt idx="13">
                  <c:v>-0.28318584070796465</c:v>
                </c:pt>
                <c:pt idx="14">
                  <c:v>-0.21590909090909094</c:v>
                </c:pt>
                <c:pt idx="15">
                  <c:v>-0.22352941176470592</c:v>
                </c:pt>
                <c:pt idx="16">
                  <c:v>-0.29268292682926828</c:v>
                </c:pt>
                <c:pt idx="17">
                  <c:v>-0.19999999999999996</c:v>
                </c:pt>
              </c:numCache>
            </c:numRef>
          </c:yVal>
          <c:smooth val="0"/>
        </c:ser>
        <c:ser>
          <c:idx val="0"/>
          <c:order val="1"/>
          <c:tx>
            <c:v>B</c:v>
          </c:tx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vG_crest!$AJ$6:$AJ$23</c:f>
              <c:numCache>
                <c:formatCode>General</c:formatCode>
                <c:ptCount val="18"/>
                <c:pt idx="0">
                  <c:v>1.3888888888888891</c:v>
                </c:pt>
                <c:pt idx="1">
                  <c:v>1.4388489208633093</c:v>
                </c:pt>
                <c:pt idx="2">
                  <c:v>1.3333333333333335</c:v>
                </c:pt>
                <c:pt idx="3">
                  <c:v>1.4084507042253522</c:v>
                </c:pt>
                <c:pt idx="4">
                  <c:v>1.3071895424836601</c:v>
                </c:pt>
                <c:pt idx="5">
                  <c:v>1.3793103448275863</c:v>
                </c:pt>
                <c:pt idx="6">
                  <c:v>1.4492753623188406</c:v>
                </c:pt>
                <c:pt idx="7">
                  <c:v>1.360544217687075</c:v>
                </c:pt>
                <c:pt idx="8">
                  <c:v>1.4285714285714286</c:v>
                </c:pt>
                <c:pt idx="9">
                  <c:v>1.3888888888888891</c:v>
                </c:pt>
                <c:pt idx="10">
                  <c:v>1.3157894736842106</c:v>
                </c:pt>
                <c:pt idx="11">
                  <c:v>1.3513513513513515</c:v>
                </c:pt>
                <c:pt idx="12">
                  <c:v>1.4388489208633093</c:v>
                </c:pt>
                <c:pt idx="13">
                  <c:v>1.5384615384615385</c:v>
                </c:pt>
                <c:pt idx="14">
                  <c:v>1.4084507042253522</c:v>
                </c:pt>
                <c:pt idx="15">
                  <c:v>1.4492753623188406</c:v>
                </c:pt>
                <c:pt idx="16">
                  <c:v>1.5037593984962405</c:v>
                </c:pt>
                <c:pt idx="17">
                  <c:v>1.5873015873015874</c:v>
                </c:pt>
              </c:numCache>
            </c:numRef>
          </c:xVal>
          <c:yVal>
            <c:numRef>
              <c:f>vG_crest!$AK$28:$AK$45</c:f>
              <c:numCache>
                <c:formatCode>General</c:formatCode>
                <c:ptCount val="18"/>
                <c:pt idx="0">
                  <c:v>-0.2567567567567568</c:v>
                </c:pt>
                <c:pt idx="2">
                  <c:v>-0.23076923076923081</c:v>
                </c:pt>
                <c:pt idx="3">
                  <c:v>-0.37931034482758619</c:v>
                </c:pt>
                <c:pt idx="4">
                  <c:v>-0.22641509433962267</c:v>
                </c:pt>
                <c:pt idx="5">
                  <c:v>-0.29752066115702475</c:v>
                </c:pt>
                <c:pt idx="6">
                  <c:v>-0.39062500000000006</c:v>
                </c:pt>
                <c:pt idx="7">
                  <c:v>-0.30392156862745096</c:v>
                </c:pt>
                <c:pt idx="8">
                  <c:v>-0.40170940170940167</c:v>
                </c:pt>
                <c:pt idx="9">
                  <c:v>-0.31877729257641918</c:v>
                </c:pt>
                <c:pt idx="10">
                  <c:v>-0.29374999999999996</c:v>
                </c:pt>
                <c:pt idx="11">
                  <c:v>-0.30714285714285722</c:v>
                </c:pt>
                <c:pt idx="12">
                  <c:v>-0.30769230769230765</c:v>
                </c:pt>
                <c:pt idx="13">
                  <c:v>-0.2772277227722772</c:v>
                </c:pt>
                <c:pt idx="14">
                  <c:v>-0.34210526315789469</c:v>
                </c:pt>
                <c:pt idx="15">
                  <c:v>-0.34210526315789469</c:v>
                </c:pt>
                <c:pt idx="16">
                  <c:v>-0.42424242424242425</c:v>
                </c:pt>
                <c:pt idx="17">
                  <c:v>-0.4</c:v>
                </c:pt>
              </c:numCache>
            </c:numRef>
          </c:yVal>
          <c:smooth val="0"/>
        </c:ser>
        <c:ser>
          <c:idx val="2"/>
          <c:order val="2"/>
          <c:tx>
            <c:v>C</c:v>
          </c:tx>
          <c:spPr>
            <a:ln w="28575">
              <a:noFill/>
            </a:ln>
          </c:spPr>
          <c:marker>
            <c:symbol val="triang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vG_crest!$AJ$50:$AJ$67</c:f>
              <c:numCache>
                <c:formatCode>General</c:formatCode>
                <c:ptCount val="18"/>
                <c:pt idx="0">
                  <c:v>7.6388888888888902</c:v>
                </c:pt>
                <c:pt idx="1">
                  <c:v>7.9136690647482011</c:v>
                </c:pt>
                <c:pt idx="2">
                  <c:v>7.3333333333333339</c:v>
                </c:pt>
                <c:pt idx="3">
                  <c:v>7.7464788732394378</c:v>
                </c:pt>
                <c:pt idx="4">
                  <c:v>7.1895424836601318</c:v>
                </c:pt>
                <c:pt idx="5">
                  <c:v>7.5862068965517251</c:v>
                </c:pt>
                <c:pt idx="6">
                  <c:v>7.9710144927536231</c:v>
                </c:pt>
                <c:pt idx="7">
                  <c:v>7.4829931972789128</c:v>
                </c:pt>
                <c:pt idx="8">
                  <c:v>7.8571428571428568</c:v>
                </c:pt>
                <c:pt idx="9">
                  <c:v>7.6388888888888902</c:v>
                </c:pt>
                <c:pt idx="10">
                  <c:v>7.2368421052631584</c:v>
                </c:pt>
                <c:pt idx="11">
                  <c:v>7.4324324324324333</c:v>
                </c:pt>
                <c:pt idx="12">
                  <c:v>7.9136690647482011</c:v>
                </c:pt>
                <c:pt idx="13">
                  <c:v>8.4615384615384617</c:v>
                </c:pt>
                <c:pt idx="14">
                  <c:v>7.7464788732394378</c:v>
                </c:pt>
                <c:pt idx="15">
                  <c:v>7.9710144927536231</c:v>
                </c:pt>
                <c:pt idx="16">
                  <c:v>8.2706766917293244</c:v>
                </c:pt>
                <c:pt idx="17">
                  <c:v>8.7301587301587311</c:v>
                </c:pt>
              </c:numCache>
            </c:numRef>
          </c:xVal>
          <c:yVal>
            <c:numRef>
              <c:f>vG_crest!$AK$50:$AK$67</c:f>
              <c:numCache>
                <c:formatCode>General</c:formatCode>
                <c:ptCount val="18"/>
                <c:pt idx="0">
                  <c:v>-8.4507042253521084E-2</c:v>
                </c:pt>
                <c:pt idx="2">
                  <c:v>-0.2446043165467626</c:v>
                </c:pt>
                <c:pt idx="3">
                  <c:v>-0.26315789473684209</c:v>
                </c:pt>
                <c:pt idx="4">
                  <c:v>-0.32057416267942584</c:v>
                </c:pt>
                <c:pt idx="5">
                  <c:v>-0.22499999999999995</c:v>
                </c:pt>
                <c:pt idx="6">
                  <c:v>-0.20754716981132068</c:v>
                </c:pt>
                <c:pt idx="7">
                  <c:v>-0.39408866995073888</c:v>
                </c:pt>
                <c:pt idx="8">
                  <c:v>-0.38759689922480617</c:v>
                </c:pt>
                <c:pt idx="9">
                  <c:v>-0.3227272727272727</c:v>
                </c:pt>
                <c:pt idx="10">
                  <c:v>-0.26993865030674846</c:v>
                </c:pt>
                <c:pt idx="11">
                  <c:v>-0.18461538461538465</c:v>
                </c:pt>
                <c:pt idx="12">
                  <c:v>-0.17213114754098358</c:v>
                </c:pt>
                <c:pt idx="13">
                  <c:v>-0.26923076923076927</c:v>
                </c:pt>
                <c:pt idx="14">
                  <c:v>-0.21250000000000002</c:v>
                </c:pt>
                <c:pt idx="15">
                  <c:v>-0.20547945205479454</c:v>
                </c:pt>
                <c:pt idx="16">
                  <c:v>-0.23333333333333339</c:v>
                </c:pt>
                <c:pt idx="17">
                  <c:v>-8.0000000000000071E-2</c:v>
                </c:pt>
              </c:numCache>
            </c:numRef>
          </c:yVal>
          <c:smooth val="0"/>
        </c:ser>
        <c:ser>
          <c:idx val="3"/>
          <c:order val="3"/>
          <c:tx>
            <c:v>D</c:v>
          </c:tx>
          <c:spPr>
            <a:ln w="28575">
              <a:noFill/>
            </a:ln>
          </c:spPr>
          <c:marker>
            <c:symbol val="circ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vG_crest!$AJ$50:$AJ$67</c:f>
              <c:numCache>
                <c:formatCode>General</c:formatCode>
                <c:ptCount val="18"/>
                <c:pt idx="0">
                  <c:v>7.6388888888888902</c:v>
                </c:pt>
                <c:pt idx="1">
                  <c:v>7.9136690647482011</c:v>
                </c:pt>
                <c:pt idx="2">
                  <c:v>7.3333333333333339</c:v>
                </c:pt>
                <c:pt idx="3">
                  <c:v>7.7464788732394378</c:v>
                </c:pt>
                <c:pt idx="4">
                  <c:v>7.1895424836601318</c:v>
                </c:pt>
                <c:pt idx="5">
                  <c:v>7.5862068965517251</c:v>
                </c:pt>
                <c:pt idx="6">
                  <c:v>7.9710144927536231</c:v>
                </c:pt>
                <c:pt idx="7">
                  <c:v>7.4829931972789128</c:v>
                </c:pt>
                <c:pt idx="8">
                  <c:v>7.8571428571428568</c:v>
                </c:pt>
                <c:pt idx="9">
                  <c:v>7.6388888888888902</c:v>
                </c:pt>
                <c:pt idx="10">
                  <c:v>7.2368421052631584</c:v>
                </c:pt>
                <c:pt idx="11">
                  <c:v>7.4324324324324333</c:v>
                </c:pt>
                <c:pt idx="12">
                  <c:v>7.9136690647482011</c:v>
                </c:pt>
                <c:pt idx="13">
                  <c:v>8.4615384615384617</c:v>
                </c:pt>
                <c:pt idx="14">
                  <c:v>7.7464788732394378</c:v>
                </c:pt>
                <c:pt idx="15">
                  <c:v>7.9710144927536231</c:v>
                </c:pt>
                <c:pt idx="16">
                  <c:v>8.2706766917293244</c:v>
                </c:pt>
                <c:pt idx="17">
                  <c:v>8.7301587301587311</c:v>
                </c:pt>
              </c:numCache>
            </c:numRef>
          </c:xVal>
          <c:yVal>
            <c:numRef>
              <c:f>vG_crest!$AK$72:$AK$89</c:f>
              <c:numCache>
                <c:formatCode>General</c:formatCode>
                <c:ptCount val="18"/>
                <c:pt idx="0">
                  <c:v>-0.17187500000000008</c:v>
                </c:pt>
                <c:pt idx="2">
                  <c:v>-0.3235294117647059</c:v>
                </c:pt>
                <c:pt idx="3">
                  <c:v>-0.24000000000000005</c:v>
                </c:pt>
                <c:pt idx="4">
                  <c:v>-0.375</c:v>
                </c:pt>
                <c:pt idx="5">
                  <c:v>-0.29824561403508776</c:v>
                </c:pt>
                <c:pt idx="6">
                  <c:v>-0.27450980392156854</c:v>
                </c:pt>
                <c:pt idx="7">
                  <c:v>-0.43243243243243246</c:v>
                </c:pt>
                <c:pt idx="8">
                  <c:v>-0.3644859813084112</c:v>
                </c:pt>
                <c:pt idx="9">
                  <c:v>-0.39622641509433959</c:v>
                </c:pt>
                <c:pt idx="10">
                  <c:v>-0.34193548387096778</c:v>
                </c:pt>
                <c:pt idx="11">
                  <c:v>-0.3046875</c:v>
                </c:pt>
                <c:pt idx="12">
                  <c:v>-0.26851851851851855</c:v>
                </c:pt>
                <c:pt idx="13">
                  <c:v>-0.35576923076923078</c:v>
                </c:pt>
                <c:pt idx="14">
                  <c:v>-0.28749999999999998</c:v>
                </c:pt>
                <c:pt idx="15">
                  <c:v>-0.22388059701492538</c:v>
                </c:pt>
                <c:pt idx="16">
                  <c:v>-0.4285714285714286</c:v>
                </c:pt>
                <c:pt idx="17">
                  <c:v>-0.55172413793103448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197824"/>
        <c:axId val="117200384"/>
      </c:scatterChart>
      <c:valAx>
        <c:axId val="117197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(x</a:t>
                </a:r>
                <a:r>
                  <a:rPr lang="nl-NL" baseline="-25000"/>
                  <a:t>B</a:t>
                </a:r>
                <a:r>
                  <a:rPr lang="nl-NL"/>
                  <a:t>-x</a:t>
                </a:r>
                <a:r>
                  <a:rPr lang="nl-NL" baseline="-25000"/>
                  <a:t>A</a:t>
                </a:r>
                <a:r>
                  <a:rPr lang="nl-NL"/>
                  <a:t>)/H</a:t>
                </a:r>
                <a:r>
                  <a:rPr lang="nl-NL" baseline="-25000"/>
                  <a:t>m0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17200384"/>
        <c:crosses val="autoZero"/>
        <c:crossBetween val="midCat"/>
      </c:valAx>
      <c:valAx>
        <c:axId val="11720038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(h</a:t>
                </a:r>
                <a:r>
                  <a:rPr lang="nl-NL" baseline="-25000"/>
                  <a:t>B, 2%</a:t>
                </a:r>
                <a:r>
                  <a:rPr lang="nl-NL"/>
                  <a:t> - </a:t>
                </a:r>
                <a:r>
                  <a:rPr lang="nl-NL" sz="1200" b="0" i="0" u="none" strike="noStrike" baseline="0">
                    <a:effectLst/>
                  </a:rPr>
                  <a:t>h</a:t>
                </a:r>
                <a:r>
                  <a:rPr lang="nl-NL" sz="1200" b="0" i="0" u="none" strike="noStrike" baseline="-25000">
                    <a:effectLst/>
                  </a:rPr>
                  <a:t>A, 2%</a:t>
                </a:r>
                <a:r>
                  <a:rPr lang="nl-NL"/>
                  <a:t>) / </a:t>
                </a:r>
                <a:r>
                  <a:rPr lang="nl-NL" sz="1200" b="0" i="0" u="none" strike="noStrike" baseline="0">
                    <a:effectLst/>
                  </a:rPr>
                  <a:t>h</a:t>
                </a:r>
                <a:r>
                  <a:rPr lang="nl-NL" sz="1200" b="0" i="0" u="none" strike="noStrike" baseline="-25000">
                    <a:effectLst/>
                  </a:rPr>
                  <a:t>A, 2%</a:t>
                </a:r>
                <a:endParaRPr lang="nl-NL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171978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 sz="1200" b="0">
          <a:latin typeface="Arial" pitchFamily="34" charset="0"/>
          <a:cs typeface="Arial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nl-NL" sz="1200" baseline="0"/>
              <a:t>Flow velocity on dike crest</a:t>
            </a:r>
            <a:endParaRPr lang="nl-NL" sz="1200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A</c:v>
          </c:tx>
          <c:spPr>
            <a:ln w="28575">
              <a:noFill/>
            </a:ln>
          </c:spPr>
          <c:marker>
            <c:symbol val="diamond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vG_crest!$AJ$6:$AJ$23</c:f>
              <c:numCache>
                <c:formatCode>General</c:formatCode>
                <c:ptCount val="18"/>
                <c:pt idx="0">
                  <c:v>1.3888888888888891</c:v>
                </c:pt>
                <c:pt idx="1">
                  <c:v>1.4388489208633093</c:v>
                </c:pt>
                <c:pt idx="2">
                  <c:v>1.3333333333333335</c:v>
                </c:pt>
                <c:pt idx="3">
                  <c:v>1.4084507042253522</c:v>
                </c:pt>
                <c:pt idx="4">
                  <c:v>1.3071895424836601</c:v>
                </c:pt>
                <c:pt idx="5">
                  <c:v>1.3793103448275863</c:v>
                </c:pt>
                <c:pt idx="6">
                  <c:v>1.4492753623188406</c:v>
                </c:pt>
                <c:pt idx="7">
                  <c:v>1.360544217687075</c:v>
                </c:pt>
                <c:pt idx="8">
                  <c:v>1.4285714285714286</c:v>
                </c:pt>
                <c:pt idx="9">
                  <c:v>1.3888888888888891</c:v>
                </c:pt>
                <c:pt idx="10">
                  <c:v>1.3157894736842106</c:v>
                </c:pt>
                <c:pt idx="11">
                  <c:v>1.3513513513513515</c:v>
                </c:pt>
                <c:pt idx="12">
                  <c:v>1.4388489208633093</c:v>
                </c:pt>
                <c:pt idx="13">
                  <c:v>1.5384615384615385</c:v>
                </c:pt>
                <c:pt idx="14">
                  <c:v>1.4084507042253522</c:v>
                </c:pt>
                <c:pt idx="15">
                  <c:v>1.4492753623188406</c:v>
                </c:pt>
                <c:pt idx="16">
                  <c:v>1.5037593984962405</c:v>
                </c:pt>
                <c:pt idx="17">
                  <c:v>1.5873015873015874</c:v>
                </c:pt>
              </c:numCache>
            </c:numRef>
          </c:xVal>
          <c:yVal>
            <c:numRef>
              <c:f>vG_crest!$AL$6:$AL$23</c:f>
              <c:numCache>
                <c:formatCode>General</c:formatCode>
                <c:ptCount val="18"/>
                <c:pt idx="0">
                  <c:v>9.9009900990099098E-2</c:v>
                </c:pt>
                <c:pt idx="2">
                  <c:v>-2.7777777777777804E-2</c:v>
                </c:pt>
                <c:pt idx="3">
                  <c:v>0.32835820895522383</c:v>
                </c:pt>
                <c:pt idx="4">
                  <c:v>-0.11797752808988762</c:v>
                </c:pt>
                <c:pt idx="5">
                  <c:v>7.0175438596491294E-2</c:v>
                </c:pt>
                <c:pt idx="6">
                  <c:v>0.48148148148148145</c:v>
                </c:pt>
                <c:pt idx="7">
                  <c:v>-8.2802547770700702E-2</c:v>
                </c:pt>
                <c:pt idx="8">
                  <c:v>2.5000000000000022E-2</c:v>
                </c:pt>
                <c:pt idx="9">
                  <c:v>-0.10843373493975901</c:v>
                </c:pt>
                <c:pt idx="10">
                  <c:v>-3.521126760563368E-2</c:v>
                </c:pt>
                <c:pt idx="11">
                  <c:v>-6.2068965517241281E-2</c:v>
                </c:pt>
                <c:pt idx="12">
                  <c:v>-1.5503875968992262E-2</c:v>
                </c:pt>
                <c:pt idx="13">
                  <c:v>6.0869565217391362E-2</c:v>
                </c:pt>
                <c:pt idx="14">
                  <c:v>5.9405940594059459E-2</c:v>
                </c:pt>
                <c:pt idx="15">
                  <c:v>-3.7735849056603807E-2</c:v>
                </c:pt>
                <c:pt idx="16">
                  <c:v>6.8965517241379379E-2</c:v>
                </c:pt>
                <c:pt idx="17">
                  <c:v>-0.14864864864864863</c:v>
                </c:pt>
              </c:numCache>
            </c:numRef>
          </c:yVal>
          <c:smooth val="0"/>
        </c:ser>
        <c:ser>
          <c:idx val="0"/>
          <c:order val="1"/>
          <c:tx>
            <c:v>B</c:v>
          </c:tx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vG_crest!$AJ$6:$AJ$23</c:f>
              <c:numCache>
                <c:formatCode>General</c:formatCode>
                <c:ptCount val="18"/>
                <c:pt idx="0">
                  <c:v>1.3888888888888891</c:v>
                </c:pt>
                <c:pt idx="1">
                  <c:v>1.4388489208633093</c:v>
                </c:pt>
                <c:pt idx="2">
                  <c:v>1.3333333333333335</c:v>
                </c:pt>
                <c:pt idx="3">
                  <c:v>1.4084507042253522</c:v>
                </c:pt>
                <c:pt idx="4">
                  <c:v>1.3071895424836601</c:v>
                </c:pt>
                <c:pt idx="5">
                  <c:v>1.3793103448275863</c:v>
                </c:pt>
                <c:pt idx="6">
                  <c:v>1.4492753623188406</c:v>
                </c:pt>
                <c:pt idx="7">
                  <c:v>1.360544217687075</c:v>
                </c:pt>
                <c:pt idx="8">
                  <c:v>1.4285714285714286</c:v>
                </c:pt>
                <c:pt idx="9">
                  <c:v>1.3888888888888891</c:v>
                </c:pt>
                <c:pt idx="10">
                  <c:v>1.3157894736842106</c:v>
                </c:pt>
                <c:pt idx="11">
                  <c:v>1.3513513513513515</c:v>
                </c:pt>
                <c:pt idx="12">
                  <c:v>1.4388489208633093</c:v>
                </c:pt>
                <c:pt idx="13">
                  <c:v>1.5384615384615385</c:v>
                </c:pt>
                <c:pt idx="14">
                  <c:v>1.4084507042253522</c:v>
                </c:pt>
                <c:pt idx="15">
                  <c:v>1.4492753623188406</c:v>
                </c:pt>
                <c:pt idx="16">
                  <c:v>1.5037593984962405</c:v>
                </c:pt>
                <c:pt idx="17">
                  <c:v>1.5873015873015874</c:v>
                </c:pt>
              </c:numCache>
            </c:numRef>
          </c:xVal>
          <c:yVal>
            <c:numRef>
              <c:f>vG_crest!$AL$28:$AL$45</c:f>
              <c:numCache>
                <c:formatCode>General</c:formatCode>
                <c:ptCount val="18"/>
                <c:pt idx="0">
                  <c:v>-2.3809523809523829E-2</c:v>
                </c:pt>
                <c:pt idx="2">
                  <c:v>-4.5751633986928143E-2</c:v>
                </c:pt>
                <c:pt idx="3">
                  <c:v>0</c:v>
                </c:pt>
                <c:pt idx="4">
                  <c:v>-0.11494252873563215</c:v>
                </c:pt>
                <c:pt idx="5">
                  <c:v>-3.5971223021582607E-2</c:v>
                </c:pt>
                <c:pt idx="6">
                  <c:v>0.19047619047619052</c:v>
                </c:pt>
                <c:pt idx="7">
                  <c:v>-0.13414634146341461</c:v>
                </c:pt>
                <c:pt idx="8">
                  <c:v>-2.2727272727272745E-2</c:v>
                </c:pt>
                <c:pt idx="9">
                  <c:v>-0.13529411764705881</c:v>
                </c:pt>
                <c:pt idx="10">
                  <c:v>-5.8064516129032309E-2</c:v>
                </c:pt>
                <c:pt idx="11">
                  <c:v>-0.11764705882352937</c:v>
                </c:pt>
                <c:pt idx="12">
                  <c:v>-6.2499999999999903E-2</c:v>
                </c:pt>
                <c:pt idx="13">
                  <c:v>3.1007751937984523E-2</c:v>
                </c:pt>
                <c:pt idx="14">
                  <c:v>7.3394495412843888E-2</c:v>
                </c:pt>
                <c:pt idx="15">
                  <c:v>2.7777777777777801E-2</c:v>
                </c:pt>
                <c:pt idx="16">
                  <c:v>-1</c:v>
                </c:pt>
              </c:numCache>
            </c:numRef>
          </c:yVal>
          <c:smooth val="0"/>
        </c:ser>
        <c:ser>
          <c:idx val="2"/>
          <c:order val="2"/>
          <c:tx>
            <c:v>C</c:v>
          </c:tx>
          <c:spPr>
            <a:ln w="28575">
              <a:noFill/>
            </a:ln>
          </c:spPr>
          <c:marker>
            <c:symbol val="triang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vG_crest!$AJ$50:$AJ$67</c:f>
              <c:numCache>
                <c:formatCode>General</c:formatCode>
                <c:ptCount val="18"/>
                <c:pt idx="0">
                  <c:v>7.6388888888888902</c:v>
                </c:pt>
                <c:pt idx="1">
                  <c:v>7.9136690647482011</c:v>
                </c:pt>
                <c:pt idx="2">
                  <c:v>7.3333333333333339</c:v>
                </c:pt>
                <c:pt idx="3">
                  <c:v>7.7464788732394378</c:v>
                </c:pt>
                <c:pt idx="4">
                  <c:v>7.1895424836601318</c:v>
                </c:pt>
                <c:pt idx="5">
                  <c:v>7.5862068965517251</c:v>
                </c:pt>
                <c:pt idx="6">
                  <c:v>7.9710144927536231</c:v>
                </c:pt>
                <c:pt idx="7">
                  <c:v>7.4829931972789128</c:v>
                </c:pt>
                <c:pt idx="8">
                  <c:v>7.8571428571428568</c:v>
                </c:pt>
                <c:pt idx="9">
                  <c:v>7.6388888888888902</c:v>
                </c:pt>
                <c:pt idx="10">
                  <c:v>7.2368421052631584</c:v>
                </c:pt>
                <c:pt idx="11">
                  <c:v>7.4324324324324333</c:v>
                </c:pt>
                <c:pt idx="12">
                  <c:v>7.9136690647482011</c:v>
                </c:pt>
                <c:pt idx="13">
                  <c:v>8.4615384615384617</c:v>
                </c:pt>
                <c:pt idx="14">
                  <c:v>7.7464788732394378</c:v>
                </c:pt>
                <c:pt idx="15">
                  <c:v>7.9710144927536231</c:v>
                </c:pt>
                <c:pt idx="16">
                  <c:v>8.2706766917293244</c:v>
                </c:pt>
                <c:pt idx="17">
                  <c:v>8.7301587301587311</c:v>
                </c:pt>
              </c:numCache>
            </c:numRef>
          </c:xVal>
          <c:yVal>
            <c:numRef>
              <c:f>vG_crest!$AL$50:$AL$67</c:f>
              <c:numCache>
                <c:formatCode>General</c:formatCode>
                <c:ptCount val="18"/>
                <c:pt idx="0">
                  <c:v>-0.43750000000000006</c:v>
                </c:pt>
                <c:pt idx="2">
                  <c:v>-0.26114649681528668</c:v>
                </c:pt>
                <c:pt idx="4">
                  <c:v>-0.26775956284153002</c:v>
                </c:pt>
                <c:pt idx="5">
                  <c:v>-0.3450704225352112</c:v>
                </c:pt>
                <c:pt idx="7">
                  <c:v>-0.26415094339622652</c:v>
                </c:pt>
                <c:pt idx="8">
                  <c:v>-0.375</c:v>
                </c:pt>
                <c:pt idx="9">
                  <c:v>-0.27878787878787881</c:v>
                </c:pt>
                <c:pt idx="10">
                  <c:v>-0.3</c:v>
                </c:pt>
                <c:pt idx="11">
                  <c:v>-0.31543624161073824</c:v>
                </c:pt>
                <c:pt idx="12">
                  <c:v>-0.31914893617021273</c:v>
                </c:pt>
                <c:pt idx="13">
                  <c:v>-0.29921259842519687</c:v>
                </c:pt>
                <c:pt idx="14">
                  <c:v>-0.3963963963963964</c:v>
                </c:pt>
                <c:pt idx="15">
                  <c:v>-0.50877192982456132</c:v>
                </c:pt>
                <c:pt idx="16">
                  <c:v>-1</c:v>
                </c:pt>
              </c:numCache>
            </c:numRef>
          </c:yVal>
          <c:smooth val="0"/>
        </c:ser>
        <c:ser>
          <c:idx val="3"/>
          <c:order val="3"/>
          <c:tx>
            <c:v>D</c:v>
          </c:tx>
          <c:spPr>
            <a:ln w="28575">
              <a:noFill/>
            </a:ln>
          </c:spPr>
          <c:marker>
            <c:symbol val="circ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vG_crest!$AJ$50:$AJ$67</c:f>
              <c:numCache>
                <c:formatCode>General</c:formatCode>
                <c:ptCount val="18"/>
                <c:pt idx="0">
                  <c:v>7.6388888888888902</c:v>
                </c:pt>
                <c:pt idx="1">
                  <c:v>7.9136690647482011</c:v>
                </c:pt>
                <c:pt idx="2">
                  <c:v>7.3333333333333339</c:v>
                </c:pt>
                <c:pt idx="3">
                  <c:v>7.7464788732394378</c:v>
                </c:pt>
                <c:pt idx="4">
                  <c:v>7.1895424836601318</c:v>
                </c:pt>
                <c:pt idx="5">
                  <c:v>7.5862068965517251</c:v>
                </c:pt>
                <c:pt idx="6">
                  <c:v>7.9710144927536231</c:v>
                </c:pt>
                <c:pt idx="7">
                  <c:v>7.4829931972789128</c:v>
                </c:pt>
                <c:pt idx="8">
                  <c:v>7.8571428571428568</c:v>
                </c:pt>
                <c:pt idx="9">
                  <c:v>7.6388888888888902</c:v>
                </c:pt>
                <c:pt idx="10">
                  <c:v>7.2368421052631584</c:v>
                </c:pt>
                <c:pt idx="11">
                  <c:v>7.4324324324324333</c:v>
                </c:pt>
                <c:pt idx="12">
                  <c:v>7.9136690647482011</c:v>
                </c:pt>
                <c:pt idx="13">
                  <c:v>8.4615384615384617</c:v>
                </c:pt>
                <c:pt idx="14">
                  <c:v>7.7464788732394378</c:v>
                </c:pt>
                <c:pt idx="15">
                  <c:v>7.9710144927536231</c:v>
                </c:pt>
                <c:pt idx="16">
                  <c:v>8.2706766917293244</c:v>
                </c:pt>
                <c:pt idx="17">
                  <c:v>8.7301587301587311</c:v>
                </c:pt>
              </c:numCache>
            </c:numRef>
          </c:xVal>
          <c:yVal>
            <c:numRef>
              <c:f>vG_crest!$AL$72:$AL$89</c:f>
              <c:numCache>
                <c:formatCode>General</c:formatCode>
                <c:ptCount val="18"/>
                <c:pt idx="0">
                  <c:v>-0.16176470588235306</c:v>
                </c:pt>
                <c:pt idx="2">
                  <c:v>-0.17482517482517484</c:v>
                </c:pt>
                <c:pt idx="4">
                  <c:v>-0.20754716981132079</c:v>
                </c:pt>
                <c:pt idx="5">
                  <c:v>-0.24793388429752061</c:v>
                </c:pt>
                <c:pt idx="7">
                  <c:v>-0.22916666666666657</c:v>
                </c:pt>
                <c:pt idx="8">
                  <c:v>-0.21052631578947364</c:v>
                </c:pt>
                <c:pt idx="9">
                  <c:v>-0.30519480519480519</c:v>
                </c:pt>
                <c:pt idx="10">
                  <c:v>-0.24999999999999992</c:v>
                </c:pt>
                <c:pt idx="11">
                  <c:v>-0.16666666666666663</c:v>
                </c:pt>
                <c:pt idx="12">
                  <c:v>-0.16964285714285718</c:v>
                </c:pt>
                <c:pt idx="13">
                  <c:v>-0.18000000000000005</c:v>
                </c:pt>
                <c:pt idx="14">
                  <c:v>-0.27777777777777779</c:v>
                </c:pt>
                <c:pt idx="15">
                  <c:v>-8.8235294117647134E-2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317632"/>
        <c:axId val="117319936"/>
      </c:scatterChart>
      <c:valAx>
        <c:axId val="117317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(x</a:t>
                </a:r>
                <a:r>
                  <a:rPr lang="nl-NL" baseline="-25000"/>
                  <a:t>B</a:t>
                </a:r>
                <a:r>
                  <a:rPr lang="nl-NL"/>
                  <a:t>-x</a:t>
                </a:r>
                <a:r>
                  <a:rPr lang="nl-NL" baseline="-25000"/>
                  <a:t>A</a:t>
                </a:r>
                <a:r>
                  <a:rPr lang="nl-NL"/>
                  <a:t>)/H</a:t>
                </a:r>
                <a:r>
                  <a:rPr lang="nl-NL" baseline="-25000"/>
                  <a:t>m0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17319936"/>
        <c:crosses val="autoZero"/>
        <c:crossBetween val="midCat"/>
      </c:valAx>
      <c:valAx>
        <c:axId val="11731993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(u</a:t>
                </a:r>
                <a:r>
                  <a:rPr lang="nl-NL" baseline="-25000"/>
                  <a:t>B, 2%</a:t>
                </a:r>
                <a:r>
                  <a:rPr lang="nl-NL"/>
                  <a:t> - </a:t>
                </a:r>
                <a:r>
                  <a:rPr lang="nl-NL" sz="1200" b="0" i="0" u="none" strike="noStrike" baseline="0">
                    <a:effectLst/>
                  </a:rPr>
                  <a:t>u</a:t>
                </a:r>
                <a:r>
                  <a:rPr lang="nl-NL" sz="1200" b="0" i="0" u="none" strike="noStrike" baseline="-25000">
                    <a:effectLst/>
                  </a:rPr>
                  <a:t>A, 2%</a:t>
                </a:r>
                <a:r>
                  <a:rPr lang="nl-NL"/>
                  <a:t>) / </a:t>
                </a:r>
                <a:r>
                  <a:rPr lang="nl-NL" sz="1200" b="0" i="0" u="none" strike="noStrike" baseline="0">
                    <a:effectLst/>
                  </a:rPr>
                  <a:t>u</a:t>
                </a:r>
                <a:r>
                  <a:rPr lang="nl-NL" sz="1200" b="0" i="0" u="none" strike="noStrike" baseline="-25000">
                    <a:effectLst/>
                  </a:rPr>
                  <a:t>A, 2%</a:t>
                </a:r>
                <a:endParaRPr lang="nl-NL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173176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1200" b="0">
          <a:latin typeface="Arial" pitchFamily="34" charset="0"/>
          <a:cs typeface="Arial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nl-NL" sz="1200"/>
              <a:t>Overtopping volume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vG_crest!$BA$6:$BA$23</c:f>
              <c:numCache>
                <c:formatCode>General</c:formatCode>
                <c:ptCount val="18"/>
                <c:pt idx="0">
                  <c:v>0.84355304429730171</c:v>
                </c:pt>
                <c:pt idx="1">
                  <c:v>0.19430690946620061</c:v>
                </c:pt>
                <c:pt idx="2">
                  <c:v>1.4590905095342972</c:v>
                </c:pt>
                <c:pt idx="3">
                  <c:v>0.57183657329970961</c:v>
                </c:pt>
                <c:pt idx="4">
                  <c:v>2.2883493628710077</c:v>
                </c:pt>
                <c:pt idx="5">
                  <c:v>1.0891033827677981</c:v>
                </c:pt>
                <c:pt idx="6">
                  <c:v>0.41709675079559738</c:v>
                </c:pt>
                <c:pt idx="7">
                  <c:v>1.8838141183719308</c:v>
                </c:pt>
                <c:pt idx="8">
                  <c:v>1.0173913623868354</c:v>
                </c:pt>
                <c:pt idx="9">
                  <c:v>1.7672599515030434</c:v>
                </c:pt>
                <c:pt idx="10">
                  <c:v>1.8713279867028025</c:v>
                </c:pt>
                <c:pt idx="11">
                  <c:v>1.4909654797575491</c:v>
                </c:pt>
                <c:pt idx="12">
                  <c:v>1.2208648824988706</c:v>
                </c:pt>
                <c:pt idx="13">
                  <c:v>1.2554891747160839</c:v>
                </c:pt>
                <c:pt idx="14">
                  <c:v>0.81566296986787723</c:v>
                </c:pt>
                <c:pt idx="15">
                  <c:v>0.6375285825649748</c:v>
                </c:pt>
                <c:pt idx="16">
                  <c:v>0.29764113583019575</c:v>
                </c:pt>
                <c:pt idx="17">
                  <c:v>0.25367187949860964</c:v>
                </c:pt>
              </c:numCache>
            </c:numRef>
          </c:xVal>
          <c:yVal>
            <c:numRef>
              <c:f>vG_crest!$T$6:$T$23</c:f>
              <c:numCache>
                <c:formatCode>0.00000</c:formatCode>
                <c:ptCount val="18"/>
                <c:pt idx="0">
                  <c:v>0.20082020858166352</c:v>
                </c:pt>
                <c:pt idx="1">
                  <c:v>6.2792480654712657E-2</c:v>
                </c:pt>
                <c:pt idx="2">
                  <c:v>0.37431810653442493</c:v>
                </c:pt>
                <c:pt idx="3">
                  <c:v>0.14987148695783528</c:v>
                </c:pt>
                <c:pt idx="4">
                  <c:v>0.70365613074061284</c:v>
                </c:pt>
                <c:pt idx="5">
                  <c:v>0.30172639754407099</c:v>
                </c:pt>
                <c:pt idx="6">
                  <c:v>0.12005997747464998</c:v>
                </c:pt>
                <c:pt idx="7">
                  <c:v>0.67955912093636628</c:v>
                </c:pt>
                <c:pt idx="8">
                  <c:v>0.32654020130072614</c:v>
                </c:pt>
                <c:pt idx="9">
                  <c:v>0.86392283126482661</c:v>
                </c:pt>
                <c:pt idx="10">
                  <c:v>0.55198507046006184</c:v>
                </c:pt>
                <c:pt idx="11">
                  <c:v>0.41179064002916976</c:v>
                </c:pt>
                <c:pt idx="12">
                  <c:v>0.31685820240879392</c:v>
                </c:pt>
                <c:pt idx="13">
                  <c:v>0.31389098005216115</c:v>
                </c:pt>
                <c:pt idx="14">
                  <c:v>0.22273030203856217</c:v>
                </c:pt>
                <c:pt idx="15">
                  <c:v>0.16942491241191071</c:v>
                </c:pt>
                <c:pt idx="16">
                  <c:v>8.7609292252200321E-2</c:v>
                </c:pt>
                <c:pt idx="17">
                  <c:v>7.6670113165291959E-2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344512"/>
        <c:axId val="117359360"/>
      </c:scatterChart>
      <c:valAx>
        <c:axId val="117344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nl-NL" sz="1200" b="0" i="0" baseline="0">
                    <a:effectLst/>
                  </a:rPr>
                  <a:t>(R</a:t>
                </a:r>
                <a:r>
                  <a:rPr lang="nl-NL" sz="1200" b="0" i="0" baseline="-25000">
                    <a:effectLst/>
                  </a:rPr>
                  <a:t>u2%</a:t>
                </a:r>
                <a:r>
                  <a:rPr lang="nl-NL" sz="1200" b="0" i="0" baseline="0">
                    <a:effectLst/>
                  </a:rPr>
                  <a:t> - R</a:t>
                </a:r>
                <a:r>
                  <a:rPr lang="nl-NL" sz="1200" b="0" i="0" baseline="-25000">
                    <a:effectLst/>
                  </a:rPr>
                  <a:t>c</a:t>
                </a:r>
                <a:r>
                  <a:rPr lang="nl-NL" sz="1200" b="0" i="0" baseline="0">
                    <a:effectLst/>
                  </a:rPr>
                  <a:t>)</a:t>
                </a:r>
                <a:r>
                  <a:rPr lang="nl-NL" sz="1200" b="0" i="0" baseline="30000">
                    <a:effectLst/>
                  </a:rPr>
                  <a:t>2</a:t>
                </a:r>
                <a:r>
                  <a:rPr lang="nl-NL" sz="1200" b="0" i="0" baseline="0">
                    <a:effectLst/>
                  </a:rPr>
                  <a:t> / H</a:t>
                </a:r>
                <a:r>
                  <a:rPr lang="nl-NL" sz="1200" b="0" i="0" baseline="-25000">
                    <a:effectLst/>
                  </a:rPr>
                  <a:t>m0</a:t>
                </a:r>
                <a:r>
                  <a:rPr lang="nl-NL" sz="1200" b="0" i="0" baseline="30000">
                    <a:effectLst/>
                  </a:rPr>
                  <a:t>2</a:t>
                </a:r>
                <a:endParaRPr lang="nl-NL" sz="12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17359360"/>
        <c:crosses val="autoZero"/>
        <c:crossBetween val="midCat"/>
      </c:valAx>
      <c:valAx>
        <c:axId val="11735936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itchFamily="34" charset="0"/>
                    <a:ea typeface="+mn-ea"/>
                    <a:cs typeface="Arial" pitchFamily="34" charset="0"/>
                  </a:defRPr>
                </a:pPr>
                <a:r>
                  <a:rPr lang="nl-NL" sz="1200" b="0" i="0" baseline="0">
                    <a:effectLst/>
                  </a:rPr>
                  <a:t>V</a:t>
                </a:r>
                <a:r>
                  <a:rPr lang="nl-NL" sz="1200" b="0" i="0" baseline="-25000">
                    <a:effectLst/>
                  </a:rPr>
                  <a:t>2%</a:t>
                </a:r>
                <a:r>
                  <a:rPr lang="nl-NL" sz="1200" b="0" i="0" baseline="0">
                    <a:effectLst/>
                  </a:rPr>
                  <a:t>/(H</a:t>
                </a:r>
                <a:r>
                  <a:rPr lang="nl-NL" sz="1200" b="0" i="0" baseline="-25000">
                    <a:effectLst/>
                  </a:rPr>
                  <a:t>m0</a:t>
                </a:r>
                <a:r>
                  <a:rPr lang="nl-NL" sz="1200" b="0" i="0" baseline="0">
                    <a:effectLst/>
                  </a:rPr>
                  <a:t>)</a:t>
                </a:r>
                <a:r>
                  <a:rPr lang="nl-NL" sz="1200" b="0" i="0" baseline="30000">
                    <a:effectLst/>
                  </a:rPr>
                  <a:t>2</a:t>
                </a:r>
                <a:r>
                  <a:rPr lang="nl-NL" sz="1200" b="0" i="0" baseline="0">
                    <a:effectLst/>
                  </a:rPr>
                  <a:t> EurOtop</a:t>
                </a:r>
                <a:endParaRPr lang="nl-NL" sz="1200">
                  <a:effectLst/>
                </a:endParaRPr>
              </a:p>
            </c:rich>
          </c:tx>
          <c:overlay val="0"/>
        </c:title>
        <c:numFmt formatCode="0.00000" sourceLinked="1"/>
        <c:majorTickMark val="none"/>
        <c:minorTickMark val="none"/>
        <c:tickLblPos val="nextTo"/>
        <c:crossAx val="117344512"/>
        <c:crosses val="autoZero"/>
        <c:crossBetween val="midCat"/>
        <c:majorUnit val="0.30000000000000004"/>
      </c:valAx>
    </c:plotArea>
    <c:plotVisOnly val="1"/>
    <c:dispBlanksAs val="gap"/>
    <c:showDLblsOverMax val="0"/>
  </c:chart>
  <c:txPr>
    <a:bodyPr/>
    <a:lstStyle/>
    <a:p>
      <a:pPr>
        <a:defRPr sz="1200" b="0">
          <a:latin typeface="Arial" pitchFamily="34" charset="0"/>
          <a:cs typeface="Arial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nl-NL" sz="1200" baseline="0"/>
              <a:t>Flow velocity on landward-side slope</a:t>
            </a:r>
            <a:endParaRPr lang="nl-NL" sz="1200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A</c:v>
          </c:tx>
          <c:spPr>
            <a:ln w="28575">
              <a:noFill/>
            </a:ln>
          </c:spPr>
          <c:marker>
            <c:symbol val="diamond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vG_crest!$AM$50:$AM$67</c:f>
              <c:numCache>
                <c:formatCode>General</c:formatCode>
                <c:ptCount val="18"/>
                <c:pt idx="0">
                  <c:v>0.69444444444444453</c:v>
                </c:pt>
                <c:pt idx="1">
                  <c:v>0.71942446043165464</c:v>
                </c:pt>
                <c:pt idx="2">
                  <c:v>0.66666666666666674</c:v>
                </c:pt>
                <c:pt idx="3">
                  <c:v>0.70422535211267612</c:v>
                </c:pt>
                <c:pt idx="4">
                  <c:v>0.65359477124183007</c:v>
                </c:pt>
                <c:pt idx="5">
                  <c:v>0.68965517241379315</c:v>
                </c:pt>
                <c:pt idx="6">
                  <c:v>0.72463768115942029</c:v>
                </c:pt>
                <c:pt idx="7">
                  <c:v>0.6802721088435375</c:v>
                </c:pt>
                <c:pt idx="8">
                  <c:v>0.7142857142857143</c:v>
                </c:pt>
                <c:pt idx="9">
                  <c:v>0.69444444444444453</c:v>
                </c:pt>
                <c:pt idx="10">
                  <c:v>0.65789473684210531</c:v>
                </c:pt>
                <c:pt idx="11">
                  <c:v>0.67567567567567577</c:v>
                </c:pt>
                <c:pt idx="12">
                  <c:v>0.71942446043165464</c:v>
                </c:pt>
                <c:pt idx="13">
                  <c:v>0.76923076923076927</c:v>
                </c:pt>
                <c:pt idx="14">
                  <c:v>0.70422535211267612</c:v>
                </c:pt>
                <c:pt idx="15">
                  <c:v>0.72463768115942029</c:v>
                </c:pt>
                <c:pt idx="16">
                  <c:v>0.75187969924812026</c:v>
                </c:pt>
                <c:pt idx="17">
                  <c:v>0.79365079365079372</c:v>
                </c:pt>
              </c:numCache>
            </c:numRef>
          </c:xVal>
          <c:yVal>
            <c:numRef>
              <c:f>vG_crest!$AS$6:$AS$23</c:f>
              <c:numCache>
                <c:formatCode>General</c:formatCode>
                <c:ptCount val="18"/>
                <c:pt idx="0">
                  <c:v>0.47747747747747726</c:v>
                </c:pt>
                <c:pt idx="2">
                  <c:v>0.37142857142857144</c:v>
                </c:pt>
                <c:pt idx="4">
                  <c:v>0.33121019108280242</c:v>
                </c:pt>
                <c:pt idx="5">
                  <c:v>0.52459016393442637</c:v>
                </c:pt>
                <c:pt idx="7">
                  <c:v>0.38194444444444448</c:v>
                </c:pt>
                <c:pt idx="8">
                  <c:v>0.43089430894308944</c:v>
                </c:pt>
                <c:pt idx="9">
                  <c:v>0.36486486486486491</c:v>
                </c:pt>
                <c:pt idx="10">
                  <c:v>0.40145985401459838</c:v>
                </c:pt>
                <c:pt idx="11">
                  <c:v>0.40441176470588219</c:v>
                </c:pt>
                <c:pt idx="12">
                  <c:v>0.47244094488188981</c:v>
                </c:pt>
                <c:pt idx="13">
                  <c:v>0.5901639344262295</c:v>
                </c:pt>
                <c:pt idx="14">
                  <c:v>0.57943925233644844</c:v>
                </c:pt>
                <c:pt idx="15">
                  <c:v>0.6078431372549018</c:v>
                </c:pt>
                <c:pt idx="16">
                  <c:v>-1</c:v>
                </c:pt>
              </c:numCache>
            </c:numRef>
          </c:yVal>
          <c:smooth val="0"/>
        </c:ser>
        <c:ser>
          <c:idx val="0"/>
          <c:order val="1"/>
          <c:spPr>
            <a:ln w="28575">
              <a:noFill/>
            </a:ln>
          </c:spPr>
          <c:marker>
            <c:symbol val="diamond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vG_crest!$AO$50:$AO$67</c:f>
              <c:numCache>
                <c:formatCode>General</c:formatCode>
                <c:ptCount val="18"/>
                <c:pt idx="0">
                  <c:v>1.7361111111111112</c:v>
                </c:pt>
                <c:pt idx="1">
                  <c:v>1.7985611510791366</c:v>
                </c:pt>
                <c:pt idx="2">
                  <c:v>1.6666666666666667</c:v>
                </c:pt>
                <c:pt idx="3">
                  <c:v>1.7605633802816902</c:v>
                </c:pt>
                <c:pt idx="4">
                  <c:v>1.6339869281045751</c:v>
                </c:pt>
                <c:pt idx="5">
                  <c:v>1.7241379310344829</c:v>
                </c:pt>
                <c:pt idx="6">
                  <c:v>1.8115942028985506</c:v>
                </c:pt>
                <c:pt idx="7">
                  <c:v>1.7006802721088436</c:v>
                </c:pt>
                <c:pt idx="8">
                  <c:v>1.7857142857142856</c:v>
                </c:pt>
                <c:pt idx="9">
                  <c:v>1.7361111111111112</c:v>
                </c:pt>
                <c:pt idx="10">
                  <c:v>1.6447368421052633</c:v>
                </c:pt>
                <c:pt idx="11">
                  <c:v>1.6891891891891893</c:v>
                </c:pt>
                <c:pt idx="12">
                  <c:v>1.7985611510791366</c:v>
                </c:pt>
                <c:pt idx="13">
                  <c:v>1.9230769230769229</c:v>
                </c:pt>
                <c:pt idx="14">
                  <c:v>1.7605633802816902</c:v>
                </c:pt>
                <c:pt idx="15">
                  <c:v>1.8115942028985506</c:v>
                </c:pt>
                <c:pt idx="16">
                  <c:v>1.8796992481203008</c:v>
                </c:pt>
                <c:pt idx="17">
                  <c:v>1.9841269841269842</c:v>
                </c:pt>
              </c:numCache>
            </c:numRef>
          </c:xVal>
          <c:yVal>
            <c:numRef>
              <c:f>vG_crest!$AT$6:$AT$23</c:f>
              <c:numCache>
                <c:formatCode>General</c:formatCode>
                <c:ptCount val="18"/>
                <c:pt idx="0">
                  <c:v>0.64864864864864857</c:v>
                </c:pt>
                <c:pt idx="2">
                  <c:v>0.76428571428571457</c:v>
                </c:pt>
                <c:pt idx="4">
                  <c:v>0.75796178343949028</c:v>
                </c:pt>
                <c:pt idx="5">
                  <c:v>0.83606557377049207</c:v>
                </c:pt>
                <c:pt idx="6">
                  <c:v>0.52499999999999991</c:v>
                </c:pt>
                <c:pt idx="7">
                  <c:v>0.8125</c:v>
                </c:pt>
                <c:pt idx="8">
                  <c:v>0.73170731707317072</c:v>
                </c:pt>
                <c:pt idx="9">
                  <c:v>0.71621621621621623</c:v>
                </c:pt>
                <c:pt idx="10">
                  <c:v>0.79562043795620419</c:v>
                </c:pt>
                <c:pt idx="11">
                  <c:v>0.79411764705882337</c:v>
                </c:pt>
                <c:pt idx="12">
                  <c:v>0.81102362204724388</c:v>
                </c:pt>
                <c:pt idx="13">
                  <c:v>0.81147540983606559</c:v>
                </c:pt>
                <c:pt idx="14">
                  <c:v>0.71028037383177567</c:v>
                </c:pt>
                <c:pt idx="15">
                  <c:v>0.78431372549019607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marker>
            <c:symbol val="diamond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vG_crest!$AQ$50:$AQ$67</c:f>
              <c:numCache>
                <c:formatCode>General</c:formatCode>
                <c:ptCount val="18"/>
                <c:pt idx="0">
                  <c:v>2.7777777777777781</c:v>
                </c:pt>
                <c:pt idx="1">
                  <c:v>2.8776978417266186</c:v>
                </c:pt>
                <c:pt idx="2">
                  <c:v>2.666666666666667</c:v>
                </c:pt>
                <c:pt idx="3">
                  <c:v>2.8169014084507045</c:v>
                </c:pt>
                <c:pt idx="4">
                  <c:v>2.6143790849673203</c:v>
                </c:pt>
                <c:pt idx="5">
                  <c:v>2.7586206896551726</c:v>
                </c:pt>
                <c:pt idx="6">
                  <c:v>2.8985507246376812</c:v>
                </c:pt>
                <c:pt idx="7">
                  <c:v>2.72108843537415</c:v>
                </c:pt>
                <c:pt idx="8">
                  <c:v>2.8571428571428572</c:v>
                </c:pt>
                <c:pt idx="9">
                  <c:v>2.7777777777777781</c:v>
                </c:pt>
                <c:pt idx="10">
                  <c:v>2.6315789473684212</c:v>
                </c:pt>
                <c:pt idx="11">
                  <c:v>2.7027027027027031</c:v>
                </c:pt>
                <c:pt idx="12">
                  <c:v>2.8776978417266186</c:v>
                </c:pt>
                <c:pt idx="13">
                  <c:v>3.0769230769230771</c:v>
                </c:pt>
                <c:pt idx="14">
                  <c:v>2.8169014084507045</c:v>
                </c:pt>
                <c:pt idx="15">
                  <c:v>2.8985507246376812</c:v>
                </c:pt>
                <c:pt idx="16">
                  <c:v>3.007518796992481</c:v>
                </c:pt>
                <c:pt idx="17">
                  <c:v>3.1746031746031749</c:v>
                </c:pt>
              </c:numCache>
            </c:numRef>
          </c:xVal>
          <c:yVal>
            <c:numRef>
              <c:f>vG_crest!$AU$6:$AU$23</c:f>
              <c:numCache>
                <c:formatCode>General</c:formatCode>
                <c:ptCount val="18"/>
                <c:pt idx="0">
                  <c:v>0.64864864864864857</c:v>
                </c:pt>
                <c:pt idx="2">
                  <c:v>0.86428571428571432</c:v>
                </c:pt>
                <c:pt idx="4">
                  <c:v>0.86624203821656054</c:v>
                </c:pt>
                <c:pt idx="5">
                  <c:v>0.81967213114754123</c:v>
                </c:pt>
                <c:pt idx="7">
                  <c:v>0.81944444444444453</c:v>
                </c:pt>
                <c:pt idx="8">
                  <c:v>0.7642276422764227</c:v>
                </c:pt>
                <c:pt idx="9">
                  <c:v>0.83783783783783794</c:v>
                </c:pt>
                <c:pt idx="10">
                  <c:v>0.8759124087591238</c:v>
                </c:pt>
                <c:pt idx="11">
                  <c:v>0.76470588235294101</c:v>
                </c:pt>
                <c:pt idx="12">
                  <c:v>0.75590551181102361</c:v>
                </c:pt>
                <c:pt idx="13">
                  <c:v>0.65573770491803285</c:v>
                </c:pt>
                <c:pt idx="14">
                  <c:v>0.65420560747663548</c:v>
                </c:pt>
                <c:pt idx="15">
                  <c:v>0.75490196078431371</c:v>
                </c:pt>
              </c:numCache>
            </c:numRef>
          </c:yVal>
          <c:smooth val="0"/>
        </c:ser>
        <c:ser>
          <c:idx val="6"/>
          <c:order val="3"/>
          <c:tx>
            <c:v>C</c:v>
          </c:tx>
          <c:spPr>
            <a:ln w="28575">
              <a:noFill/>
            </a:ln>
          </c:spPr>
          <c:marker>
            <c:symbol val="triang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vG_crest!$AM$50:$AM$67</c:f>
              <c:numCache>
                <c:formatCode>General</c:formatCode>
                <c:ptCount val="18"/>
                <c:pt idx="0">
                  <c:v>0.69444444444444453</c:v>
                </c:pt>
                <c:pt idx="1">
                  <c:v>0.71942446043165464</c:v>
                </c:pt>
                <c:pt idx="2">
                  <c:v>0.66666666666666674</c:v>
                </c:pt>
                <c:pt idx="3">
                  <c:v>0.70422535211267612</c:v>
                </c:pt>
                <c:pt idx="4">
                  <c:v>0.65359477124183007</c:v>
                </c:pt>
                <c:pt idx="5">
                  <c:v>0.68965517241379315</c:v>
                </c:pt>
                <c:pt idx="6">
                  <c:v>0.72463768115942029</c:v>
                </c:pt>
                <c:pt idx="7">
                  <c:v>0.6802721088435375</c:v>
                </c:pt>
                <c:pt idx="8">
                  <c:v>0.7142857142857143</c:v>
                </c:pt>
                <c:pt idx="9">
                  <c:v>0.69444444444444453</c:v>
                </c:pt>
                <c:pt idx="10">
                  <c:v>0.65789473684210531</c:v>
                </c:pt>
                <c:pt idx="11">
                  <c:v>0.67567567567567577</c:v>
                </c:pt>
                <c:pt idx="12">
                  <c:v>0.71942446043165464</c:v>
                </c:pt>
                <c:pt idx="13">
                  <c:v>0.76923076923076927</c:v>
                </c:pt>
                <c:pt idx="14">
                  <c:v>0.70422535211267612</c:v>
                </c:pt>
                <c:pt idx="15">
                  <c:v>0.72463768115942029</c:v>
                </c:pt>
                <c:pt idx="16">
                  <c:v>0.75187969924812026</c:v>
                </c:pt>
                <c:pt idx="17">
                  <c:v>0.79365079365079372</c:v>
                </c:pt>
              </c:numCache>
            </c:numRef>
          </c:xVal>
          <c:yVal>
            <c:numRef>
              <c:f>vG_crest!$AS$50:$AS$67</c:f>
              <c:numCache>
                <c:formatCode>General</c:formatCode>
                <c:ptCount val="18"/>
                <c:pt idx="0">
                  <c:v>1.3492063492063491</c:v>
                </c:pt>
                <c:pt idx="2">
                  <c:v>0.51724137931034497</c:v>
                </c:pt>
                <c:pt idx="4">
                  <c:v>0.36567164179104472</c:v>
                </c:pt>
                <c:pt idx="5">
                  <c:v>0.75268817204301053</c:v>
                </c:pt>
                <c:pt idx="7">
                  <c:v>0.52136752136752151</c:v>
                </c:pt>
                <c:pt idx="8">
                  <c:v>1.0933333333333335</c:v>
                </c:pt>
                <c:pt idx="9">
                  <c:v>0.49579831932773116</c:v>
                </c:pt>
                <c:pt idx="10">
                  <c:v>0.55357142857142838</c:v>
                </c:pt>
                <c:pt idx="11">
                  <c:v>0.64705882352941169</c:v>
                </c:pt>
                <c:pt idx="12">
                  <c:v>0.66666666666666685</c:v>
                </c:pt>
                <c:pt idx="13">
                  <c:v>0.82022471910112371</c:v>
                </c:pt>
                <c:pt idx="14">
                  <c:v>1.2686567164179103</c:v>
                </c:pt>
                <c:pt idx="15">
                  <c:v>1.375</c:v>
                </c:pt>
                <c:pt idx="16">
                  <c:v>0</c:v>
                </c:pt>
              </c:numCache>
            </c:numRef>
          </c:yVal>
          <c:smooth val="0"/>
        </c:ser>
        <c:ser>
          <c:idx val="7"/>
          <c:order val="4"/>
          <c:spPr>
            <a:ln w="28575">
              <a:noFill/>
            </a:ln>
          </c:spPr>
          <c:marker>
            <c:symbol val="triang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vG_crest!$AO$50:$AO$67</c:f>
              <c:numCache>
                <c:formatCode>General</c:formatCode>
                <c:ptCount val="18"/>
                <c:pt idx="0">
                  <c:v>1.7361111111111112</c:v>
                </c:pt>
                <c:pt idx="1">
                  <c:v>1.7985611510791366</c:v>
                </c:pt>
                <c:pt idx="2">
                  <c:v>1.6666666666666667</c:v>
                </c:pt>
                <c:pt idx="3">
                  <c:v>1.7605633802816902</c:v>
                </c:pt>
                <c:pt idx="4">
                  <c:v>1.6339869281045751</c:v>
                </c:pt>
                <c:pt idx="5">
                  <c:v>1.7241379310344829</c:v>
                </c:pt>
                <c:pt idx="6">
                  <c:v>1.8115942028985506</c:v>
                </c:pt>
                <c:pt idx="7">
                  <c:v>1.7006802721088436</c:v>
                </c:pt>
                <c:pt idx="8">
                  <c:v>1.7857142857142856</c:v>
                </c:pt>
                <c:pt idx="9">
                  <c:v>1.7361111111111112</c:v>
                </c:pt>
                <c:pt idx="10">
                  <c:v>1.6447368421052633</c:v>
                </c:pt>
                <c:pt idx="11">
                  <c:v>1.6891891891891893</c:v>
                </c:pt>
                <c:pt idx="12">
                  <c:v>1.7985611510791366</c:v>
                </c:pt>
                <c:pt idx="13">
                  <c:v>1.9230769230769229</c:v>
                </c:pt>
                <c:pt idx="14">
                  <c:v>1.7605633802816902</c:v>
                </c:pt>
                <c:pt idx="15">
                  <c:v>1.8115942028985506</c:v>
                </c:pt>
                <c:pt idx="16">
                  <c:v>1.8796992481203008</c:v>
                </c:pt>
                <c:pt idx="17">
                  <c:v>1.9841269841269842</c:v>
                </c:pt>
              </c:numCache>
            </c:numRef>
          </c:xVal>
          <c:yVal>
            <c:numRef>
              <c:f>vG_crest!$AT$50:$AT$67</c:f>
              <c:numCache>
                <c:formatCode>General</c:formatCode>
                <c:ptCount val="18"/>
                <c:pt idx="0">
                  <c:v>1.6031746031746028</c:v>
                </c:pt>
                <c:pt idx="2">
                  <c:v>0.89655172413793127</c:v>
                </c:pt>
                <c:pt idx="4">
                  <c:v>0.82835820895522394</c:v>
                </c:pt>
                <c:pt idx="5">
                  <c:v>1.1290322580645158</c:v>
                </c:pt>
                <c:pt idx="7">
                  <c:v>0.97435897435897456</c:v>
                </c:pt>
                <c:pt idx="8">
                  <c:v>1.3466666666666667</c:v>
                </c:pt>
                <c:pt idx="9">
                  <c:v>1.0840336134453783</c:v>
                </c:pt>
                <c:pt idx="10">
                  <c:v>1.0178571428571426</c:v>
                </c:pt>
                <c:pt idx="11">
                  <c:v>1.1666666666666665</c:v>
                </c:pt>
                <c:pt idx="12">
                  <c:v>1.0208333333333333</c:v>
                </c:pt>
                <c:pt idx="13">
                  <c:v>1.0449438202247192</c:v>
                </c:pt>
                <c:pt idx="14">
                  <c:v>1.4477611940298505</c:v>
                </c:pt>
                <c:pt idx="15">
                  <c:v>1.5178571428571426</c:v>
                </c:pt>
                <c:pt idx="16">
                  <c:v>0</c:v>
                </c:pt>
              </c:numCache>
            </c:numRef>
          </c:yVal>
          <c:smooth val="0"/>
        </c:ser>
        <c:ser>
          <c:idx val="8"/>
          <c:order val="5"/>
          <c:spPr>
            <a:ln w="28575">
              <a:noFill/>
            </a:ln>
          </c:spPr>
          <c:marker>
            <c:symbol val="triang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vG_crest!$AQ$50:$AQ$67</c:f>
              <c:numCache>
                <c:formatCode>General</c:formatCode>
                <c:ptCount val="18"/>
                <c:pt idx="0">
                  <c:v>2.7777777777777781</c:v>
                </c:pt>
                <c:pt idx="1">
                  <c:v>2.8776978417266186</c:v>
                </c:pt>
                <c:pt idx="2">
                  <c:v>2.666666666666667</c:v>
                </c:pt>
                <c:pt idx="3">
                  <c:v>2.8169014084507045</c:v>
                </c:pt>
                <c:pt idx="4">
                  <c:v>2.6143790849673203</c:v>
                </c:pt>
                <c:pt idx="5">
                  <c:v>2.7586206896551726</c:v>
                </c:pt>
                <c:pt idx="6">
                  <c:v>2.8985507246376812</c:v>
                </c:pt>
                <c:pt idx="7">
                  <c:v>2.72108843537415</c:v>
                </c:pt>
                <c:pt idx="8">
                  <c:v>2.8571428571428572</c:v>
                </c:pt>
                <c:pt idx="9">
                  <c:v>2.7777777777777781</c:v>
                </c:pt>
                <c:pt idx="10">
                  <c:v>2.6315789473684212</c:v>
                </c:pt>
                <c:pt idx="11">
                  <c:v>2.7027027027027031</c:v>
                </c:pt>
                <c:pt idx="12">
                  <c:v>2.8776978417266186</c:v>
                </c:pt>
                <c:pt idx="13">
                  <c:v>3.0769230769230771</c:v>
                </c:pt>
                <c:pt idx="14">
                  <c:v>2.8169014084507045</c:v>
                </c:pt>
                <c:pt idx="15">
                  <c:v>2.8985507246376812</c:v>
                </c:pt>
                <c:pt idx="16">
                  <c:v>3.007518796992481</c:v>
                </c:pt>
                <c:pt idx="17">
                  <c:v>3.1746031746031749</c:v>
                </c:pt>
              </c:numCache>
            </c:numRef>
          </c:xVal>
          <c:yVal>
            <c:numRef>
              <c:f>vG_crest!$AU$50:$AU$67</c:f>
              <c:numCache>
                <c:formatCode>General</c:formatCode>
                <c:ptCount val="18"/>
                <c:pt idx="0">
                  <c:v>1.2857142857142856</c:v>
                </c:pt>
                <c:pt idx="7">
                  <c:v>1.0256410256410258</c:v>
                </c:pt>
                <c:pt idx="8">
                  <c:v>1.0933333333333335</c:v>
                </c:pt>
                <c:pt idx="9">
                  <c:v>1.0756302521008405</c:v>
                </c:pt>
                <c:pt idx="10">
                  <c:v>1</c:v>
                </c:pt>
                <c:pt idx="11">
                  <c:v>1.0980392156862746</c:v>
                </c:pt>
                <c:pt idx="12">
                  <c:v>1.0104166666666667</c:v>
                </c:pt>
                <c:pt idx="13">
                  <c:v>0.96629213483146059</c:v>
                </c:pt>
                <c:pt idx="15">
                  <c:v>1.214285714285714</c:v>
                </c:pt>
                <c:pt idx="16">
                  <c:v>0</c:v>
                </c:pt>
              </c:numCache>
            </c:numRef>
          </c:yVal>
          <c:smooth val="0"/>
        </c:ser>
        <c:ser>
          <c:idx val="3"/>
          <c:order val="6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vG_crest!$BO$165:$BO$166</c:f>
              <c:numCache>
                <c:formatCode>General</c:formatCode>
                <c:ptCount val="2"/>
                <c:pt idx="0">
                  <c:v>0</c:v>
                </c:pt>
                <c:pt idx="1">
                  <c:v>4</c:v>
                </c:pt>
              </c:numCache>
            </c:numRef>
          </c:xVal>
          <c:yVal>
            <c:numRef>
              <c:f>vG_crest!$BP$165:$BP$166</c:f>
              <c:numCache>
                <c:formatCode>General</c:formatCode>
                <c:ptCount val="2"/>
                <c:pt idx="0">
                  <c:v>0</c:v>
                </c:pt>
                <c:pt idx="1">
                  <c:v>1.2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401088"/>
        <c:axId val="117403008"/>
      </c:scatterChart>
      <c:valAx>
        <c:axId val="117401088"/>
        <c:scaling>
          <c:orientation val="minMax"/>
          <c:max val="4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y</a:t>
                </a:r>
                <a:r>
                  <a:rPr lang="nl-NL" baseline="-25000"/>
                  <a:t>C </a:t>
                </a:r>
                <a:r>
                  <a:rPr lang="nl-NL"/>
                  <a:t>/ H</a:t>
                </a:r>
                <a:r>
                  <a:rPr lang="nl-NL" baseline="-25000"/>
                  <a:t>m0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17403008"/>
        <c:crosses val="autoZero"/>
        <c:crossBetween val="midCat"/>
      </c:valAx>
      <c:valAx>
        <c:axId val="117403008"/>
        <c:scaling>
          <c:orientation val="minMax"/>
          <c:max val="2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(u</a:t>
                </a:r>
                <a:r>
                  <a:rPr lang="nl-NL" baseline="-25000"/>
                  <a:t>yC</a:t>
                </a:r>
                <a:r>
                  <a:rPr lang="nl-NL"/>
                  <a:t> - </a:t>
                </a:r>
                <a:r>
                  <a:rPr lang="nl-NL" sz="1200" b="0" i="0" u="none" strike="noStrike" baseline="0">
                    <a:effectLst/>
                  </a:rPr>
                  <a:t>u</a:t>
                </a:r>
                <a:r>
                  <a:rPr lang="nl-NL" sz="1200" b="0" i="0" u="none" strike="noStrike" baseline="-25000">
                    <a:effectLst/>
                  </a:rPr>
                  <a:t>B</a:t>
                </a:r>
                <a:r>
                  <a:rPr lang="nl-NL"/>
                  <a:t>) / </a:t>
                </a:r>
                <a:r>
                  <a:rPr lang="nl-NL" sz="1200" b="0" i="0" u="none" strike="noStrike" baseline="0">
                    <a:effectLst/>
                  </a:rPr>
                  <a:t>u</a:t>
                </a:r>
                <a:r>
                  <a:rPr lang="nl-NL" sz="1200" b="0" i="0" u="none" strike="noStrike" baseline="-25000">
                    <a:effectLst/>
                  </a:rPr>
                  <a:t>B</a:t>
                </a:r>
                <a:endParaRPr lang="nl-NL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17401088"/>
        <c:crosses val="autoZero"/>
        <c:crossBetween val="midCat"/>
        <c:majorUnit val="0.5"/>
      </c:valAx>
    </c:plotArea>
    <c:legend>
      <c:legendPos val="r"/>
      <c:legendEntry>
        <c:idx val="1"/>
        <c:delete val="1"/>
      </c:legendEntry>
      <c:legendEntry>
        <c:idx val="2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overlay val="0"/>
    </c:legend>
    <c:plotVisOnly val="1"/>
    <c:dispBlanksAs val="gap"/>
    <c:showDLblsOverMax val="0"/>
  </c:chart>
  <c:txPr>
    <a:bodyPr/>
    <a:lstStyle/>
    <a:p>
      <a:pPr>
        <a:defRPr sz="1200" b="0">
          <a:latin typeface="Arial" pitchFamily="34" charset="0"/>
          <a:cs typeface="Arial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nl-NL" sz="1200" baseline="0"/>
              <a:t>Water-layer thickness on landward-side slope</a:t>
            </a:r>
            <a:endParaRPr lang="nl-NL" sz="1200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3"/>
          <c:order val="0"/>
          <c:tx>
            <c:v>B</c:v>
          </c:tx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vG_landward!$BA$27:$BA$43</c:f>
              <c:numCache>
                <c:formatCode>General</c:formatCode>
                <c:ptCount val="17"/>
                <c:pt idx="0">
                  <c:v>2.6920987899409676E-2</c:v>
                </c:pt>
                <c:pt idx="2">
                  <c:v>3.703622617338645E-2</c:v>
                </c:pt>
                <c:pt idx="3">
                  <c:v>2.4407757024044748E-2</c:v>
                </c:pt>
                <c:pt idx="4">
                  <c:v>5.3567482194177861E-2</c:v>
                </c:pt>
                <c:pt idx="5">
                  <c:v>3.4331507459729294E-2</c:v>
                </c:pt>
                <c:pt idx="6">
                  <c:v>2.2776552762875605E-2</c:v>
                </c:pt>
                <c:pt idx="7">
                  <c:v>5.6013562425675623E-2</c:v>
                </c:pt>
                <c:pt idx="8">
                  <c:v>3.7642222178024126E-2</c:v>
                </c:pt>
                <c:pt idx="9">
                  <c:v>7.0872081547368043E-2</c:v>
                </c:pt>
                <c:pt idx="10">
                  <c:v>4.688759615152089E-2</c:v>
                </c:pt>
                <c:pt idx="11">
                  <c:v>3.9560918569907032E-2</c:v>
                </c:pt>
                <c:pt idx="12">
                  <c:v>3.3871623054786193E-2</c:v>
                </c:pt>
                <c:pt idx="13">
                  <c:v>3.2989934726601923E-2</c:v>
                </c:pt>
                <c:pt idx="14">
                  <c:v>2.9582911802112911E-2</c:v>
                </c:pt>
                <c:pt idx="15">
                  <c:v>2.5646151544928237E-2</c:v>
                </c:pt>
                <c:pt idx="16">
                  <c:v>1.9848237771972047E-2</c:v>
                </c:pt>
              </c:numCache>
            </c:numRef>
          </c:xVal>
          <c:yVal>
            <c:numRef>
              <c:f>vG_landward!$AK$27:$AK$43</c:f>
              <c:numCache>
                <c:formatCode>General</c:formatCode>
                <c:ptCount val="17"/>
                <c:pt idx="0">
                  <c:v>2.013888888888889E-2</c:v>
                </c:pt>
                <c:pt idx="2">
                  <c:v>3.6666666666666667E-2</c:v>
                </c:pt>
                <c:pt idx="3">
                  <c:v>1.1971830985915493E-2</c:v>
                </c:pt>
                <c:pt idx="4">
                  <c:v>6.4052287581699355E-2</c:v>
                </c:pt>
                <c:pt idx="5">
                  <c:v>3.1724137931034485E-2</c:v>
                </c:pt>
                <c:pt idx="6">
                  <c:v>1.3768115942028984E-2</c:v>
                </c:pt>
                <c:pt idx="7">
                  <c:v>5.1700680272108848E-2</c:v>
                </c:pt>
                <c:pt idx="8">
                  <c:v>2.6428571428571426E-2</c:v>
                </c:pt>
                <c:pt idx="9">
                  <c:v>6.458333333333334E-2</c:v>
                </c:pt>
                <c:pt idx="10">
                  <c:v>3.8157894736842106E-2</c:v>
                </c:pt>
                <c:pt idx="11">
                  <c:v>3.3108108108108117E-2</c:v>
                </c:pt>
                <c:pt idx="12">
                  <c:v>2.9496402877697836E-2</c:v>
                </c:pt>
                <c:pt idx="13">
                  <c:v>2.6153846153846153E-2</c:v>
                </c:pt>
                <c:pt idx="14">
                  <c:v>1.6901408450704224E-2</c:v>
                </c:pt>
                <c:pt idx="15">
                  <c:v>1.8115942028985504E-2</c:v>
                </c:pt>
                <c:pt idx="16">
                  <c:v>8.2706766917293225E-3</c:v>
                </c:pt>
              </c:numCache>
            </c:numRef>
          </c:yVal>
          <c:smooth val="0"/>
        </c:ser>
        <c:ser>
          <c:idx val="4"/>
          <c:order val="1"/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vG_landward!$BB$27:$BB$44</c:f>
              <c:numCache>
                <c:formatCode>General</c:formatCode>
                <c:ptCount val="18"/>
                <c:pt idx="0">
                  <c:v>2.4440552896392811E-2</c:v>
                </c:pt>
                <c:pt idx="2">
                  <c:v>3.3768323863969996E-2</c:v>
                </c:pt>
                <c:pt idx="3">
                  <c:v>2.2125236105337325E-2</c:v>
                </c:pt>
                <c:pt idx="4">
                  <c:v>4.8938955506892902E-2</c:v>
                </c:pt>
                <c:pt idx="5">
                  <c:v>3.1191430557924785E-2</c:v>
                </c:pt>
                <c:pt idx="6">
                  <c:v>2.0580869655914592E-2</c:v>
                </c:pt>
                <c:pt idx="7">
                  <c:v>5.0964262928168816E-2</c:v>
                </c:pt>
                <c:pt idx="8">
                  <c:v>3.4068593490237026E-2</c:v>
                </c:pt>
                <c:pt idx="9">
                  <c:v>6.4342098603814471E-2</c:v>
                </c:pt>
                <c:pt idx="10">
                  <c:v>4.2808048922560259E-2</c:v>
                </c:pt>
                <c:pt idx="11">
                  <c:v>3.602026356663373E-2</c:v>
                </c:pt>
                <c:pt idx="12">
                  <c:v>3.0631352992147212E-2</c:v>
                </c:pt>
                <c:pt idx="13">
                  <c:v>2.9600557871129123E-2</c:v>
                </c:pt>
                <c:pt idx="14">
                  <c:v>2.6816430025107342E-2</c:v>
                </c:pt>
                <c:pt idx="15">
                  <c:v>2.3173836164633102E-2</c:v>
                </c:pt>
                <c:pt idx="16">
                  <c:v>1.7858106979327791E-2</c:v>
                </c:pt>
                <c:pt idx="17">
                  <c:v>1.6854843303481911E-2</c:v>
                </c:pt>
              </c:numCache>
            </c:numRef>
          </c:xVal>
          <c:yVal>
            <c:numRef>
              <c:f>vG_landward!$AM$27:$AM$44</c:f>
              <c:numCache>
                <c:formatCode>General</c:formatCode>
                <c:ptCount val="18"/>
                <c:pt idx="0">
                  <c:v>1.9444444444444445E-2</c:v>
                </c:pt>
                <c:pt idx="2">
                  <c:v>3.6000000000000004E-2</c:v>
                </c:pt>
                <c:pt idx="3">
                  <c:v>1.47887323943662E-2</c:v>
                </c:pt>
                <c:pt idx="4">
                  <c:v>5.1633986928104579E-2</c:v>
                </c:pt>
                <c:pt idx="5">
                  <c:v>2.9655172413793104E-2</c:v>
                </c:pt>
                <c:pt idx="6">
                  <c:v>1.3043478260869565E-2</c:v>
                </c:pt>
                <c:pt idx="7">
                  <c:v>4.4217687074829932E-2</c:v>
                </c:pt>
                <c:pt idx="8">
                  <c:v>2.928571428571428E-2</c:v>
                </c:pt>
                <c:pt idx="9">
                  <c:v>5.1388888888888894E-2</c:v>
                </c:pt>
                <c:pt idx="10">
                  <c:v>3.7500000000000006E-2</c:v>
                </c:pt>
                <c:pt idx="11">
                  <c:v>3.1756756756756759E-2</c:v>
                </c:pt>
                <c:pt idx="12">
                  <c:v>3.2374100719424453E-2</c:v>
                </c:pt>
                <c:pt idx="13">
                  <c:v>2.8461538461538462E-2</c:v>
                </c:pt>
                <c:pt idx="14">
                  <c:v>2.183098591549296E-2</c:v>
                </c:pt>
                <c:pt idx="15">
                  <c:v>2.0289855072463767E-2</c:v>
                </c:pt>
                <c:pt idx="16">
                  <c:v>9.7744360902255623E-3</c:v>
                </c:pt>
                <c:pt idx="17">
                  <c:v>8.7301587301587304E-3</c:v>
                </c:pt>
              </c:numCache>
            </c:numRef>
          </c:yVal>
          <c:smooth val="0"/>
        </c:ser>
        <c:ser>
          <c:idx val="5"/>
          <c:order val="2"/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(vG_landward!$BC$27:$BC$42,vG_landward!$BC$33)</c:f>
              <c:numCache>
                <c:formatCode>General</c:formatCode>
                <c:ptCount val="17"/>
                <c:pt idx="0">
                  <c:v>2.1960117893375947E-2</c:v>
                </c:pt>
                <c:pt idx="2">
                  <c:v>3.0500421554553545E-2</c:v>
                </c:pt>
                <c:pt idx="3">
                  <c:v>1.9842715186629896E-2</c:v>
                </c:pt>
                <c:pt idx="4">
                  <c:v>4.431042881960795E-2</c:v>
                </c:pt>
                <c:pt idx="5">
                  <c:v>2.805135365612027E-2</c:v>
                </c:pt>
                <c:pt idx="6">
                  <c:v>1.8385186548953575E-2</c:v>
                </c:pt>
                <c:pt idx="7">
                  <c:v>4.5914963430661988E-2</c:v>
                </c:pt>
                <c:pt idx="8">
                  <c:v>3.0494964802449922E-2</c:v>
                </c:pt>
                <c:pt idx="9">
                  <c:v>5.7812115660260892E-2</c:v>
                </c:pt>
                <c:pt idx="10">
                  <c:v>3.8728501693599621E-2</c:v>
                </c:pt>
                <c:pt idx="11">
                  <c:v>3.2479608563360421E-2</c:v>
                </c:pt>
                <c:pt idx="12">
                  <c:v>2.7391082929508224E-2</c:v>
                </c:pt>
                <c:pt idx="13">
                  <c:v>2.6211181015656324E-2</c:v>
                </c:pt>
                <c:pt idx="14">
                  <c:v>2.4049948248101766E-2</c:v>
                </c:pt>
                <c:pt idx="15">
                  <c:v>2.070152078433796E-2</c:v>
                </c:pt>
                <c:pt idx="16">
                  <c:v>1.8385186548953575E-2</c:v>
                </c:pt>
              </c:numCache>
            </c:numRef>
          </c:xVal>
          <c:yVal>
            <c:numRef>
              <c:f>(vG_landward!$AO$27:$AO$32,vG_landward!$AO$34:$AO$42)</c:f>
              <c:numCache>
                <c:formatCode>General</c:formatCode>
                <c:ptCount val="15"/>
                <c:pt idx="0">
                  <c:v>1.7361111111111112E-2</c:v>
                </c:pt>
                <c:pt idx="2">
                  <c:v>3.266666666666667E-2</c:v>
                </c:pt>
                <c:pt idx="3">
                  <c:v>1.1971830985915493E-2</c:v>
                </c:pt>
                <c:pt idx="4">
                  <c:v>4.3137254901960784E-2</c:v>
                </c:pt>
                <c:pt idx="5">
                  <c:v>2.4137931034482762E-2</c:v>
                </c:pt>
                <c:pt idx="6">
                  <c:v>3.8095238095238099E-2</c:v>
                </c:pt>
                <c:pt idx="7">
                  <c:v>2.4999999999999998E-2</c:v>
                </c:pt>
                <c:pt idx="8">
                  <c:v>4.5833333333333337E-2</c:v>
                </c:pt>
                <c:pt idx="9">
                  <c:v>3.2236842105263161E-2</c:v>
                </c:pt>
                <c:pt idx="10">
                  <c:v>3.0405405405405404E-2</c:v>
                </c:pt>
                <c:pt idx="11">
                  <c:v>2.6618705035971222E-2</c:v>
                </c:pt>
                <c:pt idx="12">
                  <c:v>2.6153846153846153E-2</c:v>
                </c:pt>
                <c:pt idx="13">
                  <c:v>1.6901408450704224E-2</c:v>
                </c:pt>
                <c:pt idx="14">
                  <c:v>1.5942028985507246E-2</c:v>
                </c:pt>
              </c:numCache>
            </c:numRef>
          </c:yVal>
          <c:smooth val="0"/>
        </c:ser>
        <c:ser>
          <c:idx val="9"/>
          <c:order val="3"/>
          <c:tx>
            <c:v>D</c:v>
          </c:tx>
          <c:spPr>
            <a:ln w="28575">
              <a:noFill/>
            </a:ln>
          </c:spPr>
          <c:marker>
            <c:symbol val="circ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vG_landward!$BA$27:$BA$44</c:f>
              <c:numCache>
                <c:formatCode>General</c:formatCode>
                <c:ptCount val="18"/>
                <c:pt idx="0">
                  <c:v>2.6920987899409676E-2</c:v>
                </c:pt>
                <c:pt idx="2">
                  <c:v>3.703622617338645E-2</c:v>
                </c:pt>
                <c:pt idx="3">
                  <c:v>2.4407757024044748E-2</c:v>
                </c:pt>
                <c:pt idx="4">
                  <c:v>5.3567482194177861E-2</c:v>
                </c:pt>
                <c:pt idx="5">
                  <c:v>3.4331507459729294E-2</c:v>
                </c:pt>
                <c:pt idx="6">
                  <c:v>2.2776552762875605E-2</c:v>
                </c:pt>
                <c:pt idx="7">
                  <c:v>5.6013562425675623E-2</c:v>
                </c:pt>
                <c:pt idx="8">
                  <c:v>3.7642222178024126E-2</c:v>
                </c:pt>
                <c:pt idx="9">
                  <c:v>7.0872081547368043E-2</c:v>
                </c:pt>
                <c:pt idx="10">
                  <c:v>4.688759615152089E-2</c:v>
                </c:pt>
                <c:pt idx="11">
                  <c:v>3.9560918569907032E-2</c:v>
                </c:pt>
                <c:pt idx="12">
                  <c:v>3.3871623054786193E-2</c:v>
                </c:pt>
                <c:pt idx="13">
                  <c:v>3.2989934726601923E-2</c:v>
                </c:pt>
                <c:pt idx="14">
                  <c:v>2.9582911802112911E-2</c:v>
                </c:pt>
                <c:pt idx="15">
                  <c:v>2.5646151544928237E-2</c:v>
                </c:pt>
                <c:pt idx="16">
                  <c:v>1.9848237771972047E-2</c:v>
                </c:pt>
                <c:pt idx="17">
                  <c:v>1.8858192349062171E-2</c:v>
                </c:pt>
              </c:numCache>
            </c:numRef>
          </c:xVal>
          <c:yVal>
            <c:numRef>
              <c:f>vG_landward!$AK$71:$AK$88</c:f>
              <c:numCache>
                <c:formatCode>General</c:formatCode>
                <c:ptCount val="18"/>
                <c:pt idx="0">
                  <c:v>1.9444444444444445E-2</c:v>
                </c:pt>
                <c:pt idx="2">
                  <c:v>4.2000000000000003E-2</c:v>
                </c:pt>
                <c:pt idx="3">
                  <c:v>1.1971830985915493E-2</c:v>
                </c:pt>
                <c:pt idx="4">
                  <c:v>6.6013071895424838E-2</c:v>
                </c:pt>
                <c:pt idx="5">
                  <c:v>3.2413793103448281E-2</c:v>
                </c:pt>
                <c:pt idx="6">
                  <c:v>1.0869565217391304E-2</c:v>
                </c:pt>
                <c:pt idx="7">
                  <c:v>4.8299319727891157E-2</c:v>
                </c:pt>
                <c:pt idx="8">
                  <c:v>2.7142857142857139E-2</c:v>
                </c:pt>
                <c:pt idx="9">
                  <c:v>5.8333333333333348E-2</c:v>
                </c:pt>
                <c:pt idx="10">
                  <c:v>4.2763157894736843E-2</c:v>
                </c:pt>
                <c:pt idx="11">
                  <c:v>3.9189189189189191E-2</c:v>
                </c:pt>
                <c:pt idx="12">
                  <c:v>3.5251798561151078E-2</c:v>
                </c:pt>
                <c:pt idx="13">
                  <c:v>3.2307692307692308E-2</c:v>
                </c:pt>
                <c:pt idx="14">
                  <c:v>1.9718309859154931E-2</c:v>
                </c:pt>
                <c:pt idx="15">
                  <c:v>1.9565217391304346E-2</c:v>
                </c:pt>
              </c:numCache>
            </c:numRef>
          </c:yVal>
          <c:smooth val="0"/>
        </c:ser>
        <c:ser>
          <c:idx val="10"/>
          <c:order val="4"/>
          <c:spPr>
            <a:ln w="28575">
              <a:noFill/>
            </a:ln>
          </c:spPr>
          <c:marker>
            <c:symbol val="circ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vG_landward!$BB$27:$BB$44</c:f>
              <c:numCache>
                <c:formatCode>General</c:formatCode>
                <c:ptCount val="18"/>
                <c:pt idx="0">
                  <c:v>2.4440552896392811E-2</c:v>
                </c:pt>
                <c:pt idx="2">
                  <c:v>3.3768323863969996E-2</c:v>
                </c:pt>
                <c:pt idx="3">
                  <c:v>2.2125236105337325E-2</c:v>
                </c:pt>
                <c:pt idx="4">
                  <c:v>4.8938955506892902E-2</c:v>
                </c:pt>
                <c:pt idx="5">
                  <c:v>3.1191430557924785E-2</c:v>
                </c:pt>
                <c:pt idx="6">
                  <c:v>2.0580869655914592E-2</c:v>
                </c:pt>
                <c:pt idx="7">
                  <c:v>5.0964262928168816E-2</c:v>
                </c:pt>
                <c:pt idx="8">
                  <c:v>3.4068593490237026E-2</c:v>
                </c:pt>
                <c:pt idx="9">
                  <c:v>6.4342098603814471E-2</c:v>
                </c:pt>
                <c:pt idx="10">
                  <c:v>4.2808048922560259E-2</c:v>
                </c:pt>
                <c:pt idx="11">
                  <c:v>3.602026356663373E-2</c:v>
                </c:pt>
                <c:pt idx="12">
                  <c:v>3.0631352992147212E-2</c:v>
                </c:pt>
                <c:pt idx="13">
                  <c:v>2.9600557871129123E-2</c:v>
                </c:pt>
                <c:pt idx="14">
                  <c:v>2.6816430025107342E-2</c:v>
                </c:pt>
                <c:pt idx="15">
                  <c:v>2.3173836164633102E-2</c:v>
                </c:pt>
                <c:pt idx="16">
                  <c:v>1.7858106979327791E-2</c:v>
                </c:pt>
                <c:pt idx="17">
                  <c:v>1.6854843303481911E-2</c:v>
                </c:pt>
              </c:numCache>
            </c:numRef>
          </c:xVal>
          <c:yVal>
            <c:numRef>
              <c:f>vG_landward!$AM$71:$AM$88</c:f>
              <c:numCache>
                <c:formatCode>General</c:formatCode>
                <c:ptCount val="18"/>
                <c:pt idx="0">
                  <c:v>1.9444444444444445E-2</c:v>
                </c:pt>
                <c:pt idx="2">
                  <c:v>0.04</c:v>
                </c:pt>
                <c:pt idx="3">
                  <c:v>1.2676056338028169E-2</c:v>
                </c:pt>
                <c:pt idx="4">
                  <c:v>6.143790849673203E-2</c:v>
                </c:pt>
                <c:pt idx="5">
                  <c:v>3.2413793103448281E-2</c:v>
                </c:pt>
                <c:pt idx="6">
                  <c:v>1.1594202898550725E-2</c:v>
                </c:pt>
                <c:pt idx="7">
                  <c:v>4.6258503401360541E-2</c:v>
                </c:pt>
                <c:pt idx="8">
                  <c:v>2.928571428571428E-2</c:v>
                </c:pt>
                <c:pt idx="9">
                  <c:v>5.3472222222222227E-2</c:v>
                </c:pt>
                <c:pt idx="10">
                  <c:v>4.2105263157894743E-2</c:v>
                </c:pt>
                <c:pt idx="11">
                  <c:v>3.783783783783784E-2</c:v>
                </c:pt>
                <c:pt idx="12">
                  <c:v>3.5251798561151078E-2</c:v>
                </c:pt>
                <c:pt idx="13">
                  <c:v>3.2307692307692308E-2</c:v>
                </c:pt>
                <c:pt idx="14">
                  <c:v>2.183098591549296E-2</c:v>
                </c:pt>
                <c:pt idx="15">
                  <c:v>2.1014492753623184E-2</c:v>
                </c:pt>
              </c:numCache>
            </c:numRef>
          </c:yVal>
          <c:smooth val="0"/>
        </c:ser>
        <c:ser>
          <c:idx val="11"/>
          <c:order val="5"/>
          <c:spPr>
            <a:ln w="28575">
              <a:noFill/>
            </a:ln>
          </c:spPr>
          <c:marker>
            <c:symbol val="circ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vG_landward!$BC$27:$BC$44</c:f>
              <c:numCache>
                <c:formatCode>General</c:formatCode>
                <c:ptCount val="18"/>
                <c:pt idx="0">
                  <c:v>2.1960117893375947E-2</c:v>
                </c:pt>
                <c:pt idx="2">
                  <c:v>3.0500421554553545E-2</c:v>
                </c:pt>
                <c:pt idx="3">
                  <c:v>1.9842715186629896E-2</c:v>
                </c:pt>
                <c:pt idx="4">
                  <c:v>4.431042881960795E-2</c:v>
                </c:pt>
                <c:pt idx="5">
                  <c:v>2.805135365612027E-2</c:v>
                </c:pt>
                <c:pt idx="6">
                  <c:v>1.8385186548953575E-2</c:v>
                </c:pt>
                <c:pt idx="7">
                  <c:v>4.5914963430661988E-2</c:v>
                </c:pt>
                <c:pt idx="8">
                  <c:v>3.0494964802449922E-2</c:v>
                </c:pt>
                <c:pt idx="9">
                  <c:v>5.7812115660260892E-2</c:v>
                </c:pt>
                <c:pt idx="10">
                  <c:v>3.8728501693599621E-2</c:v>
                </c:pt>
                <c:pt idx="11">
                  <c:v>3.2479608563360421E-2</c:v>
                </c:pt>
                <c:pt idx="12">
                  <c:v>2.7391082929508224E-2</c:v>
                </c:pt>
                <c:pt idx="13">
                  <c:v>2.6211181015656324E-2</c:v>
                </c:pt>
                <c:pt idx="14">
                  <c:v>2.4049948248101766E-2</c:v>
                </c:pt>
                <c:pt idx="15">
                  <c:v>2.070152078433796E-2</c:v>
                </c:pt>
                <c:pt idx="16">
                  <c:v>1.5867976186683536E-2</c:v>
                </c:pt>
                <c:pt idx="17">
                  <c:v>1.4851494257901651E-2</c:v>
                </c:pt>
              </c:numCache>
            </c:numRef>
          </c:xVal>
          <c:yVal>
            <c:numRef>
              <c:f>vG_landward!$AO$71:$AO$87</c:f>
              <c:numCache>
                <c:formatCode>General</c:formatCode>
                <c:ptCount val="17"/>
                <c:pt idx="0">
                  <c:v>1.5277777777777779E-2</c:v>
                </c:pt>
                <c:pt idx="2">
                  <c:v>3.3333333333333333E-2</c:v>
                </c:pt>
                <c:pt idx="3">
                  <c:v>8.4507042253521118E-3</c:v>
                </c:pt>
                <c:pt idx="4">
                  <c:v>5.4248366013071897E-2</c:v>
                </c:pt>
                <c:pt idx="5">
                  <c:v>2.8965517241379315E-2</c:v>
                </c:pt>
                <c:pt idx="6">
                  <c:v>7.9710144927536229E-3</c:v>
                </c:pt>
                <c:pt idx="7">
                  <c:v>4.2857142857142858E-2</c:v>
                </c:pt>
                <c:pt idx="8">
                  <c:v>2.4999999999999998E-2</c:v>
                </c:pt>
                <c:pt idx="9">
                  <c:v>0.05</c:v>
                </c:pt>
                <c:pt idx="10">
                  <c:v>3.8157894736842106E-2</c:v>
                </c:pt>
                <c:pt idx="11">
                  <c:v>3.2432432432432434E-2</c:v>
                </c:pt>
                <c:pt idx="12">
                  <c:v>2.8776978417266185E-2</c:v>
                </c:pt>
                <c:pt idx="13">
                  <c:v>2.769230769230769E-2</c:v>
                </c:pt>
                <c:pt idx="14">
                  <c:v>1.8309859154929577E-2</c:v>
                </c:pt>
                <c:pt idx="15">
                  <c:v>1.6666666666666666E-2</c:v>
                </c:pt>
              </c:numCache>
            </c:numRef>
          </c:yVal>
          <c:smooth val="0"/>
        </c:ser>
        <c:ser>
          <c:idx val="0"/>
          <c:order val="6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vG_landward!$BH$72:$BH$73</c:f>
              <c:numCache>
                <c:formatCode>General</c:formatCode>
                <c:ptCount val="2"/>
                <c:pt idx="0">
                  <c:v>0</c:v>
                </c:pt>
                <c:pt idx="1">
                  <c:v>0.15</c:v>
                </c:pt>
              </c:numCache>
            </c:numRef>
          </c:xVal>
          <c:yVal>
            <c:numRef>
              <c:f>vG_landward!$BI$72:$BI$73</c:f>
              <c:numCache>
                <c:formatCode>General</c:formatCode>
                <c:ptCount val="2"/>
                <c:pt idx="0">
                  <c:v>0</c:v>
                </c:pt>
                <c:pt idx="1">
                  <c:v>0.15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959808"/>
        <c:axId val="91018752"/>
      </c:scatterChart>
      <c:valAx>
        <c:axId val="89959808"/>
        <c:scaling>
          <c:orientation val="minMax"/>
          <c:max val="0.1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h</a:t>
                </a:r>
                <a:r>
                  <a:rPr lang="nl-NL" baseline="-25000"/>
                  <a:t>yC </a:t>
                </a:r>
                <a:r>
                  <a:rPr lang="nl-NL"/>
                  <a:t>/ H</a:t>
                </a:r>
                <a:r>
                  <a:rPr lang="nl-NL" baseline="-25000"/>
                  <a:t>m0 </a:t>
                </a:r>
                <a:r>
                  <a:rPr lang="nl-NL" baseline="0"/>
                  <a:t>com. by Trung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91018752"/>
        <c:crosses val="autoZero"/>
        <c:crossBetween val="midCat"/>
        <c:majorUnit val="2.0000000000000004E-2"/>
      </c:valAx>
      <c:valAx>
        <c:axId val="91018752"/>
        <c:scaling>
          <c:orientation val="minMax"/>
          <c:max val="0.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h</a:t>
                </a:r>
                <a:r>
                  <a:rPr lang="nl-NL" baseline="-25000"/>
                  <a:t>yC</a:t>
                </a:r>
                <a:r>
                  <a:rPr lang="nl-NL"/>
                  <a:t> / </a:t>
                </a:r>
                <a:r>
                  <a:rPr lang="nl-NL" sz="1200" b="0" i="0" u="none" strike="noStrike" baseline="0">
                    <a:effectLst/>
                  </a:rPr>
                  <a:t>H</a:t>
                </a:r>
                <a:r>
                  <a:rPr lang="nl-NL" sz="1200" b="0" i="0" u="none" strike="noStrike" baseline="-25000">
                    <a:effectLst/>
                  </a:rPr>
                  <a:t>m0</a:t>
                </a:r>
                <a:r>
                  <a:rPr lang="nl-NL" sz="1200" b="0" i="0" u="none" strike="noStrike" baseline="0">
                    <a:effectLst/>
                  </a:rPr>
                  <a:t> mea. van Gent</a:t>
                </a:r>
                <a:endParaRPr lang="nl-NL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89959808"/>
        <c:crosses val="autoZero"/>
        <c:crossBetween val="midCat"/>
        <c:majorUnit val="2.0000000000000004E-2"/>
      </c:valAx>
    </c:plotArea>
    <c:legend>
      <c:legendPos val="r"/>
      <c:legendEntry>
        <c:idx val="1"/>
        <c:delete val="1"/>
      </c:legendEntry>
      <c:legendEntry>
        <c:idx val="2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overlay val="0"/>
    </c:legend>
    <c:plotVisOnly val="1"/>
    <c:dispBlanksAs val="gap"/>
    <c:showDLblsOverMax val="0"/>
  </c:chart>
  <c:txPr>
    <a:bodyPr/>
    <a:lstStyle/>
    <a:p>
      <a:pPr>
        <a:defRPr sz="1200" b="0">
          <a:latin typeface="Arial" pitchFamily="34" charset="0"/>
          <a:cs typeface="Arial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>
                <a:latin typeface="Symbol" pitchFamily="18" charset="2"/>
              </a:rPr>
              <a:t>D</a:t>
            </a:r>
            <a:r>
              <a:rPr lang="en-US" sz="1200"/>
              <a:t>u vs </a:t>
            </a:r>
            <a:r>
              <a:rPr lang="en-US" sz="1200">
                <a:latin typeface="Symbol" pitchFamily="18" charset="2"/>
              </a:rPr>
              <a:t>D</a:t>
            </a:r>
            <a:r>
              <a:rPr lang="en-US" sz="1200"/>
              <a:t>h on dike crest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</c:v>
          </c:tx>
          <c:spPr>
            <a:ln w="28575">
              <a:noFill/>
            </a:ln>
          </c:spPr>
          <c:marker>
            <c:symbol val="diamond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vG_crest!$AL$6:$AL$23</c:f>
              <c:numCache>
                <c:formatCode>General</c:formatCode>
                <c:ptCount val="18"/>
                <c:pt idx="0">
                  <c:v>9.9009900990099098E-2</c:v>
                </c:pt>
                <c:pt idx="2">
                  <c:v>-2.7777777777777804E-2</c:v>
                </c:pt>
                <c:pt idx="3">
                  <c:v>0.32835820895522383</c:v>
                </c:pt>
                <c:pt idx="4">
                  <c:v>-0.11797752808988762</c:v>
                </c:pt>
                <c:pt idx="5">
                  <c:v>7.0175438596491294E-2</c:v>
                </c:pt>
                <c:pt idx="6">
                  <c:v>0.48148148148148145</c:v>
                </c:pt>
                <c:pt idx="7">
                  <c:v>-8.2802547770700702E-2</c:v>
                </c:pt>
                <c:pt idx="8">
                  <c:v>2.5000000000000022E-2</c:v>
                </c:pt>
                <c:pt idx="9">
                  <c:v>-0.10843373493975901</c:v>
                </c:pt>
                <c:pt idx="10">
                  <c:v>-3.521126760563368E-2</c:v>
                </c:pt>
                <c:pt idx="11">
                  <c:v>-6.2068965517241281E-2</c:v>
                </c:pt>
                <c:pt idx="12">
                  <c:v>-1.5503875968992262E-2</c:v>
                </c:pt>
                <c:pt idx="13">
                  <c:v>6.0869565217391362E-2</c:v>
                </c:pt>
                <c:pt idx="14">
                  <c:v>5.9405940594059459E-2</c:v>
                </c:pt>
                <c:pt idx="15">
                  <c:v>-3.7735849056603807E-2</c:v>
                </c:pt>
                <c:pt idx="16">
                  <c:v>6.8965517241379379E-2</c:v>
                </c:pt>
                <c:pt idx="17">
                  <c:v>-0.14864864864864863</c:v>
                </c:pt>
              </c:numCache>
            </c:numRef>
          </c:xVal>
          <c:yVal>
            <c:numRef>
              <c:f>vG_crest!$AK$6:$AK$23</c:f>
              <c:numCache>
                <c:formatCode>General</c:formatCode>
                <c:ptCount val="18"/>
                <c:pt idx="0">
                  <c:v>-0.21686746987951813</c:v>
                </c:pt>
                <c:pt idx="1">
                  <c:v>-0.44444444444444448</c:v>
                </c:pt>
                <c:pt idx="2">
                  <c:v>-0.16000000000000003</c:v>
                </c:pt>
                <c:pt idx="3">
                  <c:v>-0.19672131147540972</c:v>
                </c:pt>
                <c:pt idx="4">
                  <c:v>-0.19923371647509588</c:v>
                </c:pt>
                <c:pt idx="5">
                  <c:v>-0.26356589147286824</c:v>
                </c:pt>
                <c:pt idx="6">
                  <c:v>-0.29687500000000006</c:v>
                </c:pt>
                <c:pt idx="7">
                  <c:v>-0.237864077669903</c:v>
                </c:pt>
                <c:pt idx="8">
                  <c:v>-0.32283464566929132</c:v>
                </c:pt>
                <c:pt idx="9">
                  <c:v>-0.37254901960784315</c:v>
                </c:pt>
                <c:pt idx="10">
                  <c:v>-0.18965517241379307</c:v>
                </c:pt>
                <c:pt idx="11">
                  <c:v>-0.19178082191780815</c:v>
                </c:pt>
                <c:pt idx="12">
                  <c:v>-0.24806201550387605</c:v>
                </c:pt>
                <c:pt idx="13">
                  <c:v>-0.28318584070796465</c:v>
                </c:pt>
                <c:pt idx="14">
                  <c:v>-0.21590909090909094</c:v>
                </c:pt>
                <c:pt idx="15">
                  <c:v>-0.22352941176470592</c:v>
                </c:pt>
                <c:pt idx="16">
                  <c:v>-0.29268292682926828</c:v>
                </c:pt>
                <c:pt idx="17">
                  <c:v>-0.19999999999999996</c:v>
                </c:pt>
              </c:numCache>
            </c:numRef>
          </c:yVal>
          <c:smooth val="0"/>
        </c:ser>
        <c:ser>
          <c:idx val="2"/>
          <c:order val="1"/>
          <c:tx>
            <c:v>B</c:v>
          </c:tx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vG_crest!$AL$28:$AL$45</c:f>
              <c:numCache>
                <c:formatCode>General</c:formatCode>
                <c:ptCount val="18"/>
                <c:pt idx="0">
                  <c:v>-2.3809523809523829E-2</c:v>
                </c:pt>
                <c:pt idx="2">
                  <c:v>-4.5751633986928143E-2</c:v>
                </c:pt>
                <c:pt idx="3">
                  <c:v>0</c:v>
                </c:pt>
                <c:pt idx="4">
                  <c:v>-0.11494252873563215</c:v>
                </c:pt>
                <c:pt idx="5">
                  <c:v>-3.5971223021582607E-2</c:v>
                </c:pt>
                <c:pt idx="6">
                  <c:v>0.19047619047619052</c:v>
                </c:pt>
                <c:pt idx="7">
                  <c:v>-0.13414634146341461</c:v>
                </c:pt>
                <c:pt idx="8">
                  <c:v>-2.2727272727272745E-2</c:v>
                </c:pt>
                <c:pt idx="9">
                  <c:v>-0.13529411764705881</c:v>
                </c:pt>
                <c:pt idx="10">
                  <c:v>-5.8064516129032309E-2</c:v>
                </c:pt>
                <c:pt idx="11">
                  <c:v>-0.11764705882352937</c:v>
                </c:pt>
                <c:pt idx="12">
                  <c:v>-6.2499999999999903E-2</c:v>
                </c:pt>
                <c:pt idx="13">
                  <c:v>3.1007751937984523E-2</c:v>
                </c:pt>
                <c:pt idx="14">
                  <c:v>7.3394495412843888E-2</c:v>
                </c:pt>
                <c:pt idx="15">
                  <c:v>2.7777777777777801E-2</c:v>
                </c:pt>
                <c:pt idx="16">
                  <c:v>-1</c:v>
                </c:pt>
              </c:numCache>
            </c:numRef>
          </c:xVal>
          <c:yVal>
            <c:numRef>
              <c:f>vG_crest!$AK$28:$AK$45</c:f>
              <c:numCache>
                <c:formatCode>General</c:formatCode>
                <c:ptCount val="18"/>
                <c:pt idx="0">
                  <c:v>-0.2567567567567568</c:v>
                </c:pt>
                <c:pt idx="2">
                  <c:v>-0.23076923076923081</c:v>
                </c:pt>
                <c:pt idx="3">
                  <c:v>-0.37931034482758619</c:v>
                </c:pt>
                <c:pt idx="4">
                  <c:v>-0.22641509433962267</c:v>
                </c:pt>
                <c:pt idx="5">
                  <c:v>-0.29752066115702475</c:v>
                </c:pt>
                <c:pt idx="6">
                  <c:v>-0.39062500000000006</c:v>
                </c:pt>
                <c:pt idx="7">
                  <c:v>-0.30392156862745096</c:v>
                </c:pt>
                <c:pt idx="8">
                  <c:v>-0.40170940170940167</c:v>
                </c:pt>
                <c:pt idx="9">
                  <c:v>-0.31877729257641918</c:v>
                </c:pt>
                <c:pt idx="10">
                  <c:v>-0.29374999999999996</c:v>
                </c:pt>
                <c:pt idx="11">
                  <c:v>-0.30714285714285722</c:v>
                </c:pt>
                <c:pt idx="12">
                  <c:v>-0.30769230769230765</c:v>
                </c:pt>
                <c:pt idx="13">
                  <c:v>-0.2772277227722772</c:v>
                </c:pt>
                <c:pt idx="14">
                  <c:v>-0.34210526315789469</c:v>
                </c:pt>
                <c:pt idx="15">
                  <c:v>-0.34210526315789469</c:v>
                </c:pt>
                <c:pt idx="16">
                  <c:v>-0.42424242424242425</c:v>
                </c:pt>
                <c:pt idx="17">
                  <c:v>-0.4</c:v>
                </c:pt>
              </c:numCache>
            </c:numRef>
          </c:yVal>
          <c:smooth val="0"/>
        </c:ser>
        <c:ser>
          <c:idx val="1"/>
          <c:order val="2"/>
          <c:tx>
            <c:v>C</c:v>
          </c:tx>
          <c:spPr>
            <a:ln w="28575">
              <a:noFill/>
            </a:ln>
          </c:spPr>
          <c:marker>
            <c:symbol val="triang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vG_crest!$AL$50:$AL$67</c:f>
              <c:numCache>
                <c:formatCode>General</c:formatCode>
                <c:ptCount val="18"/>
                <c:pt idx="0">
                  <c:v>-0.43750000000000006</c:v>
                </c:pt>
                <c:pt idx="2">
                  <c:v>-0.26114649681528668</c:v>
                </c:pt>
                <c:pt idx="4">
                  <c:v>-0.26775956284153002</c:v>
                </c:pt>
                <c:pt idx="5">
                  <c:v>-0.3450704225352112</c:v>
                </c:pt>
                <c:pt idx="7">
                  <c:v>-0.26415094339622652</c:v>
                </c:pt>
                <c:pt idx="8">
                  <c:v>-0.375</c:v>
                </c:pt>
                <c:pt idx="9">
                  <c:v>-0.27878787878787881</c:v>
                </c:pt>
                <c:pt idx="10">
                  <c:v>-0.3</c:v>
                </c:pt>
                <c:pt idx="11">
                  <c:v>-0.31543624161073824</c:v>
                </c:pt>
                <c:pt idx="12">
                  <c:v>-0.31914893617021273</c:v>
                </c:pt>
                <c:pt idx="13">
                  <c:v>-0.29921259842519687</c:v>
                </c:pt>
                <c:pt idx="14">
                  <c:v>-0.3963963963963964</c:v>
                </c:pt>
                <c:pt idx="15">
                  <c:v>-0.50877192982456132</c:v>
                </c:pt>
                <c:pt idx="16">
                  <c:v>-1</c:v>
                </c:pt>
              </c:numCache>
            </c:numRef>
          </c:xVal>
          <c:yVal>
            <c:numRef>
              <c:f>vG_crest!$AK$50:$AK$67</c:f>
              <c:numCache>
                <c:formatCode>General</c:formatCode>
                <c:ptCount val="18"/>
                <c:pt idx="0">
                  <c:v>-8.4507042253521084E-2</c:v>
                </c:pt>
                <c:pt idx="2">
                  <c:v>-0.2446043165467626</c:v>
                </c:pt>
                <c:pt idx="3">
                  <c:v>-0.26315789473684209</c:v>
                </c:pt>
                <c:pt idx="4">
                  <c:v>-0.32057416267942584</c:v>
                </c:pt>
                <c:pt idx="5">
                  <c:v>-0.22499999999999995</c:v>
                </c:pt>
                <c:pt idx="6">
                  <c:v>-0.20754716981132068</c:v>
                </c:pt>
                <c:pt idx="7">
                  <c:v>-0.39408866995073888</c:v>
                </c:pt>
                <c:pt idx="8">
                  <c:v>-0.38759689922480617</c:v>
                </c:pt>
                <c:pt idx="9">
                  <c:v>-0.3227272727272727</c:v>
                </c:pt>
                <c:pt idx="10">
                  <c:v>-0.26993865030674846</c:v>
                </c:pt>
                <c:pt idx="11">
                  <c:v>-0.18461538461538465</c:v>
                </c:pt>
                <c:pt idx="12">
                  <c:v>-0.17213114754098358</c:v>
                </c:pt>
                <c:pt idx="13">
                  <c:v>-0.26923076923076927</c:v>
                </c:pt>
                <c:pt idx="14">
                  <c:v>-0.21250000000000002</c:v>
                </c:pt>
                <c:pt idx="15">
                  <c:v>-0.20547945205479454</c:v>
                </c:pt>
                <c:pt idx="16">
                  <c:v>-0.23333333333333339</c:v>
                </c:pt>
                <c:pt idx="17">
                  <c:v>-8.0000000000000071E-2</c:v>
                </c:pt>
              </c:numCache>
            </c:numRef>
          </c:yVal>
          <c:smooth val="0"/>
        </c:ser>
        <c:ser>
          <c:idx val="3"/>
          <c:order val="3"/>
          <c:tx>
            <c:v>D</c:v>
          </c:tx>
          <c:spPr>
            <a:ln w="28575">
              <a:noFill/>
            </a:ln>
          </c:spPr>
          <c:marker>
            <c:symbol val="circ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vG_crest!$AL$72:$AL$89</c:f>
              <c:numCache>
                <c:formatCode>General</c:formatCode>
                <c:ptCount val="18"/>
                <c:pt idx="0">
                  <c:v>-0.16176470588235306</c:v>
                </c:pt>
                <c:pt idx="2">
                  <c:v>-0.17482517482517484</c:v>
                </c:pt>
                <c:pt idx="4">
                  <c:v>-0.20754716981132079</c:v>
                </c:pt>
                <c:pt idx="5">
                  <c:v>-0.24793388429752061</c:v>
                </c:pt>
                <c:pt idx="7">
                  <c:v>-0.22916666666666657</c:v>
                </c:pt>
                <c:pt idx="8">
                  <c:v>-0.21052631578947364</c:v>
                </c:pt>
                <c:pt idx="9">
                  <c:v>-0.30519480519480519</c:v>
                </c:pt>
                <c:pt idx="10">
                  <c:v>-0.24999999999999992</c:v>
                </c:pt>
                <c:pt idx="11">
                  <c:v>-0.16666666666666663</c:v>
                </c:pt>
                <c:pt idx="12">
                  <c:v>-0.16964285714285718</c:v>
                </c:pt>
                <c:pt idx="13">
                  <c:v>-0.18000000000000005</c:v>
                </c:pt>
                <c:pt idx="14">
                  <c:v>-0.27777777777777779</c:v>
                </c:pt>
                <c:pt idx="15">
                  <c:v>-8.8235294117647134E-2</c:v>
                </c:pt>
              </c:numCache>
            </c:numRef>
          </c:xVal>
          <c:yVal>
            <c:numRef>
              <c:f>vG_crest!$AK$72:$AK$89</c:f>
              <c:numCache>
                <c:formatCode>General</c:formatCode>
                <c:ptCount val="18"/>
                <c:pt idx="0">
                  <c:v>-0.17187500000000008</c:v>
                </c:pt>
                <c:pt idx="2">
                  <c:v>-0.3235294117647059</c:v>
                </c:pt>
                <c:pt idx="3">
                  <c:v>-0.24000000000000005</c:v>
                </c:pt>
                <c:pt idx="4">
                  <c:v>-0.375</c:v>
                </c:pt>
                <c:pt idx="5">
                  <c:v>-0.29824561403508776</c:v>
                </c:pt>
                <c:pt idx="6">
                  <c:v>-0.27450980392156854</c:v>
                </c:pt>
                <c:pt idx="7">
                  <c:v>-0.43243243243243246</c:v>
                </c:pt>
                <c:pt idx="8">
                  <c:v>-0.3644859813084112</c:v>
                </c:pt>
                <c:pt idx="9">
                  <c:v>-0.39622641509433959</c:v>
                </c:pt>
                <c:pt idx="10">
                  <c:v>-0.34193548387096778</c:v>
                </c:pt>
                <c:pt idx="11">
                  <c:v>-0.3046875</c:v>
                </c:pt>
                <c:pt idx="12">
                  <c:v>-0.26851851851851855</c:v>
                </c:pt>
                <c:pt idx="13">
                  <c:v>-0.35576923076923078</c:v>
                </c:pt>
                <c:pt idx="14">
                  <c:v>-0.28749999999999998</c:v>
                </c:pt>
                <c:pt idx="15">
                  <c:v>-0.22388059701492538</c:v>
                </c:pt>
                <c:pt idx="16">
                  <c:v>-0.4285714285714286</c:v>
                </c:pt>
                <c:pt idx="17">
                  <c:v>-0.55172413793103448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432704"/>
        <c:axId val="117435008"/>
      </c:scatterChart>
      <c:valAx>
        <c:axId val="117432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>
                    <a:latin typeface="Symbol" pitchFamily="18" charset="2"/>
                  </a:rPr>
                  <a:t>D</a:t>
                </a:r>
                <a:r>
                  <a:rPr lang="nl-NL"/>
                  <a:t>u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17435008"/>
        <c:crosses val="autoZero"/>
        <c:crossBetween val="midCat"/>
      </c:valAx>
      <c:valAx>
        <c:axId val="1174350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nl-NL">
                    <a:latin typeface="Symbol" pitchFamily="18" charset="2"/>
                  </a:rPr>
                  <a:t>D</a:t>
                </a:r>
                <a:r>
                  <a:rPr lang="nl-NL"/>
                  <a:t>h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174327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1200" b="0">
          <a:latin typeface="Arial" pitchFamily="34" charset="0"/>
          <a:cs typeface="Arial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nl-NL" sz="1200" baseline="0"/>
              <a:t>Landward-side crest edge</a:t>
            </a:r>
            <a:endParaRPr lang="nl-NL" sz="1200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</c:v>
          </c:tx>
          <c:spPr>
            <a:ln w="28575">
              <a:noFill/>
            </a:ln>
          </c:spPr>
          <c:marker>
            <c:symbol val="diamond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vG_crest!$BM$6:$BM$23</c:f>
              <c:numCache>
                <c:formatCode>General</c:formatCode>
                <c:ptCount val="18"/>
                <c:pt idx="0">
                  <c:v>0.69141129349948538</c:v>
                </c:pt>
                <c:pt idx="2">
                  <c:v>0.94650346905595284</c:v>
                </c:pt>
                <c:pt idx="3">
                  <c:v>0.59673277208810027</c:v>
                </c:pt>
                <c:pt idx="4">
                  <c:v>1.2993647335028919</c:v>
                </c:pt>
                <c:pt idx="5">
                  <c:v>0.84789328819051735</c:v>
                </c:pt>
                <c:pt idx="6">
                  <c:v>0.53303733197346526</c:v>
                </c:pt>
                <c:pt idx="7">
                  <c:v>1.2736298300333557</c:v>
                </c:pt>
                <c:pt idx="8">
                  <c:v>0.87996244501618637</c:v>
                </c:pt>
                <c:pt idx="9">
                  <c:v>1.4340696273628364</c:v>
                </c:pt>
                <c:pt idx="10">
                  <c:v>1.1503605314871164</c:v>
                </c:pt>
                <c:pt idx="11">
                  <c:v>0.99188478295671323</c:v>
                </c:pt>
                <c:pt idx="12">
                  <c:v>0.86638566675113993</c:v>
                </c:pt>
                <c:pt idx="13">
                  <c:v>0.85814180594774059</c:v>
                </c:pt>
                <c:pt idx="14">
                  <c:v>0.72746153473276942</c:v>
                </c:pt>
                <c:pt idx="15">
                  <c:v>0.63320907816090988</c:v>
                </c:pt>
                <c:pt idx="16">
                  <c:v>0.45413048266698125</c:v>
                </c:pt>
                <c:pt idx="17">
                  <c:v>0.42310175705690217</c:v>
                </c:pt>
              </c:numCache>
            </c:numRef>
          </c:xVal>
          <c:yVal>
            <c:numRef>
              <c:f>vG_crest!$BJ$6:$BJ$23</c:f>
              <c:numCache>
                <c:formatCode>General</c:formatCode>
                <c:ptCount val="18"/>
                <c:pt idx="0">
                  <c:v>0.93391473809038184</c:v>
                </c:pt>
                <c:pt idx="2">
                  <c:v>1.1541118559354953</c:v>
                </c:pt>
                <c:pt idx="3">
                  <c:v>0.75406942293529189</c:v>
                </c:pt>
                <c:pt idx="4">
                  <c:v>1.2815024278610034</c:v>
                </c:pt>
                <c:pt idx="5">
                  <c:v>1.0229191895349043</c:v>
                </c:pt>
                <c:pt idx="6">
                  <c:v>0.68756844970489395</c:v>
                </c:pt>
                <c:pt idx="7">
                  <c:v>1.1991384287702895</c:v>
                </c:pt>
                <c:pt idx="8">
                  <c:v>1.0495583543507325</c:v>
                </c:pt>
                <c:pt idx="9">
                  <c:v>1.2452196507871756</c:v>
                </c:pt>
                <c:pt idx="10">
                  <c:v>1.1219261468018393</c:v>
                </c:pt>
                <c:pt idx="11">
                  <c:v>1.1286870624507306</c:v>
                </c:pt>
                <c:pt idx="12">
                  <c:v>1.0875815140365444</c:v>
                </c:pt>
                <c:pt idx="13">
                  <c:v>1.0803230710024383</c:v>
                </c:pt>
                <c:pt idx="14">
                  <c:v>0.9065778455514184</c:v>
                </c:pt>
                <c:pt idx="15">
                  <c:v>0.87664977337373973</c:v>
                </c:pt>
                <c:pt idx="16">
                  <c:v>0.54278940935338371</c:v>
                </c:pt>
                <c:pt idx="17">
                  <c:v>0.56665767217182594</c:v>
                </c:pt>
              </c:numCache>
            </c:numRef>
          </c:yVal>
          <c:smooth val="0"/>
        </c:ser>
        <c:ser>
          <c:idx val="1"/>
          <c:order val="1"/>
          <c:tx>
            <c:v>B</c:v>
          </c:tx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vG_crest!$BM$28:$BM$45</c:f>
              <c:numCache>
                <c:formatCode>General</c:formatCode>
                <c:ptCount val="18"/>
                <c:pt idx="0">
                  <c:v>0.69141129349948538</c:v>
                </c:pt>
                <c:pt idx="2">
                  <c:v>0.94650346905595284</c:v>
                </c:pt>
                <c:pt idx="3">
                  <c:v>0.59673277208810027</c:v>
                </c:pt>
                <c:pt idx="4">
                  <c:v>1.2993647335028919</c:v>
                </c:pt>
                <c:pt idx="5">
                  <c:v>0.84789328819051735</c:v>
                </c:pt>
                <c:pt idx="6">
                  <c:v>0.53303733197346526</c:v>
                </c:pt>
                <c:pt idx="7">
                  <c:v>1.2736298300333557</c:v>
                </c:pt>
                <c:pt idx="8">
                  <c:v>0.87996244501618637</c:v>
                </c:pt>
                <c:pt idx="9">
                  <c:v>1.4340696273628364</c:v>
                </c:pt>
                <c:pt idx="10">
                  <c:v>1.1503605314871164</c:v>
                </c:pt>
                <c:pt idx="11">
                  <c:v>0.99188478295671323</c:v>
                </c:pt>
                <c:pt idx="12">
                  <c:v>0.86638566675113993</c:v>
                </c:pt>
                <c:pt idx="13">
                  <c:v>0.85814180594774059</c:v>
                </c:pt>
                <c:pt idx="14">
                  <c:v>0.72746153473276942</c:v>
                </c:pt>
                <c:pt idx="15">
                  <c:v>0.63320907816090988</c:v>
                </c:pt>
              </c:numCache>
            </c:numRef>
          </c:xVal>
          <c:yVal>
            <c:numRef>
              <c:f>vG_crest!$BJ$28:$BJ$45</c:f>
              <c:numCache>
                <c:formatCode>General</c:formatCode>
                <c:ptCount val="18"/>
                <c:pt idx="0">
                  <c:v>1.0348784935596123</c:v>
                </c:pt>
                <c:pt idx="2">
                  <c:v>1.2035737926184451</c:v>
                </c:pt>
                <c:pt idx="3">
                  <c:v>0.83879632438869545</c:v>
                </c:pt>
                <c:pt idx="4">
                  <c:v>1.2570151203222579</c:v>
                </c:pt>
                <c:pt idx="5">
                  <c:v>1.1235341917842394</c:v>
                </c:pt>
                <c:pt idx="6">
                  <c:v>0.85946056213111732</c:v>
                </c:pt>
                <c:pt idx="7">
                  <c:v>1.1824837283707021</c:v>
                </c:pt>
                <c:pt idx="8">
                  <c:v>1.1007563228556465</c:v>
                </c:pt>
                <c:pt idx="9">
                  <c:v>1.2368060044980731</c:v>
                </c:pt>
                <c:pt idx="10">
                  <c:v>1.1956293243289673</c:v>
                </c:pt>
                <c:pt idx="11">
                  <c:v>1.1203878928738871</c:v>
                </c:pt>
                <c:pt idx="12">
                  <c:v>1.1560905857868777</c:v>
                </c:pt>
                <c:pt idx="13">
                  <c:v>1.1777292495354452</c:v>
                </c:pt>
                <c:pt idx="14">
                  <c:v>0.99130474700482185</c:v>
                </c:pt>
                <c:pt idx="15">
                  <c:v>0.95400122396554032</c:v>
                </c:pt>
              </c:numCache>
            </c:numRef>
          </c:yVal>
          <c:smooth val="0"/>
        </c:ser>
        <c:ser>
          <c:idx val="2"/>
          <c:order val="2"/>
          <c:tx>
            <c:v>C</c:v>
          </c:tx>
          <c:spPr>
            <a:ln w="28575">
              <a:noFill/>
            </a:ln>
          </c:spPr>
          <c:marker>
            <c:symbol val="triang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vG_crest!$BM$50:$BM$67</c:f>
              <c:numCache>
                <c:formatCode>General</c:formatCode>
                <c:ptCount val="18"/>
                <c:pt idx="0">
                  <c:v>0.48175153468899445</c:v>
                </c:pt>
                <c:pt idx="2">
                  <c:v>0.67171213933003104</c:v>
                </c:pt>
                <c:pt idx="4">
                  <c:v>0.92999383642373756</c:v>
                </c:pt>
                <c:pt idx="5">
                  <c:v>0.5926745726816659</c:v>
                </c:pt>
                <c:pt idx="7">
                  <c:v>0.8958226952179239</c:v>
                </c:pt>
                <c:pt idx="8">
                  <c:v>0.6049741809486282</c:v>
                </c:pt>
                <c:pt idx="9">
                  <c:v>0.99921023901157191</c:v>
                </c:pt>
                <c:pt idx="10">
                  <c:v>0.82105885262630074</c:v>
                </c:pt>
                <c:pt idx="11">
                  <c:v>0.69977211781893767</c:v>
                </c:pt>
                <c:pt idx="12">
                  <c:v>0.59355603061537165</c:v>
                </c:pt>
                <c:pt idx="13">
                  <c:v>0.56779307461203887</c:v>
                </c:pt>
                <c:pt idx="14">
                  <c:v>0.50355066562897566</c:v>
                </c:pt>
                <c:pt idx="15">
                  <c:v>0.43226120427345621</c:v>
                </c:pt>
              </c:numCache>
            </c:numRef>
          </c:xVal>
          <c:yVal>
            <c:numRef>
              <c:f>vG_crest!$BJ$50:$BJ$67</c:f>
              <c:numCache>
                <c:formatCode>General</c:formatCode>
                <c:ptCount val="18"/>
                <c:pt idx="0">
                  <c:v>0.53005971621345993</c:v>
                </c:pt>
                <c:pt idx="2">
                  <c:v>0.95626410920369598</c:v>
                </c:pt>
                <c:pt idx="4">
                  <c:v>1.0937664033972896</c:v>
                </c:pt>
                <c:pt idx="5">
                  <c:v>0.77976626743234523</c:v>
                </c:pt>
                <c:pt idx="7">
                  <c:v>0.97429997337586027</c:v>
                </c:pt>
                <c:pt idx="8">
                  <c:v>0.63997460631142233</c:v>
                </c:pt>
                <c:pt idx="9">
                  <c:v>1.001223908403202</c:v>
                </c:pt>
                <c:pt idx="10">
                  <c:v>0.91719509811537236</c:v>
                </c:pt>
                <c:pt idx="11">
                  <c:v>0.84651529683804794</c:v>
                </c:pt>
                <c:pt idx="12">
                  <c:v>0.82210886100400193</c:v>
                </c:pt>
                <c:pt idx="13">
                  <c:v>0.78810453540341818</c:v>
                </c:pt>
                <c:pt idx="14">
                  <c:v>0.56767023973780406</c:v>
                </c:pt>
                <c:pt idx="15">
                  <c:v>0.48129791479342576</c:v>
                </c:pt>
              </c:numCache>
            </c:numRef>
          </c:yVal>
          <c:smooth val="0"/>
        </c:ser>
        <c:ser>
          <c:idx val="3"/>
          <c:order val="3"/>
          <c:tx>
            <c:v>D</c:v>
          </c:tx>
          <c:spPr>
            <a:ln w="28575">
              <a:noFill/>
            </a:ln>
          </c:spPr>
          <c:marker>
            <c:symbol val="circ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vG_crest!$BM$72:$BM$89</c:f>
              <c:numCache>
                <c:formatCode>General</c:formatCode>
                <c:ptCount val="18"/>
                <c:pt idx="0">
                  <c:v>0.48175153468899445</c:v>
                </c:pt>
                <c:pt idx="2">
                  <c:v>0.67171213933003104</c:v>
                </c:pt>
                <c:pt idx="4">
                  <c:v>0.92999383642373756</c:v>
                </c:pt>
                <c:pt idx="5">
                  <c:v>0.5926745726816659</c:v>
                </c:pt>
                <c:pt idx="7">
                  <c:v>0.8958226952179239</c:v>
                </c:pt>
                <c:pt idx="8">
                  <c:v>0.6049741809486282</c:v>
                </c:pt>
                <c:pt idx="9">
                  <c:v>0.99921023901157191</c:v>
                </c:pt>
                <c:pt idx="10">
                  <c:v>0.82105885262630074</c:v>
                </c:pt>
                <c:pt idx="11">
                  <c:v>0.69977211781893767</c:v>
                </c:pt>
                <c:pt idx="12">
                  <c:v>0.59355603061537165</c:v>
                </c:pt>
                <c:pt idx="13">
                  <c:v>0.56779307461203887</c:v>
                </c:pt>
                <c:pt idx="14">
                  <c:v>0.50355066562897566</c:v>
                </c:pt>
                <c:pt idx="15">
                  <c:v>0.43226120427345621</c:v>
                </c:pt>
              </c:numCache>
            </c:numRef>
          </c:xVal>
          <c:yVal>
            <c:numRef>
              <c:f>vG_crest!$BJ$72:$BJ$89</c:f>
              <c:numCache>
                <c:formatCode>General</c:formatCode>
                <c:ptCount val="18"/>
                <c:pt idx="0">
                  <c:v>0.47957783847884461</c:v>
                </c:pt>
                <c:pt idx="2">
                  <c:v>0.97275142143134596</c:v>
                </c:pt>
                <c:pt idx="4">
                  <c:v>1.0284669166273019</c:v>
                </c:pt>
                <c:pt idx="5">
                  <c:v>0.76299710039078938</c:v>
                </c:pt>
                <c:pt idx="7">
                  <c:v>0.92433587217709834</c:v>
                </c:pt>
                <c:pt idx="8">
                  <c:v>0.63997460631142233</c:v>
                </c:pt>
                <c:pt idx="9">
                  <c:v>0.90026015293397166</c:v>
                </c:pt>
                <c:pt idx="10">
                  <c:v>0.90900585616791363</c:v>
                </c:pt>
                <c:pt idx="11">
                  <c:v>0.8714128055685787</c:v>
                </c:pt>
                <c:pt idx="12">
                  <c:v>0.79641795909762692</c:v>
                </c:pt>
                <c:pt idx="13">
                  <c:v>0.72611878542786845</c:v>
                </c:pt>
                <c:pt idx="14">
                  <c:v>0.55072485944712335</c:v>
                </c:pt>
                <c:pt idx="15">
                  <c:v>0.53286554852129275</c:v>
                </c:pt>
              </c:numCache>
            </c:numRef>
          </c:yVal>
          <c:smooth val="0"/>
        </c:ser>
        <c:ser>
          <c:idx val="5"/>
          <c:order val="4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vG_crest!$CA$63:$CA$64</c:f>
              <c:numCache>
                <c:formatCode>General</c:formatCode>
                <c:ptCount val="2"/>
                <c:pt idx="0">
                  <c:v>0</c:v>
                </c:pt>
                <c:pt idx="1">
                  <c:v>3.5</c:v>
                </c:pt>
              </c:numCache>
            </c:numRef>
          </c:xVal>
          <c:yVal>
            <c:numRef>
              <c:f>vG_crest!$CB$63:$CB$64</c:f>
              <c:numCache>
                <c:formatCode>General</c:formatCode>
                <c:ptCount val="2"/>
                <c:pt idx="0">
                  <c:v>0</c:v>
                </c:pt>
                <c:pt idx="1">
                  <c:v>3.5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487872"/>
        <c:axId val="117494144"/>
      </c:scatterChart>
      <c:valAx>
        <c:axId val="117487872"/>
        <c:scaling>
          <c:orientation val="minMax"/>
          <c:max val="2"/>
        </c:scaling>
        <c:delete val="0"/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itchFamily="34" charset="0"/>
                    <a:ea typeface="+mn-ea"/>
                    <a:cs typeface="Arial" pitchFamily="34" charset="0"/>
                  </a:defRPr>
                </a:pPr>
                <a:r>
                  <a:rPr lang="nl-NL" sz="1200" b="0" i="0" baseline="0">
                    <a:effectLst/>
                  </a:rPr>
                  <a:t>u</a:t>
                </a:r>
                <a:r>
                  <a:rPr lang="nl-NL" sz="1200" b="0" i="0" baseline="-25000">
                    <a:effectLst/>
                  </a:rPr>
                  <a:t>2% </a:t>
                </a:r>
                <a:r>
                  <a:rPr lang="nl-NL" sz="1200" b="0" i="0" baseline="0">
                    <a:effectLst/>
                  </a:rPr>
                  <a:t>/ (gH</a:t>
                </a:r>
                <a:r>
                  <a:rPr lang="nl-NL" sz="1200" b="0" i="0" baseline="-25000">
                    <a:effectLst/>
                  </a:rPr>
                  <a:t>m0</a:t>
                </a:r>
                <a:r>
                  <a:rPr lang="nl-NL" sz="1200" b="0" i="0" baseline="0">
                    <a:effectLst/>
                  </a:rPr>
                  <a:t>)</a:t>
                </a:r>
                <a:r>
                  <a:rPr lang="nl-NL" sz="1200" b="0" i="0" baseline="30000">
                    <a:effectLst/>
                  </a:rPr>
                  <a:t>0.5 </a:t>
                </a:r>
                <a:r>
                  <a:rPr lang="nl-NL" sz="1200" b="0" i="0" baseline="0">
                    <a:effectLst/>
                  </a:rPr>
                  <a:t>eq. Trung</a:t>
                </a:r>
                <a:endParaRPr lang="nl-NL" sz="12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17494144"/>
        <c:crosses val="autoZero"/>
        <c:crossBetween val="midCat"/>
        <c:majorUnit val="0.5"/>
      </c:valAx>
      <c:valAx>
        <c:axId val="117494144"/>
        <c:scaling>
          <c:orientation val="minMax"/>
          <c:max val="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nl-NL" sz="1200" b="0" i="0" baseline="0">
                    <a:effectLst/>
                  </a:rPr>
                  <a:t>u</a:t>
                </a:r>
                <a:r>
                  <a:rPr lang="nl-NL" sz="1200" b="0" i="0" baseline="-25000">
                    <a:effectLst/>
                  </a:rPr>
                  <a:t>2% </a:t>
                </a:r>
                <a:r>
                  <a:rPr lang="nl-NL" sz="1200" b="0" i="0" baseline="0">
                    <a:effectLst/>
                  </a:rPr>
                  <a:t>/ (gH</a:t>
                </a:r>
                <a:r>
                  <a:rPr lang="nl-NL" sz="1200" b="0" i="0" baseline="-25000">
                    <a:effectLst/>
                  </a:rPr>
                  <a:t>m0</a:t>
                </a:r>
                <a:r>
                  <a:rPr lang="nl-NL" sz="1200" b="0" i="0" baseline="0">
                    <a:effectLst/>
                  </a:rPr>
                  <a:t>)</a:t>
                </a:r>
                <a:r>
                  <a:rPr lang="nl-NL" sz="1200" b="0" i="0" baseline="30000">
                    <a:effectLst/>
                  </a:rPr>
                  <a:t>0.5 </a:t>
                </a:r>
                <a:r>
                  <a:rPr lang="nl-NL" sz="1200" b="0" i="0" baseline="0">
                    <a:effectLst/>
                  </a:rPr>
                  <a:t>mea. van Gent</a:t>
                </a:r>
                <a:endParaRPr lang="nl-NL" sz="12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17487872"/>
        <c:crosses val="autoZero"/>
        <c:crossBetween val="midCat"/>
        <c:majorUnit val="0.5"/>
      </c:valAx>
    </c:plotArea>
    <c:legend>
      <c:legendPos val="r"/>
      <c:legendEntry>
        <c:idx val="4"/>
        <c:delete val="1"/>
      </c:legendEntry>
      <c:overlay val="0"/>
    </c:legend>
    <c:plotVisOnly val="1"/>
    <c:dispBlanksAs val="gap"/>
    <c:showDLblsOverMax val="0"/>
  </c:chart>
  <c:txPr>
    <a:bodyPr/>
    <a:lstStyle/>
    <a:p>
      <a:pPr>
        <a:defRPr sz="1200" b="0">
          <a:latin typeface="Arial" pitchFamily="34" charset="0"/>
          <a:cs typeface="Arial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nl-NL" sz="1200"/>
              <a:t>Landward-side crest edge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</c:v>
          </c:tx>
          <c:spPr>
            <a:ln w="28575">
              <a:noFill/>
            </a:ln>
          </c:spPr>
          <c:marker>
            <c:symbol val="diamond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vG_crest!$BE$6:$BE$23</c:f>
              <c:numCache>
                <c:formatCode>General</c:formatCode>
                <c:ptCount val="18"/>
                <c:pt idx="0">
                  <c:v>5.3030626098999015E-2</c:v>
                </c:pt>
                <c:pt idx="1">
                  <c:v>3.4549284493300018E-2</c:v>
                </c:pt>
                <c:pt idx="2">
                  <c:v>7.5158007541467189E-2</c:v>
                </c:pt>
                <c:pt idx="3">
                  <c:v>4.8068281001615802E-2</c:v>
                </c:pt>
                <c:pt idx="4">
                  <c:v>0.1128170789162415</c:v>
                </c:pt>
                <c:pt idx="5">
                  <c:v>7.0121999829966572E-2</c:v>
                </c:pt>
                <c:pt idx="6">
                  <c:v>4.5087420909729843E-2</c:v>
                </c:pt>
                <c:pt idx="7">
                  <c:v>0.12008361722202196</c:v>
                </c:pt>
                <c:pt idx="8">
                  <c:v>7.8517809007429912E-2</c:v>
                </c:pt>
                <c:pt idx="9">
                  <c:v>0.15761598951034481</c:v>
                </c:pt>
                <c:pt idx="10">
                  <c:v>9.7865115831982846E-2</c:v>
                </c:pt>
                <c:pt idx="11">
                  <c:v>8.1793391459807865E-2</c:v>
                </c:pt>
                <c:pt idx="12">
                  <c:v>6.9551530712366597E-2</c:v>
                </c:pt>
                <c:pt idx="13">
                  <c:v>6.7943495937887025E-2</c:v>
                </c:pt>
                <c:pt idx="14">
                  <c:v>5.9813535281155468E-2</c:v>
                </c:pt>
                <c:pt idx="15">
                  <c:v>5.1463933698554329E-2</c:v>
                </c:pt>
                <c:pt idx="16">
                  <c:v>3.8947468491184335E-2</c:v>
                </c:pt>
                <c:pt idx="17">
                  <c:v>3.6920322015696831E-2</c:v>
                </c:pt>
              </c:numCache>
            </c:numRef>
          </c:xVal>
          <c:yVal>
            <c:numRef>
              <c:f>vG_crest!$BI$6:$BI$23</c:f>
              <c:numCache>
                <c:formatCode>General</c:formatCode>
                <c:ptCount val="18"/>
                <c:pt idx="0">
                  <c:v>4.5138888888888888E-2</c:v>
                </c:pt>
                <c:pt idx="1">
                  <c:v>1.0791366906474819E-2</c:v>
                </c:pt>
                <c:pt idx="2">
                  <c:v>8.4000000000000005E-2</c:v>
                </c:pt>
                <c:pt idx="3">
                  <c:v>3.4507042253521136E-2</c:v>
                </c:pt>
                <c:pt idx="4">
                  <c:v>0.13660130718954247</c:v>
                </c:pt>
                <c:pt idx="5">
                  <c:v>6.5517241379310351E-2</c:v>
                </c:pt>
                <c:pt idx="6">
                  <c:v>3.2608695652173905E-2</c:v>
                </c:pt>
                <c:pt idx="7">
                  <c:v>0.10680272108843537</c:v>
                </c:pt>
                <c:pt idx="8">
                  <c:v>6.1428571428571423E-2</c:v>
                </c:pt>
                <c:pt idx="9">
                  <c:v>0.11111111111111112</c:v>
                </c:pt>
                <c:pt idx="10">
                  <c:v>9.2763157894736839E-2</c:v>
                </c:pt>
                <c:pt idx="11">
                  <c:v>7.9729729729729748E-2</c:v>
                </c:pt>
                <c:pt idx="12">
                  <c:v>6.9784172661870481E-2</c:v>
                </c:pt>
                <c:pt idx="13">
                  <c:v>6.23076923076923E-2</c:v>
                </c:pt>
                <c:pt idx="14">
                  <c:v>4.8591549295774659E-2</c:v>
                </c:pt>
                <c:pt idx="15">
                  <c:v>4.7826086956521734E-2</c:v>
                </c:pt>
                <c:pt idx="16">
                  <c:v>2.1804511278195486E-2</c:v>
                </c:pt>
                <c:pt idx="17">
                  <c:v>2.5396825396825397E-2</c:v>
                </c:pt>
              </c:numCache>
            </c:numRef>
          </c:yVal>
          <c:smooth val="0"/>
        </c:ser>
        <c:ser>
          <c:idx val="1"/>
          <c:order val="1"/>
          <c:tx>
            <c:v>B</c:v>
          </c:tx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vG_crest!$BE$6:$BE$23</c:f>
              <c:numCache>
                <c:formatCode>General</c:formatCode>
                <c:ptCount val="18"/>
                <c:pt idx="0">
                  <c:v>5.3030626098999015E-2</c:v>
                </c:pt>
                <c:pt idx="1">
                  <c:v>3.4549284493300018E-2</c:v>
                </c:pt>
                <c:pt idx="2">
                  <c:v>7.5158007541467189E-2</c:v>
                </c:pt>
                <c:pt idx="3">
                  <c:v>4.8068281001615802E-2</c:v>
                </c:pt>
                <c:pt idx="4">
                  <c:v>0.1128170789162415</c:v>
                </c:pt>
                <c:pt idx="5">
                  <c:v>7.0121999829966572E-2</c:v>
                </c:pt>
                <c:pt idx="6">
                  <c:v>4.5087420909729843E-2</c:v>
                </c:pt>
                <c:pt idx="7">
                  <c:v>0.12008361722202196</c:v>
                </c:pt>
                <c:pt idx="8">
                  <c:v>7.8517809007429912E-2</c:v>
                </c:pt>
                <c:pt idx="9">
                  <c:v>0.15761598951034481</c:v>
                </c:pt>
                <c:pt idx="10">
                  <c:v>9.7865115831982846E-2</c:v>
                </c:pt>
                <c:pt idx="11">
                  <c:v>8.1793391459807865E-2</c:v>
                </c:pt>
                <c:pt idx="12">
                  <c:v>6.9551530712366597E-2</c:v>
                </c:pt>
                <c:pt idx="13">
                  <c:v>6.7943495937887025E-2</c:v>
                </c:pt>
                <c:pt idx="14">
                  <c:v>5.9813535281155468E-2</c:v>
                </c:pt>
                <c:pt idx="15">
                  <c:v>5.1463933698554329E-2</c:v>
                </c:pt>
                <c:pt idx="16">
                  <c:v>3.8947468491184335E-2</c:v>
                </c:pt>
                <c:pt idx="17">
                  <c:v>3.6920322015696831E-2</c:v>
                </c:pt>
              </c:numCache>
            </c:numRef>
          </c:xVal>
          <c:yVal>
            <c:numRef>
              <c:f>vG_crest!$BI$28:$BI$45</c:f>
              <c:numCache>
                <c:formatCode>General</c:formatCode>
                <c:ptCount val="18"/>
                <c:pt idx="0">
                  <c:v>3.8194444444444448E-2</c:v>
                </c:pt>
                <c:pt idx="2">
                  <c:v>7.3333333333333334E-2</c:v>
                </c:pt>
                <c:pt idx="3">
                  <c:v>2.5352112676056339E-2</c:v>
                </c:pt>
                <c:pt idx="4">
                  <c:v>0.10718954248366012</c:v>
                </c:pt>
                <c:pt idx="5">
                  <c:v>5.862068965517242E-2</c:v>
                </c:pt>
                <c:pt idx="6">
                  <c:v>2.8260869565217388E-2</c:v>
                </c:pt>
                <c:pt idx="7">
                  <c:v>9.6598639455782315E-2</c:v>
                </c:pt>
                <c:pt idx="8">
                  <c:v>4.9999999999999996E-2</c:v>
                </c:pt>
                <c:pt idx="9">
                  <c:v>0.10833333333333334</c:v>
                </c:pt>
                <c:pt idx="10">
                  <c:v>7.4342105263157904E-2</c:v>
                </c:pt>
                <c:pt idx="11">
                  <c:v>6.5540540540540537E-2</c:v>
                </c:pt>
                <c:pt idx="12">
                  <c:v>5.8273381294964018E-2</c:v>
                </c:pt>
                <c:pt idx="13">
                  <c:v>5.6153846153846151E-2</c:v>
                </c:pt>
                <c:pt idx="14">
                  <c:v>3.5211267605633804E-2</c:v>
                </c:pt>
                <c:pt idx="15">
                  <c:v>3.6231884057971009E-2</c:v>
                </c:pt>
                <c:pt idx="16">
                  <c:v>1.4285714285714285E-2</c:v>
                </c:pt>
                <c:pt idx="17">
                  <c:v>1.1904761904761904E-2</c:v>
                </c:pt>
              </c:numCache>
            </c:numRef>
          </c:yVal>
          <c:smooth val="0"/>
        </c:ser>
        <c:ser>
          <c:idx val="2"/>
          <c:order val="2"/>
          <c:tx>
            <c:v>C</c:v>
          </c:tx>
          <c:spPr>
            <a:ln w="28575">
              <a:noFill/>
            </a:ln>
          </c:spPr>
          <c:marker>
            <c:symbol val="triang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vG_crest!$BE$6:$BE$23</c:f>
              <c:numCache>
                <c:formatCode>General</c:formatCode>
                <c:ptCount val="18"/>
                <c:pt idx="0">
                  <c:v>5.3030626098999015E-2</c:v>
                </c:pt>
                <c:pt idx="1">
                  <c:v>3.4549284493300018E-2</c:v>
                </c:pt>
                <c:pt idx="2">
                  <c:v>7.5158007541467189E-2</c:v>
                </c:pt>
                <c:pt idx="3">
                  <c:v>4.8068281001615802E-2</c:v>
                </c:pt>
                <c:pt idx="4">
                  <c:v>0.1128170789162415</c:v>
                </c:pt>
                <c:pt idx="5">
                  <c:v>7.0121999829966572E-2</c:v>
                </c:pt>
                <c:pt idx="6">
                  <c:v>4.5087420909729843E-2</c:v>
                </c:pt>
                <c:pt idx="7">
                  <c:v>0.12008361722202196</c:v>
                </c:pt>
                <c:pt idx="8">
                  <c:v>7.8517809007429912E-2</c:v>
                </c:pt>
                <c:pt idx="9">
                  <c:v>0.15761598951034481</c:v>
                </c:pt>
                <c:pt idx="10">
                  <c:v>9.7865115831982846E-2</c:v>
                </c:pt>
                <c:pt idx="11">
                  <c:v>8.1793391459807865E-2</c:v>
                </c:pt>
                <c:pt idx="12">
                  <c:v>6.9551530712366597E-2</c:v>
                </c:pt>
                <c:pt idx="13">
                  <c:v>6.7943495937887025E-2</c:v>
                </c:pt>
                <c:pt idx="14">
                  <c:v>5.9813535281155468E-2</c:v>
                </c:pt>
                <c:pt idx="15">
                  <c:v>5.1463933698554329E-2</c:v>
                </c:pt>
                <c:pt idx="16">
                  <c:v>3.8947468491184335E-2</c:v>
                </c:pt>
                <c:pt idx="17">
                  <c:v>3.6920322015696831E-2</c:v>
                </c:pt>
              </c:numCache>
            </c:numRef>
          </c:xVal>
          <c:yVal>
            <c:numRef>
              <c:f>vG_crest!$BI$50:$BI$67</c:f>
              <c:numCache>
                <c:formatCode>General</c:formatCode>
                <c:ptCount val="18"/>
                <c:pt idx="0">
                  <c:v>4.5138888888888888E-2</c:v>
                </c:pt>
                <c:pt idx="2">
                  <c:v>7.0000000000000007E-2</c:v>
                </c:pt>
                <c:pt idx="3">
                  <c:v>2.95774647887324E-2</c:v>
                </c:pt>
                <c:pt idx="4">
                  <c:v>9.2810457516339859E-2</c:v>
                </c:pt>
                <c:pt idx="5">
                  <c:v>6.4137931034482773E-2</c:v>
                </c:pt>
                <c:pt idx="6">
                  <c:v>3.0434782608695653E-2</c:v>
                </c:pt>
                <c:pt idx="7">
                  <c:v>8.3673469387755106E-2</c:v>
                </c:pt>
                <c:pt idx="8">
                  <c:v>5.6428571428571432E-2</c:v>
                </c:pt>
                <c:pt idx="9">
                  <c:v>0.10347222222222223</c:v>
                </c:pt>
                <c:pt idx="10">
                  <c:v>7.8289473684210534E-2</c:v>
                </c:pt>
                <c:pt idx="11">
                  <c:v>7.1621621621621626E-2</c:v>
                </c:pt>
                <c:pt idx="12">
                  <c:v>7.2661870503597112E-2</c:v>
                </c:pt>
                <c:pt idx="13">
                  <c:v>5.8461538461538461E-2</c:v>
                </c:pt>
                <c:pt idx="14">
                  <c:v>4.4366197183098595E-2</c:v>
                </c:pt>
                <c:pt idx="15">
                  <c:v>4.2028985507246368E-2</c:v>
                </c:pt>
                <c:pt idx="16">
                  <c:v>1.7293233082706767E-2</c:v>
                </c:pt>
                <c:pt idx="17">
                  <c:v>1.8253968253968255E-2</c:v>
                </c:pt>
              </c:numCache>
            </c:numRef>
          </c:yVal>
          <c:smooth val="0"/>
        </c:ser>
        <c:ser>
          <c:idx val="3"/>
          <c:order val="3"/>
          <c:tx>
            <c:v>D</c:v>
          </c:tx>
          <c:spPr>
            <a:ln w="28575">
              <a:noFill/>
            </a:ln>
          </c:spPr>
          <c:marker>
            <c:symbol val="circ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vG_crest!$BE$6:$BE$23</c:f>
              <c:numCache>
                <c:formatCode>General</c:formatCode>
                <c:ptCount val="18"/>
                <c:pt idx="0">
                  <c:v>5.3030626098999015E-2</c:v>
                </c:pt>
                <c:pt idx="1">
                  <c:v>3.4549284493300018E-2</c:v>
                </c:pt>
                <c:pt idx="2">
                  <c:v>7.5158007541467189E-2</c:v>
                </c:pt>
                <c:pt idx="3">
                  <c:v>4.8068281001615802E-2</c:v>
                </c:pt>
                <c:pt idx="4">
                  <c:v>0.1128170789162415</c:v>
                </c:pt>
                <c:pt idx="5">
                  <c:v>7.0121999829966572E-2</c:v>
                </c:pt>
                <c:pt idx="6">
                  <c:v>4.5087420909729843E-2</c:v>
                </c:pt>
                <c:pt idx="7">
                  <c:v>0.12008361722202196</c:v>
                </c:pt>
                <c:pt idx="8">
                  <c:v>7.8517809007429912E-2</c:v>
                </c:pt>
                <c:pt idx="9">
                  <c:v>0.15761598951034481</c:v>
                </c:pt>
                <c:pt idx="10">
                  <c:v>9.7865115831982846E-2</c:v>
                </c:pt>
                <c:pt idx="11">
                  <c:v>8.1793391459807865E-2</c:v>
                </c:pt>
                <c:pt idx="12">
                  <c:v>6.9551530712366597E-2</c:v>
                </c:pt>
                <c:pt idx="13">
                  <c:v>6.7943495937887025E-2</c:v>
                </c:pt>
                <c:pt idx="14">
                  <c:v>5.9813535281155468E-2</c:v>
                </c:pt>
                <c:pt idx="15">
                  <c:v>5.1463933698554329E-2</c:v>
                </c:pt>
                <c:pt idx="16">
                  <c:v>3.8947468491184335E-2</c:v>
                </c:pt>
                <c:pt idx="17">
                  <c:v>3.6920322015696831E-2</c:v>
                </c:pt>
              </c:numCache>
            </c:numRef>
          </c:xVal>
          <c:yVal>
            <c:numRef>
              <c:f>vG_crest!$BI$72:$BI$89</c:f>
              <c:numCache>
                <c:formatCode>General</c:formatCode>
                <c:ptCount val="18"/>
                <c:pt idx="0">
                  <c:v>3.6805555555555557E-2</c:v>
                </c:pt>
                <c:pt idx="2">
                  <c:v>6.1333333333333337E-2</c:v>
                </c:pt>
                <c:pt idx="3">
                  <c:v>2.6760563380281693E-2</c:v>
                </c:pt>
                <c:pt idx="4">
                  <c:v>8.4967320261437912E-2</c:v>
                </c:pt>
                <c:pt idx="5">
                  <c:v>5.5172413793103454E-2</c:v>
                </c:pt>
                <c:pt idx="6">
                  <c:v>2.681159420289855E-2</c:v>
                </c:pt>
                <c:pt idx="7">
                  <c:v>7.1428571428571438E-2</c:v>
                </c:pt>
                <c:pt idx="8">
                  <c:v>4.8571428571428564E-2</c:v>
                </c:pt>
                <c:pt idx="9">
                  <c:v>8.8888888888888906E-2</c:v>
                </c:pt>
                <c:pt idx="10">
                  <c:v>6.7105263157894737E-2</c:v>
                </c:pt>
                <c:pt idx="11">
                  <c:v>6.0135135135135138E-2</c:v>
                </c:pt>
                <c:pt idx="12">
                  <c:v>5.6834532374100723E-2</c:v>
                </c:pt>
                <c:pt idx="13">
                  <c:v>5.153846153846154E-2</c:v>
                </c:pt>
                <c:pt idx="14">
                  <c:v>4.0140845070422537E-2</c:v>
                </c:pt>
                <c:pt idx="15">
                  <c:v>3.768115942028985E-2</c:v>
                </c:pt>
                <c:pt idx="16">
                  <c:v>9.0225563909774424E-3</c:v>
                </c:pt>
                <c:pt idx="17">
                  <c:v>1.0317460317460317E-2</c:v>
                </c:pt>
              </c:numCache>
            </c:numRef>
          </c:yVal>
          <c:smooth val="0"/>
        </c:ser>
        <c:ser>
          <c:idx val="5"/>
          <c:order val="4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vG_crest!$CA$63:$CA$64</c:f>
              <c:numCache>
                <c:formatCode>General</c:formatCode>
                <c:ptCount val="2"/>
                <c:pt idx="0">
                  <c:v>0</c:v>
                </c:pt>
                <c:pt idx="1">
                  <c:v>3.5</c:v>
                </c:pt>
              </c:numCache>
            </c:numRef>
          </c:xVal>
          <c:yVal>
            <c:numRef>
              <c:f>vG_crest!$CB$63:$CB$64</c:f>
              <c:numCache>
                <c:formatCode>General</c:formatCode>
                <c:ptCount val="2"/>
                <c:pt idx="0">
                  <c:v>0</c:v>
                </c:pt>
                <c:pt idx="1">
                  <c:v>3.5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675328"/>
        <c:axId val="94677248"/>
      </c:scatterChart>
      <c:valAx>
        <c:axId val="94675328"/>
        <c:scaling>
          <c:orientation val="minMax"/>
          <c:max val="0.2"/>
          <c:min val="0"/>
        </c:scaling>
        <c:delete val="0"/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itchFamily="34" charset="0"/>
                    <a:ea typeface="+mn-ea"/>
                    <a:cs typeface="Arial" pitchFamily="34" charset="0"/>
                  </a:defRPr>
                </a:pPr>
                <a:r>
                  <a:rPr lang="nl-NL" sz="1200" b="0" i="0" baseline="0">
                    <a:effectLst/>
                  </a:rPr>
                  <a:t>h</a:t>
                </a:r>
                <a:r>
                  <a:rPr lang="nl-NL" sz="1200" b="0" i="0" baseline="-25000">
                    <a:effectLst/>
                  </a:rPr>
                  <a:t>2%</a:t>
                </a:r>
                <a:r>
                  <a:rPr lang="nl-NL" sz="1200" b="0" i="0" baseline="0">
                    <a:effectLst/>
                  </a:rPr>
                  <a:t> / H</a:t>
                </a:r>
                <a:r>
                  <a:rPr lang="nl-NL" sz="1200" b="0" i="0" baseline="-25000">
                    <a:effectLst/>
                  </a:rPr>
                  <a:t>m0 </a:t>
                </a:r>
                <a:r>
                  <a:rPr lang="nl-NL" sz="1200" b="0" i="0" baseline="0">
                    <a:effectLst/>
                  </a:rPr>
                  <a:t>eq. Trung</a:t>
                </a:r>
                <a:endParaRPr lang="nl-NL" sz="1200" baseline="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94677248"/>
        <c:crosses val="autoZero"/>
        <c:crossBetween val="midCat"/>
        <c:majorUnit val="5.000000000000001E-2"/>
      </c:valAx>
      <c:valAx>
        <c:axId val="94677248"/>
        <c:scaling>
          <c:orientation val="minMax"/>
          <c:max val="0.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nl-NL" sz="1200" b="0" i="0" baseline="0">
                    <a:effectLst/>
                  </a:rPr>
                  <a:t>h</a:t>
                </a:r>
                <a:r>
                  <a:rPr lang="nl-NL" sz="1200" b="0" i="0" baseline="-25000">
                    <a:effectLst/>
                  </a:rPr>
                  <a:t>2% </a:t>
                </a:r>
                <a:r>
                  <a:rPr lang="nl-NL" sz="1200" b="0" i="0" baseline="0">
                    <a:effectLst/>
                  </a:rPr>
                  <a:t>/ H</a:t>
                </a:r>
                <a:r>
                  <a:rPr lang="nl-NL" sz="1200" b="0" i="0" baseline="-25000">
                    <a:effectLst/>
                  </a:rPr>
                  <a:t>m0 </a:t>
                </a:r>
                <a:r>
                  <a:rPr lang="nl-NL" sz="1200" b="0" i="0" baseline="0">
                    <a:effectLst/>
                  </a:rPr>
                  <a:t>mea. van Gent</a:t>
                </a:r>
                <a:endParaRPr lang="nl-NL" sz="1200" baseline="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94675328"/>
        <c:crosses val="autoZero"/>
        <c:crossBetween val="midCat"/>
        <c:majorUnit val="5.000000000000001E-2"/>
      </c:valAx>
    </c:plotArea>
    <c:legend>
      <c:legendPos val="r"/>
      <c:legendEntry>
        <c:idx val="4"/>
        <c:delete val="1"/>
      </c:legendEntry>
      <c:overlay val="0"/>
    </c:legend>
    <c:plotVisOnly val="1"/>
    <c:dispBlanksAs val="gap"/>
    <c:showDLblsOverMax val="0"/>
  </c:chart>
  <c:txPr>
    <a:bodyPr/>
    <a:lstStyle/>
    <a:p>
      <a:pPr>
        <a:defRPr sz="1200" b="0">
          <a:latin typeface="Arial" pitchFamily="34" charset="0"/>
          <a:cs typeface="Arial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nl-NL" sz="1200" baseline="0"/>
              <a:t>Flow velocity on landward-side slope</a:t>
            </a:r>
            <a:endParaRPr lang="nl-NL" sz="1200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3"/>
          <c:order val="0"/>
          <c:tx>
            <c:v>B</c:v>
          </c:tx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vG_crest!$AM$50:$AM$67</c:f>
              <c:numCache>
                <c:formatCode>General</c:formatCode>
                <c:ptCount val="18"/>
                <c:pt idx="0">
                  <c:v>0.69444444444444453</c:v>
                </c:pt>
                <c:pt idx="1">
                  <c:v>0.71942446043165464</c:v>
                </c:pt>
                <c:pt idx="2">
                  <c:v>0.66666666666666674</c:v>
                </c:pt>
                <c:pt idx="3">
                  <c:v>0.70422535211267612</c:v>
                </c:pt>
                <c:pt idx="4">
                  <c:v>0.65359477124183007</c:v>
                </c:pt>
                <c:pt idx="5">
                  <c:v>0.68965517241379315</c:v>
                </c:pt>
                <c:pt idx="6">
                  <c:v>0.72463768115942029</c:v>
                </c:pt>
                <c:pt idx="7">
                  <c:v>0.6802721088435375</c:v>
                </c:pt>
                <c:pt idx="8">
                  <c:v>0.7142857142857143</c:v>
                </c:pt>
                <c:pt idx="9">
                  <c:v>0.69444444444444453</c:v>
                </c:pt>
                <c:pt idx="10">
                  <c:v>0.65789473684210531</c:v>
                </c:pt>
                <c:pt idx="11">
                  <c:v>0.67567567567567577</c:v>
                </c:pt>
                <c:pt idx="12">
                  <c:v>0.71942446043165464</c:v>
                </c:pt>
                <c:pt idx="13">
                  <c:v>0.76923076923076927</c:v>
                </c:pt>
                <c:pt idx="14">
                  <c:v>0.70422535211267612</c:v>
                </c:pt>
                <c:pt idx="15">
                  <c:v>0.72463768115942029</c:v>
                </c:pt>
                <c:pt idx="16">
                  <c:v>0.75187969924812026</c:v>
                </c:pt>
                <c:pt idx="17">
                  <c:v>0.79365079365079372</c:v>
                </c:pt>
              </c:numCache>
            </c:numRef>
          </c:xVal>
          <c:yVal>
            <c:numRef>
              <c:f>vG_crest!$AS$28:$AS$45</c:f>
              <c:numCache>
                <c:formatCode>General</c:formatCode>
                <c:ptCount val="18"/>
                <c:pt idx="0">
                  <c:v>0.34959349593495931</c:v>
                </c:pt>
                <c:pt idx="2">
                  <c:v>0.45890410958904104</c:v>
                </c:pt>
                <c:pt idx="4">
                  <c:v>0.39610389610389601</c:v>
                </c:pt>
                <c:pt idx="5">
                  <c:v>0.38059701492537312</c:v>
                </c:pt>
                <c:pt idx="7">
                  <c:v>0.47183098591549294</c:v>
                </c:pt>
                <c:pt idx="8">
                  <c:v>0.44186046511627913</c:v>
                </c:pt>
                <c:pt idx="9">
                  <c:v>0.43537414965986387</c:v>
                </c:pt>
                <c:pt idx="10">
                  <c:v>0.41780821917808214</c:v>
                </c:pt>
                <c:pt idx="11">
                  <c:v>0.45185185185185173</c:v>
                </c:pt>
                <c:pt idx="12">
                  <c:v>0.43703703703703689</c:v>
                </c:pt>
                <c:pt idx="13">
                  <c:v>0.39849624060150374</c:v>
                </c:pt>
                <c:pt idx="14">
                  <c:v>0.46153846153846162</c:v>
                </c:pt>
                <c:pt idx="15">
                  <c:v>0.42342342342342337</c:v>
                </c:pt>
                <c:pt idx="16">
                  <c:v>0</c:v>
                </c:pt>
              </c:numCache>
            </c:numRef>
          </c:yVal>
          <c:smooth val="0"/>
        </c:ser>
        <c:ser>
          <c:idx val="4"/>
          <c:order val="1"/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vG_crest!$AO$50:$AO$67</c:f>
              <c:numCache>
                <c:formatCode>General</c:formatCode>
                <c:ptCount val="18"/>
                <c:pt idx="0">
                  <c:v>1.7361111111111112</c:v>
                </c:pt>
                <c:pt idx="1">
                  <c:v>1.7985611510791366</c:v>
                </c:pt>
                <c:pt idx="2">
                  <c:v>1.6666666666666667</c:v>
                </c:pt>
                <c:pt idx="3">
                  <c:v>1.7605633802816902</c:v>
                </c:pt>
                <c:pt idx="4">
                  <c:v>1.6339869281045751</c:v>
                </c:pt>
                <c:pt idx="5">
                  <c:v>1.7241379310344829</c:v>
                </c:pt>
                <c:pt idx="6">
                  <c:v>1.8115942028985506</c:v>
                </c:pt>
                <c:pt idx="7">
                  <c:v>1.7006802721088436</c:v>
                </c:pt>
                <c:pt idx="8">
                  <c:v>1.7857142857142856</c:v>
                </c:pt>
                <c:pt idx="9">
                  <c:v>1.7361111111111112</c:v>
                </c:pt>
                <c:pt idx="10">
                  <c:v>1.6447368421052633</c:v>
                </c:pt>
                <c:pt idx="11">
                  <c:v>1.6891891891891893</c:v>
                </c:pt>
                <c:pt idx="12">
                  <c:v>1.7985611510791366</c:v>
                </c:pt>
                <c:pt idx="13">
                  <c:v>1.9230769230769229</c:v>
                </c:pt>
                <c:pt idx="14">
                  <c:v>1.7605633802816902</c:v>
                </c:pt>
                <c:pt idx="15">
                  <c:v>1.8115942028985506</c:v>
                </c:pt>
                <c:pt idx="16">
                  <c:v>1.8796992481203008</c:v>
                </c:pt>
                <c:pt idx="17">
                  <c:v>1.9841269841269842</c:v>
                </c:pt>
              </c:numCache>
            </c:numRef>
          </c:xVal>
          <c:yVal>
            <c:numRef>
              <c:f>vG_crest!$AT$28:$AT$45</c:f>
              <c:numCache>
                <c:formatCode>General</c:formatCode>
                <c:ptCount val="18"/>
                <c:pt idx="0">
                  <c:v>0.26016260162601629</c:v>
                </c:pt>
                <c:pt idx="2">
                  <c:v>0.61643835616438347</c:v>
                </c:pt>
                <c:pt idx="3">
                  <c:v>0.20202020202020199</c:v>
                </c:pt>
                <c:pt idx="4">
                  <c:v>0.67532467532467533</c:v>
                </c:pt>
                <c:pt idx="5">
                  <c:v>0.4477611940298506</c:v>
                </c:pt>
                <c:pt idx="7">
                  <c:v>0.676056338028169</c:v>
                </c:pt>
                <c:pt idx="8">
                  <c:v>0.42635658914728686</c:v>
                </c:pt>
                <c:pt idx="9">
                  <c:v>0.65986394557823125</c:v>
                </c:pt>
                <c:pt idx="10">
                  <c:v>0.57534246575342463</c:v>
                </c:pt>
                <c:pt idx="11">
                  <c:v>0.57037037037037031</c:v>
                </c:pt>
                <c:pt idx="12">
                  <c:v>0.47407407407407398</c:v>
                </c:pt>
                <c:pt idx="13">
                  <c:v>0.41353383458646603</c:v>
                </c:pt>
                <c:pt idx="14">
                  <c:v>0.33333333333333348</c:v>
                </c:pt>
                <c:pt idx="15">
                  <c:v>0.38738738738738732</c:v>
                </c:pt>
                <c:pt idx="16">
                  <c:v>0</c:v>
                </c:pt>
              </c:numCache>
            </c:numRef>
          </c:yVal>
          <c:smooth val="0"/>
        </c:ser>
        <c:ser>
          <c:idx val="5"/>
          <c:order val="2"/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vG_crest!$AQ$50:$AQ$67</c:f>
              <c:numCache>
                <c:formatCode>General</c:formatCode>
                <c:ptCount val="18"/>
                <c:pt idx="0">
                  <c:v>2.7777777777777781</c:v>
                </c:pt>
                <c:pt idx="1">
                  <c:v>2.8776978417266186</c:v>
                </c:pt>
                <c:pt idx="2">
                  <c:v>2.666666666666667</c:v>
                </c:pt>
                <c:pt idx="3">
                  <c:v>2.8169014084507045</c:v>
                </c:pt>
                <c:pt idx="4">
                  <c:v>2.6143790849673203</c:v>
                </c:pt>
                <c:pt idx="5">
                  <c:v>2.7586206896551726</c:v>
                </c:pt>
                <c:pt idx="6">
                  <c:v>2.8985507246376812</c:v>
                </c:pt>
                <c:pt idx="7">
                  <c:v>2.72108843537415</c:v>
                </c:pt>
                <c:pt idx="8">
                  <c:v>2.8571428571428572</c:v>
                </c:pt>
                <c:pt idx="9">
                  <c:v>2.7777777777777781</c:v>
                </c:pt>
                <c:pt idx="10">
                  <c:v>2.6315789473684212</c:v>
                </c:pt>
                <c:pt idx="11">
                  <c:v>2.7027027027027031</c:v>
                </c:pt>
                <c:pt idx="12">
                  <c:v>2.8776978417266186</c:v>
                </c:pt>
                <c:pt idx="13">
                  <c:v>3.0769230769230771</c:v>
                </c:pt>
                <c:pt idx="14">
                  <c:v>2.8169014084507045</c:v>
                </c:pt>
                <c:pt idx="15">
                  <c:v>2.8985507246376812</c:v>
                </c:pt>
                <c:pt idx="16">
                  <c:v>3.007518796992481</c:v>
                </c:pt>
                <c:pt idx="17">
                  <c:v>3.1746031746031749</c:v>
                </c:pt>
              </c:numCache>
            </c:numRef>
          </c:xVal>
          <c:yVal>
            <c:numRef>
              <c:f>vG_crest!$AU$28:$AU$45</c:f>
              <c:numCache>
                <c:formatCode>General</c:formatCode>
                <c:ptCount val="18"/>
                <c:pt idx="0">
                  <c:v>0.1951219512195122</c:v>
                </c:pt>
                <c:pt idx="2">
                  <c:v>0.57534246575342463</c:v>
                </c:pt>
                <c:pt idx="4">
                  <c:v>0.66883116883116867</c:v>
                </c:pt>
                <c:pt idx="5">
                  <c:v>0.54477611940298487</c:v>
                </c:pt>
                <c:pt idx="7">
                  <c:v>0.71126760563380298</c:v>
                </c:pt>
                <c:pt idx="8">
                  <c:v>0.40310077519379844</c:v>
                </c:pt>
                <c:pt idx="9">
                  <c:v>0.67346938775510201</c:v>
                </c:pt>
                <c:pt idx="10">
                  <c:v>0.60273972602739723</c:v>
                </c:pt>
                <c:pt idx="11">
                  <c:v>0.54814814814814794</c:v>
                </c:pt>
                <c:pt idx="12">
                  <c:v>0.52592592592592591</c:v>
                </c:pt>
                <c:pt idx="13">
                  <c:v>0.42857142857142844</c:v>
                </c:pt>
                <c:pt idx="14">
                  <c:v>0.43589743589743596</c:v>
                </c:pt>
                <c:pt idx="15">
                  <c:v>0.37837837837837829</c:v>
                </c:pt>
                <c:pt idx="16">
                  <c:v>0</c:v>
                </c:pt>
              </c:numCache>
            </c:numRef>
          </c:yVal>
          <c:smooth val="0"/>
        </c:ser>
        <c:ser>
          <c:idx val="9"/>
          <c:order val="3"/>
          <c:tx>
            <c:v>D</c:v>
          </c:tx>
          <c:spPr>
            <a:ln w="28575">
              <a:noFill/>
            </a:ln>
          </c:spPr>
          <c:marker>
            <c:symbol val="circ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vG_crest!$AM$50:$AM$67</c:f>
              <c:numCache>
                <c:formatCode>General</c:formatCode>
                <c:ptCount val="18"/>
                <c:pt idx="0">
                  <c:v>0.69444444444444453</c:v>
                </c:pt>
                <c:pt idx="1">
                  <c:v>0.71942446043165464</c:v>
                </c:pt>
                <c:pt idx="2">
                  <c:v>0.66666666666666674</c:v>
                </c:pt>
                <c:pt idx="3">
                  <c:v>0.70422535211267612</c:v>
                </c:pt>
                <c:pt idx="4">
                  <c:v>0.65359477124183007</c:v>
                </c:pt>
                <c:pt idx="5">
                  <c:v>0.68965517241379315</c:v>
                </c:pt>
                <c:pt idx="6">
                  <c:v>0.72463768115942029</c:v>
                </c:pt>
                <c:pt idx="7">
                  <c:v>0.6802721088435375</c:v>
                </c:pt>
                <c:pt idx="8">
                  <c:v>0.7142857142857143</c:v>
                </c:pt>
                <c:pt idx="9">
                  <c:v>0.69444444444444453</c:v>
                </c:pt>
                <c:pt idx="10">
                  <c:v>0.65789473684210531</c:v>
                </c:pt>
                <c:pt idx="11">
                  <c:v>0.67567567567567577</c:v>
                </c:pt>
                <c:pt idx="12">
                  <c:v>0.71942446043165464</c:v>
                </c:pt>
                <c:pt idx="13">
                  <c:v>0.76923076923076927</c:v>
                </c:pt>
                <c:pt idx="14">
                  <c:v>0.70422535211267612</c:v>
                </c:pt>
                <c:pt idx="15">
                  <c:v>0.72463768115942029</c:v>
                </c:pt>
                <c:pt idx="16">
                  <c:v>0.75187969924812026</c:v>
                </c:pt>
                <c:pt idx="17">
                  <c:v>0.79365079365079372</c:v>
                </c:pt>
              </c:numCache>
            </c:numRef>
          </c:xVal>
          <c:yVal>
            <c:numRef>
              <c:f>vG_crest!$AS$72:$AS$89</c:f>
              <c:numCache>
                <c:formatCode>General</c:formatCode>
                <c:ptCount val="18"/>
                <c:pt idx="0">
                  <c:v>1.1228070175438598</c:v>
                </c:pt>
                <c:pt idx="2">
                  <c:v>0.6271186440677966</c:v>
                </c:pt>
                <c:pt idx="4">
                  <c:v>0.5714285714285714</c:v>
                </c:pt>
                <c:pt idx="5">
                  <c:v>0.91208791208791207</c:v>
                </c:pt>
                <c:pt idx="7">
                  <c:v>0.6576576576576576</c:v>
                </c:pt>
                <c:pt idx="8">
                  <c:v>1.0133333333333334</c:v>
                </c:pt>
                <c:pt idx="9">
                  <c:v>0.76635514018691564</c:v>
                </c:pt>
                <c:pt idx="10">
                  <c:v>0.67567567567567566</c:v>
                </c:pt>
                <c:pt idx="11">
                  <c:v>0.7047619047619047</c:v>
                </c:pt>
                <c:pt idx="12">
                  <c:v>0.84946236559139776</c:v>
                </c:pt>
                <c:pt idx="13">
                  <c:v>0.95121951219512213</c:v>
                </c:pt>
                <c:pt idx="14">
                  <c:v>1.1076923076923078</c:v>
                </c:pt>
                <c:pt idx="15">
                  <c:v>1.1935483870967745</c:v>
                </c:pt>
              </c:numCache>
            </c:numRef>
          </c:yVal>
          <c:smooth val="0"/>
        </c:ser>
        <c:ser>
          <c:idx val="10"/>
          <c:order val="4"/>
          <c:spPr>
            <a:ln w="28575">
              <a:noFill/>
            </a:ln>
          </c:spPr>
          <c:marker>
            <c:symbol val="circ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vG_crest!$AO$50:$AO$67</c:f>
              <c:numCache>
                <c:formatCode>General</c:formatCode>
                <c:ptCount val="18"/>
                <c:pt idx="0">
                  <c:v>1.7361111111111112</c:v>
                </c:pt>
                <c:pt idx="1">
                  <c:v>1.7985611510791366</c:v>
                </c:pt>
                <c:pt idx="2">
                  <c:v>1.6666666666666667</c:v>
                </c:pt>
                <c:pt idx="3">
                  <c:v>1.7605633802816902</c:v>
                </c:pt>
                <c:pt idx="4">
                  <c:v>1.6339869281045751</c:v>
                </c:pt>
                <c:pt idx="5">
                  <c:v>1.7241379310344829</c:v>
                </c:pt>
                <c:pt idx="6">
                  <c:v>1.8115942028985506</c:v>
                </c:pt>
                <c:pt idx="7">
                  <c:v>1.7006802721088436</c:v>
                </c:pt>
                <c:pt idx="8">
                  <c:v>1.7857142857142856</c:v>
                </c:pt>
                <c:pt idx="9">
                  <c:v>1.7361111111111112</c:v>
                </c:pt>
                <c:pt idx="10">
                  <c:v>1.6447368421052633</c:v>
                </c:pt>
                <c:pt idx="11">
                  <c:v>1.6891891891891893</c:v>
                </c:pt>
                <c:pt idx="12">
                  <c:v>1.7985611510791366</c:v>
                </c:pt>
                <c:pt idx="13">
                  <c:v>1.9230769230769229</c:v>
                </c:pt>
                <c:pt idx="14">
                  <c:v>1.7605633802816902</c:v>
                </c:pt>
                <c:pt idx="15">
                  <c:v>1.8115942028985506</c:v>
                </c:pt>
                <c:pt idx="16">
                  <c:v>1.8796992481203008</c:v>
                </c:pt>
                <c:pt idx="17">
                  <c:v>1.9841269841269842</c:v>
                </c:pt>
              </c:numCache>
            </c:numRef>
          </c:xVal>
          <c:yVal>
            <c:numRef>
              <c:f>vG_crest!$AT$72:$AT$89</c:f>
              <c:numCache>
                <c:formatCode>General</c:formatCode>
                <c:ptCount val="18"/>
                <c:pt idx="0">
                  <c:v>1.2105263157894739</c:v>
                </c:pt>
                <c:pt idx="2">
                  <c:v>0.82203389830508478</c:v>
                </c:pt>
                <c:pt idx="4">
                  <c:v>0.74603174603174616</c:v>
                </c:pt>
                <c:pt idx="5">
                  <c:v>0.86813186813186805</c:v>
                </c:pt>
                <c:pt idx="7">
                  <c:v>0.79279279279279258</c:v>
                </c:pt>
                <c:pt idx="8">
                  <c:v>0.98666666666666669</c:v>
                </c:pt>
                <c:pt idx="9">
                  <c:v>0.96261682242990654</c:v>
                </c:pt>
                <c:pt idx="10">
                  <c:v>0.86486486486486458</c:v>
                </c:pt>
                <c:pt idx="11">
                  <c:v>0.86666666666666659</c:v>
                </c:pt>
                <c:pt idx="12">
                  <c:v>0.87096774193548376</c:v>
                </c:pt>
                <c:pt idx="13">
                  <c:v>0.98780487804878048</c:v>
                </c:pt>
                <c:pt idx="14">
                  <c:v>0.96923076923076923</c:v>
                </c:pt>
                <c:pt idx="15">
                  <c:v>1.0645161290322582</c:v>
                </c:pt>
              </c:numCache>
            </c:numRef>
          </c:yVal>
          <c:smooth val="0"/>
        </c:ser>
        <c:ser>
          <c:idx val="11"/>
          <c:order val="5"/>
          <c:spPr>
            <a:ln w="28575">
              <a:noFill/>
            </a:ln>
          </c:spPr>
          <c:marker>
            <c:symbol val="circ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vG_crest!$AQ$50:$AQ$67</c:f>
              <c:numCache>
                <c:formatCode>General</c:formatCode>
                <c:ptCount val="18"/>
                <c:pt idx="0">
                  <c:v>2.7777777777777781</c:v>
                </c:pt>
                <c:pt idx="1">
                  <c:v>2.8776978417266186</c:v>
                </c:pt>
                <c:pt idx="2">
                  <c:v>2.666666666666667</c:v>
                </c:pt>
                <c:pt idx="3">
                  <c:v>2.8169014084507045</c:v>
                </c:pt>
                <c:pt idx="4">
                  <c:v>2.6143790849673203</c:v>
                </c:pt>
                <c:pt idx="5">
                  <c:v>2.7586206896551726</c:v>
                </c:pt>
                <c:pt idx="6">
                  <c:v>2.8985507246376812</c:v>
                </c:pt>
                <c:pt idx="7">
                  <c:v>2.72108843537415</c:v>
                </c:pt>
                <c:pt idx="8">
                  <c:v>2.8571428571428572</c:v>
                </c:pt>
                <c:pt idx="9">
                  <c:v>2.7777777777777781</c:v>
                </c:pt>
                <c:pt idx="10">
                  <c:v>2.6315789473684212</c:v>
                </c:pt>
                <c:pt idx="11">
                  <c:v>2.7027027027027031</c:v>
                </c:pt>
                <c:pt idx="12">
                  <c:v>2.8776978417266186</c:v>
                </c:pt>
                <c:pt idx="13">
                  <c:v>3.0769230769230771</c:v>
                </c:pt>
                <c:pt idx="14">
                  <c:v>2.8169014084507045</c:v>
                </c:pt>
                <c:pt idx="15">
                  <c:v>2.8985507246376812</c:v>
                </c:pt>
                <c:pt idx="16">
                  <c:v>3.007518796992481</c:v>
                </c:pt>
                <c:pt idx="17">
                  <c:v>3.1746031746031749</c:v>
                </c:pt>
              </c:numCache>
            </c:numRef>
          </c:xVal>
          <c:yVal>
            <c:numRef>
              <c:f>vG_crest!$AU$72:$AU$89</c:f>
              <c:numCache>
                <c:formatCode>General</c:formatCode>
                <c:ptCount val="18"/>
                <c:pt idx="0">
                  <c:v>1.4385964912280702</c:v>
                </c:pt>
                <c:pt idx="2">
                  <c:v>0.89830508474576298</c:v>
                </c:pt>
                <c:pt idx="4">
                  <c:v>0.80952380952380931</c:v>
                </c:pt>
                <c:pt idx="5">
                  <c:v>1</c:v>
                </c:pt>
                <c:pt idx="7">
                  <c:v>0.88288288288288264</c:v>
                </c:pt>
                <c:pt idx="8">
                  <c:v>1.2</c:v>
                </c:pt>
                <c:pt idx="9">
                  <c:v>1.0747663551401869</c:v>
                </c:pt>
                <c:pt idx="10">
                  <c:v>0.90990990990990983</c:v>
                </c:pt>
                <c:pt idx="11">
                  <c:v>0.90476190476190466</c:v>
                </c:pt>
                <c:pt idx="12">
                  <c:v>1.0322580645161288</c:v>
                </c:pt>
                <c:pt idx="13">
                  <c:v>1.1585365853658538</c:v>
                </c:pt>
                <c:pt idx="14">
                  <c:v>1.1076923076923078</c:v>
                </c:pt>
                <c:pt idx="15">
                  <c:v>1.209677419354839</c:v>
                </c:pt>
              </c:numCache>
            </c:numRef>
          </c:yVal>
          <c:smooth val="0"/>
        </c:ser>
        <c:ser>
          <c:idx val="0"/>
          <c:order val="6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vG_crest!$BO$168:$BO$169</c:f>
              <c:numCache>
                <c:formatCode>General</c:formatCode>
                <c:ptCount val="2"/>
                <c:pt idx="0">
                  <c:v>0</c:v>
                </c:pt>
                <c:pt idx="1">
                  <c:v>4</c:v>
                </c:pt>
              </c:numCache>
            </c:numRef>
          </c:xVal>
          <c:yVal>
            <c:numRef>
              <c:f>vG_crest!$BP$168:$BP$169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736384"/>
        <c:axId val="94738304"/>
      </c:scatterChart>
      <c:valAx>
        <c:axId val="94736384"/>
        <c:scaling>
          <c:orientation val="minMax"/>
          <c:max val="4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y</a:t>
                </a:r>
                <a:r>
                  <a:rPr lang="nl-NL" baseline="-25000"/>
                  <a:t>C</a:t>
                </a:r>
                <a:r>
                  <a:rPr lang="nl-NL">
                    <a:latin typeface="Symbol" pitchFamily="18" charset="2"/>
                  </a:rPr>
                  <a:t> </a:t>
                </a:r>
                <a:r>
                  <a:rPr lang="nl-NL"/>
                  <a:t>/ H</a:t>
                </a:r>
                <a:r>
                  <a:rPr lang="nl-NL" baseline="-25000"/>
                  <a:t>m0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94738304"/>
        <c:crosses val="autoZero"/>
        <c:crossBetween val="midCat"/>
      </c:valAx>
      <c:valAx>
        <c:axId val="94738304"/>
        <c:scaling>
          <c:orientation val="minMax"/>
          <c:max val="2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(u</a:t>
                </a:r>
                <a:r>
                  <a:rPr lang="nl-NL" baseline="-25000"/>
                  <a:t>yC</a:t>
                </a:r>
                <a:r>
                  <a:rPr lang="nl-NL"/>
                  <a:t> - </a:t>
                </a:r>
                <a:r>
                  <a:rPr lang="nl-NL" sz="1200" b="0" i="0" u="none" strike="noStrike" baseline="0">
                    <a:effectLst/>
                  </a:rPr>
                  <a:t>u</a:t>
                </a:r>
                <a:r>
                  <a:rPr lang="nl-NL" sz="1200" b="0" i="0" u="none" strike="noStrike" baseline="-25000">
                    <a:effectLst/>
                  </a:rPr>
                  <a:t>B</a:t>
                </a:r>
                <a:r>
                  <a:rPr lang="nl-NL"/>
                  <a:t>) / </a:t>
                </a:r>
                <a:r>
                  <a:rPr lang="nl-NL" sz="1200" b="0" i="0" u="none" strike="noStrike" baseline="0">
                    <a:effectLst/>
                  </a:rPr>
                  <a:t>u</a:t>
                </a:r>
                <a:r>
                  <a:rPr lang="nl-NL" sz="1200" b="0" i="0" u="none" strike="noStrike" baseline="-25000">
                    <a:effectLst/>
                  </a:rPr>
                  <a:t>B</a:t>
                </a:r>
                <a:endParaRPr lang="nl-NL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94736384"/>
        <c:crosses val="autoZero"/>
        <c:crossBetween val="midCat"/>
        <c:majorUnit val="0.5"/>
      </c:valAx>
    </c:plotArea>
    <c:legend>
      <c:legendPos val="r"/>
      <c:legendEntry>
        <c:idx val="1"/>
        <c:delete val="1"/>
      </c:legendEntry>
      <c:legendEntry>
        <c:idx val="2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overlay val="0"/>
    </c:legend>
    <c:plotVisOnly val="1"/>
    <c:dispBlanksAs val="gap"/>
    <c:showDLblsOverMax val="0"/>
  </c:chart>
  <c:txPr>
    <a:bodyPr/>
    <a:lstStyle/>
    <a:p>
      <a:pPr>
        <a:defRPr sz="1200" b="0">
          <a:latin typeface="Arial" pitchFamily="34" charset="0"/>
          <a:cs typeface="Arial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>
                <a:latin typeface="Symbol" pitchFamily="18" charset="2"/>
              </a:rPr>
              <a:t>D</a:t>
            </a:r>
            <a:r>
              <a:rPr lang="en-US" sz="1200"/>
              <a:t>u vs </a:t>
            </a:r>
            <a:r>
              <a:rPr lang="en-US" sz="1200">
                <a:latin typeface="Symbol" pitchFamily="18" charset="2"/>
              </a:rPr>
              <a:t>D</a:t>
            </a:r>
            <a:r>
              <a:rPr lang="en-US" sz="1200"/>
              <a:t>h on landward-side slope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</c:v>
          </c:tx>
          <c:spPr>
            <a:ln w="28575">
              <a:noFill/>
            </a:ln>
          </c:spPr>
          <c:marker>
            <c:symbol val="diamond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vG_crest!$AS$6:$AS$23</c:f>
              <c:numCache>
                <c:formatCode>General</c:formatCode>
                <c:ptCount val="18"/>
                <c:pt idx="0">
                  <c:v>0.47747747747747726</c:v>
                </c:pt>
                <c:pt idx="2">
                  <c:v>0.37142857142857144</c:v>
                </c:pt>
                <c:pt idx="4">
                  <c:v>0.33121019108280242</c:v>
                </c:pt>
                <c:pt idx="5">
                  <c:v>0.52459016393442637</c:v>
                </c:pt>
                <c:pt idx="7">
                  <c:v>0.38194444444444448</c:v>
                </c:pt>
                <c:pt idx="8">
                  <c:v>0.43089430894308944</c:v>
                </c:pt>
                <c:pt idx="9">
                  <c:v>0.36486486486486491</c:v>
                </c:pt>
                <c:pt idx="10">
                  <c:v>0.40145985401459838</c:v>
                </c:pt>
                <c:pt idx="11">
                  <c:v>0.40441176470588219</c:v>
                </c:pt>
                <c:pt idx="12">
                  <c:v>0.47244094488188981</c:v>
                </c:pt>
                <c:pt idx="13">
                  <c:v>0.5901639344262295</c:v>
                </c:pt>
                <c:pt idx="14">
                  <c:v>0.57943925233644844</c:v>
                </c:pt>
                <c:pt idx="15">
                  <c:v>0.6078431372549018</c:v>
                </c:pt>
                <c:pt idx="16">
                  <c:v>-1</c:v>
                </c:pt>
              </c:numCache>
            </c:numRef>
          </c:xVal>
          <c:yVal>
            <c:numRef>
              <c:f>vG_crest!$AN$6:$AN$23</c:f>
              <c:numCache>
                <c:formatCode>General</c:formatCode>
                <c:ptCount val="18"/>
                <c:pt idx="0">
                  <c:v>-0.53846153846153844</c:v>
                </c:pt>
                <c:pt idx="2">
                  <c:v>-0.42063492063492064</c:v>
                </c:pt>
                <c:pt idx="3">
                  <c:v>-0.61224489795918369</c:v>
                </c:pt>
                <c:pt idx="4">
                  <c:v>-0.36363636363636354</c:v>
                </c:pt>
                <c:pt idx="5">
                  <c:v>-0.5368421052631579</c:v>
                </c:pt>
                <c:pt idx="6">
                  <c:v>-0.62222222222222223</c:v>
                </c:pt>
                <c:pt idx="7">
                  <c:v>-0.45222929936305734</c:v>
                </c:pt>
                <c:pt idx="8">
                  <c:v>-0.44186046511627908</c:v>
                </c:pt>
                <c:pt idx="9">
                  <c:v>-0.34375</c:v>
                </c:pt>
                <c:pt idx="10">
                  <c:v>-0.50354609929078009</c:v>
                </c:pt>
                <c:pt idx="11">
                  <c:v>-0.51694915254237295</c:v>
                </c:pt>
                <c:pt idx="12">
                  <c:v>-0.54639175257731953</c:v>
                </c:pt>
                <c:pt idx="13">
                  <c:v>-0.59259259259259256</c:v>
                </c:pt>
                <c:pt idx="14">
                  <c:v>-0.52173913043478271</c:v>
                </c:pt>
                <c:pt idx="15">
                  <c:v>-0.5757575757575758</c:v>
                </c:pt>
                <c:pt idx="16">
                  <c:v>-0.58620689655172409</c:v>
                </c:pt>
                <c:pt idx="17">
                  <c:v>-0.65625</c:v>
                </c:pt>
              </c:numCache>
            </c:numRef>
          </c:yVal>
          <c:smooth val="0"/>
        </c:ser>
        <c:ser>
          <c:idx val="2"/>
          <c:order val="1"/>
          <c:tx>
            <c:v>B</c:v>
          </c:tx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vG_crest!$AS$28:$AS$45</c:f>
              <c:numCache>
                <c:formatCode>General</c:formatCode>
                <c:ptCount val="18"/>
                <c:pt idx="0">
                  <c:v>0.34959349593495931</c:v>
                </c:pt>
                <c:pt idx="2">
                  <c:v>0.45890410958904104</c:v>
                </c:pt>
                <c:pt idx="4">
                  <c:v>0.39610389610389601</c:v>
                </c:pt>
                <c:pt idx="5">
                  <c:v>0.38059701492537312</c:v>
                </c:pt>
                <c:pt idx="7">
                  <c:v>0.47183098591549294</c:v>
                </c:pt>
                <c:pt idx="8">
                  <c:v>0.44186046511627913</c:v>
                </c:pt>
                <c:pt idx="9">
                  <c:v>0.43537414965986387</c:v>
                </c:pt>
                <c:pt idx="10">
                  <c:v>0.41780821917808214</c:v>
                </c:pt>
                <c:pt idx="11">
                  <c:v>0.45185185185185173</c:v>
                </c:pt>
                <c:pt idx="12">
                  <c:v>0.43703703703703689</c:v>
                </c:pt>
                <c:pt idx="13">
                  <c:v>0.39849624060150374</c:v>
                </c:pt>
                <c:pt idx="14">
                  <c:v>0.46153846153846162</c:v>
                </c:pt>
                <c:pt idx="15">
                  <c:v>0.42342342342342337</c:v>
                </c:pt>
                <c:pt idx="16">
                  <c:v>0</c:v>
                </c:pt>
              </c:numCache>
            </c:numRef>
          </c:xVal>
          <c:yVal>
            <c:numRef>
              <c:f>vG_crest!$AN$28:$AN$45</c:f>
              <c:numCache>
                <c:formatCode>General</c:formatCode>
                <c:ptCount val="18"/>
                <c:pt idx="0">
                  <c:v>-0.47272727272727272</c:v>
                </c:pt>
                <c:pt idx="2">
                  <c:v>-0.5</c:v>
                </c:pt>
                <c:pt idx="3">
                  <c:v>-0.52777777777777779</c:v>
                </c:pt>
                <c:pt idx="4">
                  <c:v>-0.40243902439024382</c:v>
                </c:pt>
                <c:pt idx="5">
                  <c:v>-0.45882352941176474</c:v>
                </c:pt>
                <c:pt idx="6">
                  <c:v>-0.51282051282051289</c:v>
                </c:pt>
                <c:pt idx="7">
                  <c:v>-0.46478873239436619</c:v>
                </c:pt>
                <c:pt idx="8">
                  <c:v>-0.47142857142857142</c:v>
                </c:pt>
                <c:pt idx="9">
                  <c:v>-0.4038461538461538</c:v>
                </c:pt>
                <c:pt idx="10">
                  <c:v>-0.48672566371681419</c:v>
                </c:pt>
                <c:pt idx="11">
                  <c:v>-0.49484536082474218</c:v>
                </c:pt>
                <c:pt idx="12">
                  <c:v>-0.49382716049382719</c:v>
                </c:pt>
                <c:pt idx="13">
                  <c:v>-0.53424657534246578</c:v>
                </c:pt>
                <c:pt idx="14">
                  <c:v>-0.52</c:v>
                </c:pt>
                <c:pt idx="15">
                  <c:v>-0.5</c:v>
                </c:pt>
                <c:pt idx="16">
                  <c:v>-0.42105263157894729</c:v>
                </c:pt>
                <c:pt idx="17">
                  <c:v>-1</c:v>
                </c:pt>
              </c:numCache>
            </c:numRef>
          </c:yVal>
          <c:smooth val="0"/>
        </c:ser>
        <c:ser>
          <c:idx val="1"/>
          <c:order val="2"/>
          <c:tx>
            <c:v>C</c:v>
          </c:tx>
          <c:spPr>
            <a:ln w="28575">
              <a:noFill/>
            </a:ln>
          </c:spPr>
          <c:marker>
            <c:symbol val="triang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vG_crest!$AS$50:$AS$67</c:f>
              <c:numCache>
                <c:formatCode>General</c:formatCode>
                <c:ptCount val="18"/>
                <c:pt idx="0">
                  <c:v>1.3492063492063491</c:v>
                </c:pt>
                <c:pt idx="2">
                  <c:v>0.51724137931034497</c:v>
                </c:pt>
                <c:pt idx="4">
                  <c:v>0.36567164179104472</c:v>
                </c:pt>
                <c:pt idx="5">
                  <c:v>0.75268817204301053</c:v>
                </c:pt>
                <c:pt idx="7">
                  <c:v>0.52136752136752151</c:v>
                </c:pt>
                <c:pt idx="8">
                  <c:v>1.0933333333333335</c:v>
                </c:pt>
                <c:pt idx="9">
                  <c:v>0.49579831932773116</c:v>
                </c:pt>
                <c:pt idx="10">
                  <c:v>0.55357142857142838</c:v>
                </c:pt>
                <c:pt idx="11">
                  <c:v>0.64705882352941169</c:v>
                </c:pt>
                <c:pt idx="12">
                  <c:v>0.66666666666666685</c:v>
                </c:pt>
                <c:pt idx="13">
                  <c:v>0.82022471910112371</c:v>
                </c:pt>
                <c:pt idx="14">
                  <c:v>1.2686567164179103</c:v>
                </c:pt>
                <c:pt idx="15">
                  <c:v>1.375</c:v>
                </c:pt>
                <c:pt idx="16">
                  <c:v>0</c:v>
                </c:pt>
              </c:numCache>
            </c:numRef>
          </c:xVal>
          <c:yVal>
            <c:numRef>
              <c:f>vG_crest!$AN$50:$AN$67</c:f>
              <c:numCache>
                <c:formatCode>General</c:formatCode>
                <c:ptCount val="18"/>
                <c:pt idx="0">
                  <c:v>-0.56923076923076921</c:v>
                </c:pt>
                <c:pt idx="2">
                  <c:v>-0.3428571428571428</c:v>
                </c:pt>
                <c:pt idx="4">
                  <c:v>-0.20422535211267598</c:v>
                </c:pt>
                <c:pt idx="5">
                  <c:v>-0.4731182795698925</c:v>
                </c:pt>
                <c:pt idx="7">
                  <c:v>-0.35772357723577236</c:v>
                </c:pt>
                <c:pt idx="8">
                  <c:v>-0.56962025316455689</c:v>
                </c:pt>
                <c:pt idx="9">
                  <c:v>-0.32214765100671144</c:v>
                </c:pt>
                <c:pt idx="10">
                  <c:v>-0.36974789915966388</c:v>
                </c:pt>
                <c:pt idx="11">
                  <c:v>-0.43396226415094336</c:v>
                </c:pt>
                <c:pt idx="12">
                  <c:v>-0.43564356435643559</c:v>
                </c:pt>
                <c:pt idx="13">
                  <c:v>-0.5</c:v>
                </c:pt>
                <c:pt idx="14">
                  <c:v>-0.60317460317460314</c:v>
                </c:pt>
                <c:pt idx="15">
                  <c:v>-0.58620689655172409</c:v>
                </c:pt>
                <c:pt idx="16">
                  <c:v>-1</c:v>
                </c:pt>
                <c:pt idx="17">
                  <c:v>-1</c:v>
                </c:pt>
              </c:numCache>
            </c:numRef>
          </c:yVal>
          <c:smooth val="0"/>
        </c:ser>
        <c:ser>
          <c:idx val="3"/>
          <c:order val="3"/>
          <c:tx>
            <c:v>D</c:v>
          </c:tx>
          <c:spPr>
            <a:ln w="28575">
              <a:noFill/>
            </a:ln>
          </c:spPr>
          <c:marker>
            <c:symbol val="circ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vG_crest!$AS$72:$AS$89</c:f>
              <c:numCache>
                <c:formatCode>General</c:formatCode>
                <c:ptCount val="18"/>
                <c:pt idx="0">
                  <c:v>1.1228070175438598</c:v>
                </c:pt>
                <c:pt idx="2">
                  <c:v>0.6271186440677966</c:v>
                </c:pt>
                <c:pt idx="4">
                  <c:v>0.5714285714285714</c:v>
                </c:pt>
                <c:pt idx="5">
                  <c:v>0.91208791208791207</c:v>
                </c:pt>
                <c:pt idx="7">
                  <c:v>0.6576576576576576</c:v>
                </c:pt>
                <c:pt idx="8">
                  <c:v>1.0133333333333334</c:v>
                </c:pt>
                <c:pt idx="9">
                  <c:v>0.76635514018691564</c:v>
                </c:pt>
                <c:pt idx="10">
                  <c:v>0.67567567567567566</c:v>
                </c:pt>
                <c:pt idx="11">
                  <c:v>0.7047619047619047</c:v>
                </c:pt>
                <c:pt idx="12">
                  <c:v>0.84946236559139776</c:v>
                </c:pt>
                <c:pt idx="13">
                  <c:v>0.95121951219512213</c:v>
                </c:pt>
                <c:pt idx="14">
                  <c:v>1.1076923076923078</c:v>
                </c:pt>
                <c:pt idx="15">
                  <c:v>1.1935483870967745</c:v>
                </c:pt>
              </c:numCache>
            </c:numRef>
          </c:xVal>
          <c:yVal>
            <c:numRef>
              <c:f>vG_crest!$AN$72:$AN$89</c:f>
              <c:numCache>
                <c:formatCode>General</c:formatCode>
                <c:ptCount val="18"/>
                <c:pt idx="0">
                  <c:v>-0.47169811320754718</c:v>
                </c:pt>
                <c:pt idx="2">
                  <c:v>-0.31521739130434778</c:v>
                </c:pt>
                <c:pt idx="3">
                  <c:v>-0.55263157894736836</c:v>
                </c:pt>
                <c:pt idx="4">
                  <c:v>-0.22307692307692312</c:v>
                </c:pt>
                <c:pt idx="5">
                  <c:v>-0.41249999999999998</c:v>
                </c:pt>
                <c:pt idx="6">
                  <c:v>-0.59459459459459463</c:v>
                </c:pt>
                <c:pt idx="7">
                  <c:v>-0.32380952380952382</c:v>
                </c:pt>
                <c:pt idx="8">
                  <c:v>-0.44117647058823528</c:v>
                </c:pt>
                <c:pt idx="9">
                  <c:v>-0.34375</c:v>
                </c:pt>
                <c:pt idx="10">
                  <c:v>-0.36274509803921562</c:v>
                </c:pt>
                <c:pt idx="11">
                  <c:v>-0.34831460674157311</c:v>
                </c:pt>
                <c:pt idx="12">
                  <c:v>-0.37974683544303794</c:v>
                </c:pt>
                <c:pt idx="13">
                  <c:v>-0.37313432835820892</c:v>
                </c:pt>
                <c:pt idx="14">
                  <c:v>-0.50877192982456143</c:v>
                </c:pt>
                <c:pt idx="15">
                  <c:v>-0.48076923076923073</c:v>
                </c:pt>
                <c:pt idx="16">
                  <c:v>-1</c:v>
                </c:pt>
                <c:pt idx="17">
                  <c:v>-1</c:v>
                </c:pt>
              </c:numCache>
            </c:numRef>
          </c:yVal>
          <c:smooth val="0"/>
        </c:ser>
        <c:ser>
          <c:idx val="4"/>
          <c:order val="4"/>
          <c:spPr>
            <a:ln w="28575">
              <a:noFill/>
            </a:ln>
          </c:spPr>
          <c:marker>
            <c:symbol val="diamond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vG_crest!$AT$6:$AT$23</c:f>
              <c:numCache>
                <c:formatCode>General</c:formatCode>
                <c:ptCount val="18"/>
                <c:pt idx="0">
                  <c:v>0.64864864864864857</c:v>
                </c:pt>
                <c:pt idx="2">
                  <c:v>0.76428571428571457</c:v>
                </c:pt>
                <c:pt idx="4">
                  <c:v>0.75796178343949028</c:v>
                </c:pt>
                <c:pt idx="5">
                  <c:v>0.83606557377049207</c:v>
                </c:pt>
                <c:pt idx="6">
                  <c:v>0.52499999999999991</c:v>
                </c:pt>
                <c:pt idx="7">
                  <c:v>0.8125</c:v>
                </c:pt>
                <c:pt idx="8">
                  <c:v>0.73170731707317072</c:v>
                </c:pt>
                <c:pt idx="9">
                  <c:v>0.71621621621621623</c:v>
                </c:pt>
                <c:pt idx="10">
                  <c:v>0.79562043795620419</c:v>
                </c:pt>
                <c:pt idx="11">
                  <c:v>0.79411764705882337</c:v>
                </c:pt>
                <c:pt idx="12">
                  <c:v>0.81102362204724388</c:v>
                </c:pt>
                <c:pt idx="13">
                  <c:v>0.81147540983606559</c:v>
                </c:pt>
                <c:pt idx="14">
                  <c:v>0.71028037383177567</c:v>
                </c:pt>
                <c:pt idx="15">
                  <c:v>0.78431372549019607</c:v>
                </c:pt>
              </c:numCache>
            </c:numRef>
          </c:xVal>
          <c:yVal>
            <c:numRef>
              <c:f>vG_crest!$AP$6:$AP$23</c:f>
              <c:numCache>
                <c:formatCode>General</c:formatCode>
                <c:ptCount val="18"/>
                <c:pt idx="0">
                  <c:v>-0.6</c:v>
                </c:pt>
                <c:pt idx="2">
                  <c:v>-0.54761904761904756</c:v>
                </c:pt>
                <c:pt idx="3">
                  <c:v>-0.59183673469387754</c:v>
                </c:pt>
                <c:pt idx="4">
                  <c:v>-0.45454545454545447</c:v>
                </c:pt>
                <c:pt idx="5">
                  <c:v>-0.6</c:v>
                </c:pt>
                <c:pt idx="6">
                  <c:v>-0.51111111111111107</c:v>
                </c:pt>
                <c:pt idx="7">
                  <c:v>-0.59235668789808915</c:v>
                </c:pt>
                <c:pt idx="8">
                  <c:v>-0.54651162790697672</c:v>
                </c:pt>
                <c:pt idx="9">
                  <c:v>-0.46250000000000002</c:v>
                </c:pt>
                <c:pt idx="10">
                  <c:v>-0.58156028368794321</c:v>
                </c:pt>
                <c:pt idx="11">
                  <c:v>-0.5847457627118644</c:v>
                </c:pt>
                <c:pt idx="12">
                  <c:v>-0.58762886597938147</c:v>
                </c:pt>
                <c:pt idx="13">
                  <c:v>-0.58024691358024683</c:v>
                </c:pt>
                <c:pt idx="14">
                  <c:v>-0.56521739130434789</c:v>
                </c:pt>
                <c:pt idx="15">
                  <c:v>-0.60606060606060608</c:v>
                </c:pt>
                <c:pt idx="16">
                  <c:v>-0.55172413793103448</c:v>
                </c:pt>
                <c:pt idx="17">
                  <c:v>-0.59375</c:v>
                </c:pt>
              </c:numCache>
            </c:numRef>
          </c:yVal>
          <c:smooth val="0"/>
        </c:ser>
        <c:ser>
          <c:idx val="5"/>
          <c:order val="5"/>
          <c:spPr>
            <a:ln w="28575">
              <a:noFill/>
            </a:ln>
          </c:spPr>
          <c:marker>
            <c:symbol val="diamond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vG_crest!$AU$6:$AU$23</c:f>
              <c:numCache>
                <c:formatCode>General</c:formatCode>
                <c:ptCount val="18"/>
                <c:pt idx="0">
                  <c:v>0.64864864864864857</c:v>
                </c:pt>
                <c:pt idx="2">
                  <c:v>0.86428571428571432</c:v>
                </c:pt>
                <c:pt idx="4">
                  <c:v>0.86624203821656054</c:v>
                </c:pt>
                <c:pt idx="5">
                  <c:v>0.81967213114754123</c:v>
                </c:pt>
                <c:pt idx="7">
                  <c:v>0.81944444444444453</c:v>
                </c:pt>
                <c:pt idx="8">
                  <c:v>0.7642276422764227</c:v>
                </c:pt>
                <c:pt idx="9">
                  <c:v>0.83783783783783794</c:v>
                </c:pt>
                <c:pt idx="10">
                  <c:v>0.8759124087591238</c:v>
                </c:pt>
                <c:pt idx="11">
                  <c:v>0.76470588235294101</c:v>
                </c:pt>
                <c:pt idx="12">
                  <c:v>0.75590551181102361</c:v>
                </c:pt>
                <c:pt idx="13">
                  <c:v>0.65573770491803285</c:v>
                </c:pt>
                <c:pt idx="14">
                  <c:v>0.65420560747663548</c:v>
                </c:pt>
                <c:pt idx="15">
                  <c:v>0.75490196078431371</c:v>
                </c:pt>
              </c:numCache>
            </c:numRef>
          </c:xVal>
          <c:yVal>
            <c:numRef>
              <c:f>vG_crest!$AR$6:$AR$23</c:f>
              <c:numCache>
                <c:formatCode>General</c:formatCode>
                <c:ptCount val="18"/>
                <c:pt idx="0">
                  <c:v>-0.66153846153846152</c:v>
                </c:pt>
                <c:pt idx="2">
                  <c:v>-0.65873015873015883</c:v>
                </c:pt>
                <c:pt idx="3">
                  <c:v>-0.65306122448979587</c:v>
                </c:pt>
                <c:pt idx="4">
                  <c:v>-0.60287081339712911</c:v>
                </c:pt>
                <c:pt idx="5">
                  <c:v>-0.62105263157894741</c:v>
                </c:pt>
                <c:pt idx="6">
                  <c:v>-0.68888888888888888</c:v>
                </c:pt>
                <c:pt idx="7">
                  <c:v>-0.64968152866242035</c:v>
                </c:pt>
                <c:pt idx="8">
                  <c:v>-0.67441860465116277</c:v>
                </c:pt>
                <c:pt idx="9">
                  <c:v>-0.625</c:v>
                </c:pt>
                <c:pt idx="10">
                  <c:v>-0.67375886524822692</c:v>
                </c:pt>
                <c:pt idx="11">
                  <c:v>-0.63559322033898313</c:v>
                </c:pt>
                <c:pt idx="12">
                  <c:v>-0.61855670103092775</c:v>
                </c:pt>
                <c:pt idx="13">
                  <c:v>-0.58024691358024683</c:v>
                </c:pt>
                <c:pt idx="14">
                  <c:v>-0.6811594202898551</c:v>
                </c:pt>
                <c:pt idx="15">
                  <c:v>-0.68181818181818188</c:v>
                </c:pt>
                <c:pt idx="16">
                  <c:v>-1</c:v>
                </c:pt>
                <c:pt idx="17">
                  <c:v>-1</c:v>
                </c:pt>
              </c:numCache>
            </c:numRef>
          </c:yVal>
          <c:smooth val="0"/>
        </c:ser>
        <c:ser>
          <c:idx val="6"/>
          <c:order val="6"/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vG_crest!$AT$28:$AT$45</c:f>
              <c:numCache>
                <c:formatCode>General</c:formatCode>
                <c:ptCount val="18"/>
                <c:pt idx="0">
                  <c:v>0.26016260162601629</c:v>
                </c:pt>
                <c:pt idx="2">
                  <c:v>0.61643835616438347</c:v>
                </c:pt>
                <c:pt idx="3">
                  <c:v>0.20202020202020199</c:v>
                </c:pt>
                <c:pt idx="4">
                  <c:v>0.67532467532467533</c:v>
                </c:pt>
                <c:pt idx="5">
                  <c:v>0.4477611940298506</c:v>
                </c:pt>
                <c:pt idx="7">
                  <c:v>0.676056338028169</c:v>
                </c:pt>
                <c:pt idx="8">
                  <c:v>0.42635658914728686</c:v>
                </c:pt>
                <c:pt idx="9">
                  <c:v>0.65986394557823125</c:v>
                </c:pt>
                <c:pt idx="10">
                  <c:v>0.57534246575342463</c:v>
                </c:pt>
                <c:pt idx="11">
                  <c:v>0.57037037037037031</c:v>
                </c:pt>
                <c:pt idx="12">
                  <c:v>0.47407407407407398</c:v>
                </c:pt>
                <c:pt idx="13">
                  <c:v>0.41353383458646603</c:v>
                </c:pt>
                <c:pt idx="14">
                  <c:v>0.33333333333333348</c:v>
                </c:pt>
                <c:pt idx="15">
                  <c:v>0.38738738738738732</c:v>
                </c:pt>
                <c:pt idx="16">
                  <c:v>0</c:v>
                </c:pt>
              </c:numCache>
            </c:numRef>
          </c:xVal>
          <c:yVal>
            <c:numRef>
              <c:f>vG_crest!$AP$28:$AP$45</c:f>
              <c:numCache>
                <c:formatCode>General</c:formatCode>
                <c:ptCount val="18"/>
                <c:pt idx="0">
                  <c:v>-0.49090909090909096</c:v>
                </c:pt>
                <c:pt idx="2">
                  <c:v>-0.50909090909090904</c:v>
                </c:pt>
                <c:pt idx="3">
                  <c:v>-0.41666666666666663</c:v>
                </c:pt>
                <c:pt idx="4">
                  <c:v>-0.51829268292682917</c:v>
                </c:pt>
                <c:pt idx="5">
                  <c:v>-0.49411764705882355</c:v>
                </c:pt>
                <c:pt idx="6">
                  <c:v>-0.53846153846153844</c:v>
                </c:pt>
                <c:pt idx="7">
                  <c:v>-0.54225352112676051</c:v>
                </c:pt>
                <c:pt idx="8">
                  <c:v>-0.41428571428571431</c:v>
                </c:pt>
                <c:pt idx="9">
                  <c:v>-0.52564102564102566</c:v>
                </c:pt>
                <c:pt idx="10">
                  <c:v>-0.49557522123893805</c:v>
                </c:pt>
                <c:pt idx="11">
                  <c:v>-0.51546391752577314</c:v>
                </c:pt>
                <c:pt idx="12">
                  <c:v>-0.44444444444444442</c:v>
                </c:pt>
                <c:pt idx="13">
                  <c:v>-0.49315068493150682</c:v>
                </c:pt>
                <c:pt idx="14">
                  <c:v>-0.38</c:v>
                </c:pt>
                <c:pt idx="15">
                  <c:v>-0.44000000000000006</c:v>
                </c:pt>
                <c:pt idx="16">
                  <c:v>-0.31578947368421045</c:v>
                </c:pt>
                <c:pt idx="17">
                  <c:v>-0.26666666666666661</c:v>
                </c:pt>
              </c:numCache>
            </c:numRef>
          </c:yVal>
          <c:smooth val="0"/>
        </c:ser>
        <c:ser>
          <c:idx val="7"/>
          <c:order val="7"/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vG_crest!$AU$28:$AU$45</c:f>
              <c:numCache>
                <c:formatCode>General</c:formatCode>
                <c:ptCount val="18"/>
                <c:pt idx="0">
                  <c:v>0.1951219512195122</c:v>
                </c:pt>
                <c:pt idx="2">
                  <c:v>0.57534246575342463</c:v>
                </c:pt>
                <c:pt idx="4">
                  <c:v>0.66883116883116867</c:v>
                </c:pt>
                <c:pt idx="5">
                  <c:v>0.54477611940298487</c:v>
                </c:pt>
                <c:pt idx="7">
                  <c:v>0.71126760563380298</c:v>
                </c:pt>
                <c:pt idx="8">
                  <c:v>0.40310077519379844</c:v>
                </c:pt>
                <c:pt idx="9">
                  <c:v>0.67346938775510201</c:v>
                </c:pt>
                <c:pt idx="10">
                  <c:v>0.60273972602739723</c:v>
                </c:pt>
                <c:pt idx="11">
                  <c:v>0.54814814814814794</c:v>
                </c:pt>
                <c:pt idx="12">
                  <c:v>0.52592592592592591</c:v>
                </c:pt>
                <c:pt idx="13">
                  <c:v>0.42857142857142844</c:v>
                </c:pt>
                <c:pt idx="14">
                  <c:v>0.43589743589743596</c:v>
                </c:pt>
                <c:pt idx="15">
                  <c:v>0.37837837837837829</c:v>
                </c:pt>
                <c:pt idx="16">
                  <c:v>0</c:v>
                </c:pt>
              </c:numCache>
            </c:numRef>
          </c:xVal>
          <c:yVal>
            <c:numRef>
              <c:f>vG_crest!$AR$28:$AR$45</c:f>
              <c:numCache>
                <c:formatCode>General</c:formatCode>
                <c:ptCount val="18"/>
                <c:pt idx="0">
                  <c:v>-0.54545454545454541</c:v>
                </c:pt>
                <c:pt idx="2">
                  <c:v>-0.55454545454545456</c:v>
                </c:pt>
                <c:pt idx="3">
                  <c:v>-0.52777777777777779</c:v>
                </c:pt>
                <c:pt idx="4">
                  <c:v>-0.59756097560975607</c:v>
                </c:pt>
                <c:pt idx="5">
                  <c:v>-0.58823529411764708</c:v>
                </c:pt>
                <c:pt idx="6">
                  <c:v>-1</c:v>
                </c:pt>
                <c:pt idx="7">
                  <c:v>-0.60563380281690138</c:v>
                </c:pt>
                <c:pt idx="8">
                  <c:v>-0.5</c:v>
                </c:pt>
                <c:pt idx="9">
                  <c:v>-0.57692307692307698</c:v>
                </c:pt>
                <c:pt idx="10">
                  <c:v>-0.5663716814159292</c:v>
                </c:pt>
                <c:pt idx="11">
                  <c:v>-0.53608247422680411</c:v>
                </c:pt>
                <c:pt idx="12">
                  <c:v>-0.54320987654320985</c:v>
                </c:pt>
                <c:pt idx="13">
                  <c:v>-0.53424657534246578</c:v>
                </c:pt>
                <c:pt idx="14">
                  <c:v>-0.52</c:v>
                </c:pt>
                <c:pt idx="15">
                  <c:v>-0.55999999999999994</c:v>
                </c:pt>
                <c:pt idx="16">
                  <c:v>-1</c:v>
                </c:pt>
                <c:pt idx="17">
                  <c:v>-1</c:v>
                </c:pt>
              </c:numCache>
            </c:numRef>
          </c:yVal>
          <c:smooth val="0"/>
        </c:ser>
        <c:ser>
          <c:idx val="8"/>
          <c:order val="8"/>
          <c:spPr>
            <a:ln w="28575">
              <a:noFill/>
            </a:ln>
          </c:spPr>
          <c:marker>
            <c:symbol val="triang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vG_crest!$AT$50:$AT$67</c:f>
              <c:numCache>
                <c:formatCode>General</c:formatCode>
                <c:ptCount val="18"/>
                <c:pt idx="0">
                  <c:v>1.6031746031746028</c:v>
                </c:pt>
                <c:pt idx="2">
                  <c:v>0.89655172413793127</c:v>
                </c:pt>
                <c:pt idx="4">
                  <c:v>0.82835820895522394</c:v>
                </c:pt>
                <c:pt idx="5">
                  <c:v>1.1290322580645158</c:v>
                </c:pt>
                <c:pt idx="7">
                  <c:v>0.97435897435897456</c:v>
                </c:pt>
                <c:pt idx="8">
                  <c:v>1.3466666666666667</c:v>
                </c:pt>
                <c:pt idx="9">
                  <c:v>1.0840336134453783</c:v>
                </c:pt>
                <c:pt idx="10">
                  <c:v>1.0178571428571426</c:v>
                </c:pt>
                <c:pt idx="11">
                  <c:v>1.1666666666666665</c:v>
                </c:pt>
                <c:pt idx="12">
                  <c:v>1.0208333333333333</c:v>
                </c:pt>
                <c:pt idx="13">
                  <c:v>1.0449438202247192</c:v>
                </c:pt>
                <c:pt idx="14">
                  <c:v>1.4477611940298505</c:v>
                </c:pt>
                <c:pt idx="15">
                  <c:v>1.5178571428571426</c:v>
                </c:pt>
                <c:pt idx="16">
                  <c:v>0</c:v>
                </c:pt>
              </c:numCache>
            </c:numRef>
          </c:xVal>
          <c:yVal>
            <c:numRef>
              <c:f>vG_crest!$AP$50:$AP$67</c:f>
              <c:numCache>
                <c:formatCode>General</c:formatCode>
                <c:ptCount val="18"/>
                <c:pt idx="0">
                  <c:v>-0.56923076923076921</c:v>
                </c:pt>
                <c:pt idx="2">
                  <c:v>-0.45714285714285713</c:v>
                </c:pt>
                <c:pt idx="3">
                  <c:v>-0.59523809523809523</c:v>
                </c:pt>
                <c:pt idx="4">
                  <c:v>-0.37323943661971826</c:v>
                </c:pt>
                <c:pt idx="5">
                  <c:v>-0.53763440860215062</c:v>
                </c:pt>
                <c:pt idx="6">
                  <c:v>-0.7142857142857143</c:v>
                </c:pt>
                <c:pt idx="7">
                  <c:v>-0.47967479674796748</c:v>
                </c:pt>
                <c:pt idx="8">
                  <c:v>-0.56962025316455689</c:v>
                </c:pt>
                <c:pt idx="9">
                  <c:v>-0.55033557046979864</c:v>
                </c:pt>
                <c:pt idx="10">
                  <c:v>-0.48739495798319332</c:v>
                </c:pt>
                <c:pt idx="11">
                  <c:v>-0.51886792452830188</c:v>
                </c:pt>
                <c:pt idx="12">
                  <c:v>-0.55445544554455439</c:v>
                </c:pt>
                <c:pt idx="13">
                  <c:v>-0.52631578947368418</c:v>
                </c:pt>
                <c:pt idx="14">
                  <c:v>-0.61904761904761907</c:v>
                </c:pt>
                <c:pt idx="15">
                  <c:v>-0.60344827586206895</c:v>
                </c:pt>
                <c:pt idx="16">
                  <c:v>-1</c:v>
                </c:pt>
              </c:numCache>
            </c:numRef>
          </c:yVal>
          <c:smooth val="0"/>
        </c:ser>
        <c:ser>
          <c:idx val="9"/>
          <c:order val="9"/>
          <c:spPr>
            <a:ln w="28575">
              <a:noFill/>
            </a:ln>
          </c:spPr>
          <c:marker>
            <c:symbol val="triang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vG_crest!$AU$50:$AU$67</c:f>
              <c:numCache>
                <c:formatCode>General</c:formatCode>
                <c:ptCount val="18"/>
                <c:pt idx="0">
                  <c:v>1.2857142857142856</c:v>
                </c:pt>
                <c:pt idx="7">
                  <c:v>1.0256410256410258</c:v>
                </c:pt>
                <c:pt idx="8">
                  <c:v>1.0933333333333335</c:v>
                </c:pt>
                <c:pt idx="9">
                  <c:v>1.0756302521008405</c:v>
                </c:pt>
                <c:pt idx="10">
                  <c:v>1</c:v>
                </c:pt>
                <c:pt idx="11">
                  <c:v>1.0980392156862746</c:v>
                </c:pt>
                <c:pt idx="12">
                  <c:v>1.0104166666666667</c:v>
                </c:pt>
                <c:pt idx="13">
                  <c:v>0.96629213483146059</c:v>
                </c:pt>
                <c:pt idx="15">
                  <c:v>1.214285714285714</c:v>
                </c:pt>
                <c:pt idx="16">
                  <c:v>0</c:v>
                </c:pt>
              </c:numCache>
            </c:numRef>
          </c:xVal>
          <c:yVal>
            <c:numRef>
              <c:f>vG_crest!$AR$50:$AR$67</c:f>
              <c:numCache>
                <c:formatCode>General</c:formatCode>
                <c:ptCount val="18"/>
                <c:pt idx="0">
                  <c:v>-0.64615384615384619</c:v>
                </c:pt>
                <c:pt idx="2">
                  <c:v>-0.51428571428571435</c:v>
                </c:pt>
                <c:pt idx="3">
                  <c:v>-0.66666666666666674</c:v>
                </c:pt>
                <c:pt idx="4">
                  <c:v>-0.44366197183098588</c:v>
                </c:pt>
                <c:pt idx="5">
                  <c:v>-0.53763440860215062</c:v>
                </c:pt>
                <c:pt idx="6">
                  <c:v>-1</c:v>
                </c:pt>
                <c:pt idx="7">
                  <c:v>-0.56910569105691056</c:v>
                </c:pt>
                <c:pt idx="8">
                  <c:v>-0.620253164556962</c:v>
                </c:pt>
                <c:pt idx="9">
                  <c:v>-0.57046979865771807</c:v>
                </c:pt>
                <c:pt idx="10">
                  <c:v>-0.52941176470588236</c:v>
                </c:pt>
                <c:pt idx="11">
                  <c:v>-0.54716981132075471</c:v>
                </c:pt>
                <c:pt idx="12">
                  <c:v>-0.5643564356435643</c:v>
                </c:pt>
                <c:pt idx="13">
                  <c:v>-0.60526315789473684</c:v>
                </c:pt>
                <c:pt idx="14">
                  <c:v>-0.68253968253968256</c:v>
                </c:pt>
                <c:pt idx="15">
                  <c:v>-0.63793103448275856</c:v>
                </c:pt>
                <c:pt idx="16">
                  <c:v>-1</c:v>
                </c:pt>
              </c:numCache>
            </c:numRef>
          </c:yVal>
          <c:smooth val="0"/>
        </c:ser>
        <c:ser>
          <c:idx val="10"/>
          <c:order val="10"/>
          <c:spPr>
            <a:ln w="28575">
              <a:noFill/>
            </a:ln>
          </c:spPr>
          <c:marker>
            <c:symbol val="circ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vG_crest!$AT$72:$AT$89</c:f>
              <c:numCache>
                <c:formatCode>General</c:formatCode>
                <c:ptCount val="18"/>
                <c:pt idx="0">
                  <c:v>1.2105263157894739</c:v>
                </c:pt>
                <c:pt idx="2">
                  <c:v>0.82203389830508478</c:v>
                </c:pt>
                <c:pt idx="4">
                  <c:v>0.74603174603174616</c:v>
                </c:pt>
                <c:pt idx="5">
                  <c:v>0.86813186813186805</c:v>
                </c:pt>
                <c:pt idx="7">
                  <c:v>0.79279279279279258</c:v>
                </c:pt>
                <c:pt idx="8">
                  <c:v>0.98666666666666669</c:v>
                </c:pt>
                <c:pt idx="9">
                  <c:v>0.96261682242990654</c:v>
                </c:pt>
                <c:pt idx="10">
                  <c:v>0.86486486486486458</c:v>
                </c:pt>
                <c:pt idx="11">
                  <c:v>0.86666666666666659</c:v>
                </c:pt>
                <c:pt idx="12">
                  <c:v>0.87096774193548376</c:v>
                </c:pt>
                <c:pt idx="13">
                  <c:v>0.98780487804878048</c:v>
                </c:pt>
                <c:pt idx="14">
                  <c:v>0.96923076923076923</c:v>
                </c:pt>
                <c:pt idx="15">
                  <c:v>1.0645161290322582</c:v>
                </c:pt>
              </c:numCache>
            </c:numRef>
          </c:xVal>
          <c:yVal>
            <c:numRef>
              <c:f>vG_crest!$AP$72:$AP$89</c:f>
              <c:numCache>
                <c:formatCode>General</c:formatCode>
                <c:ptCount val="18"/>
                <c:pt idx="0">
                  <c:v>-0.47169811320754718</c:v>
                </c:pt>
                <c:pt idx="2">
                  <c:v>-0.34782608695652167</c:v>
                </c:pt>
                <c:pt idx="3">
                  <c:v>-0.52631578947368418</c:v>
                </c:pt>
                <c:pt idx="4">
                  <c:v>-0.27692307692307688</c:v>
                </c:pt>
                <c:pt idx="5">
                  <c:v>-0.41249999999999998</c:v>
                </c:pt>
                <c:pt idx="6">
                  <c:v>-0.56756756756756754</c:v>
                </c:pt>
                <c:pt idx="7">
                  <c:v>-0.35238095238095241</c:v>
                </c:pt>
                <c:pt idx="8">
                  <c:v>-0.3970588235294118</c:v>
                </c:pt>
                <c:pt idx="9">
                  <c:v>-0.3984375</c:v>
                </c:pt>
                <c:pt idx="10">
                  <c:v>-0.37254901960784303</c:v>
                </c:pt>
                <c:pt idx="11">
                  <c:v>-0.37078651685393266</c:v>
                </c:pt>
                <c:pt idx="12">
                  <c:v>-0.37974683544303794</c:v>
                </c:pt>
                <c:pt idx="13">
                  <c:v>-0.37313432835820892</c:v>
                </c:pt>
                <c:pt idx="14">
                  <c:v>-0.45614035087719296</c:v>
                </c:pt>
                <c:pt idx="15">
                  <c:v>-0.44230769230769235</c:v>
                </c:pt>
              </c:numCache>
            </c:numRef>
          </c:yVal>
          <c:smooth val="0"/>
        </c:ser>
        <c:ser>
          <c:idx val="11"/>
          <c:order val="11"/>
          <c:spPr>
            <a:ln w="28575">
              <a:noFill/>
            </a:ln>
          </c:spPr>
          <c:marker>
            <c:symbol val="circ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vG_crest!$AU$72:$AU$89</c:f>
              <c:numCache>
                <c:formatCode>General</c:formatCode>
                <c:ptCount val="18"/>
                <c:pt idx="0">
                  <c:v>1.4385964912280702</c:v>
                </c:pt>
                <c:pt idx="2">
                  <c:v>0.89830508474576298</c:v>
                </c:pt>
                <c:pt idx="4">
                  <c:v>0.80952380952380931</c:v>
                </c:pt>
                <c:pt idx="5">
                  <c:v>1</c:v>
                </c:pt>
                <c:pt idx="7">
                  <c:v>0.88288288288288264</c:v>
                </c:pt>
                <c:pt idx="8">
                  <c:v>1.2</c:v>
                </c:pt>
                <c:pt idx="9">
                  <c:v>1.0747663551401869</c:v>
                </c:pt>
                <c:pt idx="10">
                  <c:v>0.90990990990990983</c:v>
                </c:pt>
                <c:pt idx="11">
                  <c:v>0.90476190476190466</c:v>
                </c:pt>
                <c:pt idx="12">
                  <c:v>1.0322580645161288</c:v>
                </c:pt>
                <c:pt idx="13">
                  <c:v>1.1585365853658538</c:v>
                </c:pt>
                <c:pt idx="14">
                  <c:v>1.1076923076923078</c:v>
                </c:pt>
                <c:pt idx="15">
                  <c:v>1.209677419354839</c:v>
                </c:pt>
              </c:numCache>
            </c:numRef>
          </c:xVal>
          <c:yVal>
            <c:numRef>
              <c:f>vG_crest!$AR$72:$AR$89</c:f>
              <c:numCache>
                <c:formatCode>General</c:formatCode>
                <c:ptCount val="18"/>
                <c:pt idx="0">
                  <c:v>-0.58490566037735847</c:v>
                </c:pt>
                <c:pt idx="2">
                  <c:v>-0.45652173913043476</c:v>
                </c:pt>
                <c:pt idx="3">
                  <c:v>-0.68421052631578938</c:v>
                </c:pt>
                <c:pt idx="4">
                  <c:v>-0.36153846153846148</c:v>
                </c:pt>
                <c:pt idx="5">
                  <c:v>-0.47499999999999998</c:v>
                </c:pt>
                <c:pt idx="6">
                  <c:v>-0.70270270270270274</c:v>
                </c:pt>
                <c:pt idx="7">
                  <c:v>-0.4</c:v>
                </c:pt>
                <c:pt idx="8">
                  <c:v>-0.48529411764705882</c:v>
                </c:pt>
                <c:pt idx="9">
                  <c:v>-0.4375</c:v>
                </c:pt>
                <c:pt idx="10">
                  <c:v>-0.43137254901960781</c:v>
                </c:pt>
                <c:pt idx="11">
                  <c:v>-0.4606741573033708</c:v>
                </c:pt>
                <c:pt idx="12">
                  <c:v>-0.49367088607594939</c:v>
                </c:pt>
                <c:pt idx="13">
                  <c:v>-0.46268656716417911</c:v>
                </c:pt>
                <c:pt idx="14">
                  <c:v>-0.54385964912280704</c:v>
                </c:pt>
                <c:pt idx="15">
                  <c:v>-0.55769230769230771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810880"/>
        <c:axId val="94813184"/>
      </c:scatterChart>
      <c:valAx>
        <c:axId val="94810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>
                    <a:latin typeface="Symbol" pitchFamily="18" charset="2"/>
                  </a:rPr>
                  <a:t>D</a:t>
                </a:r>
                <a:r>
                  <a:rPr lang="nl-NL"/>
                  <a:t>u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94813184"/>
        <c:crosses val="autoZero"/>
        <c:crossBetween val="midCat"/>
      </c:valAx>
      <c:valAx>
        <c:axId val="9481318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nl-NL">
                    <a:latin typeface="Symbol" pitchFamily="18" charset="2"/>
                  </a:rPr>
                  <a:t>D</a:t>
                </a:r>
                <a:r>
                  <a:rPr lang="nl-NL"/>
                  <a:t>h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94810880"/>
        <c:crosses val="autoZero"/>
        <c:crossBetween val="midCat"/>
        <c:majorUnit val="0.2"/>
      </c:valAx>
    </c:plotArea>
    <c:legend>
      <c:legendPos val="r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overlay val="0"/>
    </c:legend>
    <c:plotVisOnly val="1"/>
    <c:dispBlanksAs val="gap"/>
    <c:showDLblsOverMax val="0"/>
  </c:chart>
  <c:txPr>
    <a:bodyPr/>
    <a:lstStyle/>
    <a:p>
      <a:pPr>
        <a:defRPr sz="1200" b="0">
          <a:latin typeface="Arial" pitchFamily="34" charset="0"/>
          <a:cs typeface="Arial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nl-NL" sz="1200" baseline="0"/>
              <a:t>Water-layer thickness on landward-side slope</a:t>
            </a:r>
            <a:endParaRPr lang="nl-NL" sz="1200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A</c:v>
          </c:tx>
          <c:spPr>
            <a:ln w="28575">
              <a:noFill/>
            </a:ln>
          </c:spPr>
          <c:marker>
            <c:symbol val="diamond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vG_crest!$AM$50:$AM$67</c:f>
              <c:numCache>
                <c:formatCode>General</c:formatCode>
                <c:ptCount val="18"/>
                <c:pt idx="0">
                  <c:v>0.69444444444444453</c:v>
                </c:pt>
                <c:pt idx="1">
                  <c:v>0.71942446043165464</c:v>
                </c:pt>
                <c:pt idx="2">
                  <c:v>0.66666666666666674</c:v>
                </c:pt>
                <c:pt idx="3">
                  <c:v>0.70422535211267612</c:v>
                </c:pt>
                <c:pt idx="4">
                  <c:v>0.65359477124183007</c:v>
                </c:pt>
                <c:pt idx="5">
                  <c:v>0.68965517241379315</c:v>
                </c:pt>
                <c:pt idx="6">
                  <c:v>0.72463768115942029</c:v>
                </c:pt>
                <c:pt idx="7">
                  <c:v>0.6802721088435375</c:v>
                </c:pt>
                <c:pt idx="8">
                  <c:v>0.7142857142857143</c:v>
                </c:pt>
                <c:pt idx="9">
                  <c:v>0.69444444444444453</c:v>
                </c:pt>
                <c:pt idx="10">
                  <c:v>0.65789473684210531</c:v>
                </c:pt>
                <c:pt idx="11">
                  <c:v>0.67567567567567577</c:v>
                </c:pt>
                <c:pt idx="12">
                  <c:v>0.71942446043165464</c:v>
                </c:pt>
                <c:pt idx="13">
                  <c:v>0.76923076923076927</c:v>
                </c:pt>
                <c:pt idx="14">
                  <c:v>0.70422535211267612</c:v>
                </c:pt>
                <c:pt idx="15">
                  <c:v>0.72463768115942029</c:v>
                </c:pt>
                <c:pt idx="16">
                  <c:v>0.75187969924812026</c:v>
                </c:pt>
                <c:pt idx="17">
                  <c:v>0.79365079365079372</c:v>
                </c:pt>
              </c:numCache>
            </c:numRef>
          </c:xVal>
          <c:yVal>
            <c:numRef>
              <c:f>vG_crest!$AN$6:$AN$23</c:f>
              <c:numCache>
                <c:formatCode>General</c:formatCode>
                <c:ptCount val="18"/>
                <c:pt idx="0">
                  <c:v>-0.53846153846153844</c:v>
                </c:pt>
                <c:pt idx="2">
                  <c:v>-0.42063492063492064</c:v>
                </c:pt>
                <c:pt idx="3">
                  <c:v>-0.61224489795918369</c:v>
                </c:pt>
                <c:pt idx="4">
                  <c:v>-0.36363636363636354</c:v>
                </c:pt>
                <c:pt idx="5">
                  <c:v>-0.5368421052631579</c:v>
                </c:pt>
                <c:pt idx="6">
                  <c:v>-0.62222222222222223</c:v>
                </c:pt>
                <c:pt idx="7">
                  <c:v>-0.45222929936305734</c:v>
                </c:pt>
                <c:pt idx="8">
                  <c:v>-0.44186046511627908</c:v>
                </c:pt>
                <c:pt idx="9">
                  <c:v>-0.34375</c:v>
                </c:pt>
                <c:pt idx="10">
                  <c:v>-0.50354609929078009</c:v>
                </c:pt>
                <c:pt idx="11">
                  <c:v>-0.51694915254237295</c:v>
                </c:pt>
                <c:pt idx="12">
                  <c:v>-0.54639175257731953</c:v>
                </c:pt>
                <c:pt idx="13">
                  <c:v>-0.59259259259259256</c:v>
                </c:pt>
                <c:pt idx="14">
                  <c:v>-0.52173913043478271</c:v>
                </c:pt>
                <c:pt idx="15">
                  <c:v>-0.5757575757575758</c:v>
                </c:pt>
                <c:pt idx="16">
                  <c:v>-0.58620689655172409</c:v>
                </c:pt>
                <c:pt idx="17">
                  <c:v>-0.65625</c:v>
                </c:pt>
              </c:numCache>
            </c:numRef>
          </c:yVal>
          <c:smooth val="0"/>
        </c:ser>
        <c:ser>
          <c:idx val="0"/>
          <c:order val="1"/>
          <c:spPr>
            <a:ln w="28575">
              <a:noFill/>
            </a:ln>
          </c:spPr>
          <c:marker>
            <c:symbol val="diamond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vG_crest!$AO$50:$AO$67</c:f>
              <c:numCache>
                <c:formatCode>General</c:formatCode>
                <c:ptCount val="18"/>
                <c:pt idx="0">
                  <c:v>1.7361111111111112</c:v>
                </c:pt>
                <c:pt idx="1">
                  <c:v>1.7985611510791366</c:v>
                </c:pt>
                <c:pt idx="2">
                  <c:v>1.6666666666666667</c:v>
                </c:pt>
                <c:pt idx="3">
                  <c:v>1.7605633802816902</c:v>
                </c:pt>
                <c:pt idx="4">
                  <c:v>1.6339869281045751</c:v>
                </c:pt>
                <c:pt idx="5">
                  <c:v>1.7241379310344829</c:v>
                </c:pt>
                <c:pt idx="6">
                  <c:v>1.8115942028985506</c:v>
                </c:pt>
                <c:pt idx="7">
                  <c:v>1.7006802721088436</c:v>
                </c:pt>
                <c:pt idx="8">
                  <c:v>1.7857142857142856</c:v>
                </c:pt>
                <c:pt idx="9">
                  <c:v>1.7361111111111112</c:v>
                </c:pt>
                <c:pt idx="10">
                  <c:v>1.6447368421052633</c:v>
                </c:pt>
                <c:pt idx="11">
                  <c:v>1.6891891891891893</c:v>
                </c:pt>
                <c:pt idx="12">
                  <c:v>1.7985611510791366</c:v>
                </c:pt>
                <c:pt idx="13">
                  <c:v>1.9230769230769229</c:v>
                </c:pt>
                <c:pt idx="14">
                  <c:v>1.7605633802816902</c:v>
                </c:pt>
                <c:pt idx="15">
                  <c:v>1.8115942028985506</c:v>
                </c:pt>
                <c:pt idx="16">
                  <c:v>1.8796992481203008</c:v>
                </c:pt>
                <c:pt idx="17">
                  <c:v>1.9841269841269842</c:v>
                </c:pt>
              </c:numCache>
            </c:numRef>
          </c:xVal>
          <c:yVal>
            <c:numRef>
              <c:f>vG_crest!$AP$6:$AP$23</c:f>
              <c:numCache>
                <c:formatCode>General</c:formatCode>
                <c:ptCount val="18"/>
                <c:pt idx="0">
                  <c:v>-0.6</c:v>
                </c:pt>
                <c:pt idx="2">
                  <c:v>-0.54761904761904756</c:v>
                </c:pt>
                <c:pt idx="3">
                  <c:v>-0.59183673469387754</c:v>
                </c:pt>
                <c:pt idx="4">
                  <c:v>-0.45454545454545447</c:v>
                </c:pt>
                <c:pt idx="5">
                  <c:v>-0.6</c:v>
                </c:pt>
                <c:pt idx="6">
                  <c:v>-0.51111111111111107</c:v>
                </c:pt>
                <c:pt idx="7">
                  <c:v>-0.59235668789808915</c:v>
                </c:pt>
                <c:pt idx="8">
                  <c:v>-0.54651162790697672</c:v>
                </c:pt>
                <c:pt idx="9">
                  <c:v>-0.46250000000000002</c:v>
                </c:pt>
                <c:pt idx="10">
                  <c:v>-0.58156028368794321</c:v>
                </c:pt>
                <c:pt idx="11">
                  <c:v>-0.5847457627118644</c:v>
                </c:pt>
                <c:pt idx="12">
                  <c:v>-0.58762886597938147</c:v>
                </c:pt>
                <c:pt idx="13">
                  <c:v>-0.58024691358024683</c:v>
                </c:pt>
                <c:pt idx="14">
                  <c:v>-0.56521739130434789</c:v>
                </c:pt>
                <c:pt idx="15">
                  <c:v>-0.60606060606060608</c:v>
                </c:pt>
                <c:pt idx="16">
                  <c:v>-0.55172413793103448</c:v>
                </c:pt>
                <c:pt idx="17">
                  <c:v>-0.59375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marker>
            <c:symbol val="diamond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vG_crest!$AQ$50:$AQ$67</c:f>
              <c:numCache>
                <c:formatCode>General</c:formatCode>
                <c:ptCount val="18"/>
                <c:pt idx="0">
                  <c:v>2.7777777777777781</c:v>
                </c:pt>
                <c:pt idx="1">
                  <c:v>2.8776978417266186</c:v>
                </c:pt>
                <c:pt idx="2">
                  <c:v>2.666666666666667</c:v>
                </c:pt>
                <c:pt idx="3">
                  <c:v>2.8169014084507045</c:v>
                </c:pt>
                <c:pt idx="4">
                  <c:v>2.6143790849673203</c:v>
                </c:pt>
                <c:pt idx="5">
                  <c:v>2.7586206896551726</c:v>
                </c:pt>
                <c:pt idx="6">
                  <c:v>2.8985507246376812</c:v>
                </c:pt>
                <c:pt idx="7">
                  <c:v>2.72108843537415</c:v>
                </c:pt>
                <c:pt idx="8">
                  <c:v>2.8571428571428572</c:v>
                </c:pt>
                <c:pt idx="9">
                  <c:v>2.7777777777777781</c:v>
                </c:pt>
                <c:pt idx="10">
                  <c:v>2.6315789473684212</c:v>
                </c:pt>
                <c:pt idx="11">
                  <c:v>2.7027027027027031</c:v>
                </c:pt>
                <c:pt idx="12">
                  <c:v>2.8776978417266186</c:v>
                </c:pt>
                <c:pt idx="13">
                  <c:v>3.0769230769230771</c:v>
                </c:pt>
                <c:pt idx="14">
                  <c:v>2.8169014084507045</c:v>
                </c:pt>
                <c:pt idx="15">
                  <c:v>2.8985507246376812</c:v>
                </c:pt>
                <c:pt idx="16">
                  <c:v>3.007518796992481</c:v>
                </c:pt>
                <c:pt idx="17">
                  <c:v>3.1746031746031749</c:v>
                </c:pt>
              </c:numCache>
            </c:numRef>
          </c:xVal>
          <c:yVal>
            <c:numRef>
              <c:f>vG_crest!$AR$6:$AR$21</c:f>
              <c:numCache>
                <c:formatCode>General</c:formatCode>
                <c:ptCount val="16"/>
                <c:pt idx="0">
                  <c:v>-0.66153846153846152</c:v>
                </c:pt>
                <c:pt idx="2">
                  <c:v>-0.65873015873015883</c:v>
                </c:pt>
                <c:pt idx="3">
                  <c:v>-0.65306122448979587</c:v>
                </c:pt>
                <c:pt idx="4">
                  <c:v>-0.60287081339712911</c:v>
                </c:pt>
                <c:pt idx="5">
                  <c:v>-0.62105263157894741</c:v>
                </c:pt>
                <c:pt idx="6">
                  <c:v>-0.68888888888888888</c:v>
                </c:pt>
                <c:pt idx="7">
                  <c:v>-0.64968152866242035</c:v>
                </c:pt>
                <c:pt idx="8">
                  <c:v>-0.67441860465116277</c:v>
                </c:pt>
                <c:pt idx="9">
                  <c:v>-0.625</c:v>
                </c:pt>
                <c:pt idx="10">
                  <c:v>-0.67375886524822692</c:v>
                </c:pt>
                <c:pt idx="11">
                  <c:v>-0.63559322033898313</c:v>
                </c:pt>
                <c:pt idx="12">
                  <c:v>-0.61855670103092775</c:v>
                </c:pt>
                <c:pt idx="13">
                  <c:v>-0.58024691358024683</c:v>
                </c:pt>
                <c:pt idx="14">
                  <c:v>-0.6811594202898551</c:v>
                </c:pt>
                <c:pt idx="15">
                  <c:v>-0.68181818181818188</c:v>
                </c:pt>
              </c:numCache>
            </c:numRef>
          </c:yVal>
          <c:smooth val="0"/>
        </c:ser>
        <c:ser>
          <c:idx val="6"/>
          <c:order val="3"/>
          <c:tx>
            <c:v>C</c:v>
          </c:tx>
          <c:spPr>
            <a:ln w="28575">
              <a:noFill/>
            </a:ln>
          </c:spPr>
          <c:marker>
            <c:symbol val="triang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vG_crest!$AM$50:$AM$67</c:f>
              <c:numCache>
                <c:formatCode>General</c:formatCode>
                <c:ptCount val="18"/>
                <c:pt idx="0">
                  <c:v>0.69444444444444453</c:v>
                </c:pt>
                <c:pt idx="1">
                  <c:v>0.71942446043165464</c:v>
                </c:pt>
                <c:pt idx="2">
                  <c:v>0.66666666666666674</c:v>
                </c:pt>
                <c:pt idx="3">
                  <c:v>0.70422535211267612</c:v>
                </c:pt>
                <c:pt idx="4">
                  <c:v>0.65359477124183007</c:v>
                </c:pt>
                <c:pt idx="5">
                  <c:v>0.68965517241379315</c:v>
                </c:pt>
                <c:pt idx="6">
                  <c:v>0.72463768115942029</c:v>
                </c:pt>
                <c:pt idx="7">
                  <c:v>0.6802721088435375</c:v>
                </c:pt>
                <c:pt idx="8">
                  <c:v>0.7142857142857143</c:v>
                </c:pt>
                <c:pt idx="9">
                  <c:v>0.69444444444444453</c:v>
                </c:pt>
                <c:pt idx="10">
                  <c:v>0.65789473684210531</c:v>
                </c:pt>
                <c:pt idx="11">
                  <c:v>0.67567567567567577</c:v>
                </c:pt>
                <c:pt idx="12">
                  <c:v>0.71942446043165464</c:v>
                </c:pt>
                <c:pt idx="13">
                  <c:v>0.76923076923076927</c:v>
                </c:pt>
                <c:pt idx="14">
                  <c:v>0.70422535211267612</c:v>
                </c:pt>
                <c:pt idx="15">
                  <c:v>0.72463768115942029</c:v>
                </c:pt>
                <c:pt idx="16">
                  <c:v>0.75187969924812026</c:v>
                </c:pt>
                <c:pt idx="17">
                  <c:v>0.79365079365079372</c:v>
                </c:pt>
              </c:numCache>
            </c:numRef>
          </c:xVal>
          <c:yVal>
            <c:numRef>
              <c:f>vG_crest!$AN$50:$AN$67</c:f>
              <c:numCache>
                <c:formatCode>General</c:formatCode>
                <c:ptCount val="18"/>
                <c:pt idx="0">
                  <c:v>-0.56923076923076921</c:v>
                </c:pt>
                <c:pt idx="2">
                  <c:v>-0.3428571428571428</c:v>
                </c:pt>
                <c:pt idx="4">
                  <c:v>-0.20422535211267598</c:v>
                </c:pt>
                <c:pt idx="5">
                  <c:v>-0.4731182795698925</c:v>
                </c:pt>
                <c:pt idx="7">
                  <c:v>-0.35772357723577236</c:v>
                </c:pt>
                <c:pt idx="8">
                  <c:v>-0.56962025316455689</c:v>
                </c:pt>
                <c:pt idx="9">
                  <c:v>-0.32214765100671144</c:v>
                </c:pt>
                <c:pt idx="10">
                  <c:v>-0.36974789915966388</c:v>
                </c:pt>
                <c:pt idx="11">
                  <c:v>-0.43396226415094336</c:v>
                </c:pt>
                <c:pt idx="12">
                  <c:v>-0.43564356435643559</c:v>
                </c:pt>
                <c:pt idx="13">
                  <c:v>-0.5</c:v>
                </c:pt>
                <c:pt idx="14">
                  <c:v>-0.60317460317460314</c:v>
                </c:pt>
                <c:pt idx="15">
                  <c:v>-0.58620689655172409</c:v>
                </c:pt>
                <c:pt idx="16">
                  <c:v>-1</c:v>
                </c:pt>
                <c:pt idx="17">
                  <c:v>-1</c:v>
                </c:pt>
              </c:numCache>
            </c:numRef>
          </c:yVal>
          <c:smooth val="0"/>
        </c:ser>
        <c:ser>
          <c:idx val="7"/>
          <c:order val="4"/>
          <c:spPr>
            <a:ln w="28575">
              <a:noFill/>
            </a:ln>
          </c:spPr>
          <c:marker>
            <c:symbol val="triang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vG_crest!$AO$50:$AO$67</c:f>
              <c:numCache>
                <c:formatCode>General</c:formatCode>
                <c:ptCount val="18"/>
                <c:pt idx="0">
                  <c:v>1.7361111111111112</c:v>
                </c:pt>
                <c:pt idx="1">
                  <c:v>1.7985611510791366</c:v>
                </c:pt>
                <c:pt idx="2">
                  <c:v>1.6666666666666667</c:v>
                </c:pt>
                <c:pt idx="3">
                  <c:v>1.7605633802816902</c:v>
                </c:pt>
                <c:pt idx="4">
                  <c:v>1.6339869281045751</c:v>
                </c:pt>
                <c:pt idx="5">
                  <c:v>1.7241379310344829</c:v>
                </c:pt>
                <c:pt idx="6">
                  <c:v>1.8115942028985506</c:v>
                </c:pt>
                <c:pt idx="7">
                  <c:v>1.7006802721088436</c:v>
                </c:pt>
                <c:pt idx="8">
                  <c:v>1.7857142857142856</c:v>
                </c:pt>
                <c:pt idx="9">
                  <c:v>1.7361111111111112</c:v>
                </c:pt>
                <c:pt idx="10">
                  <c:v>1.6447368421052633</c:v>
                </c:pt>
                <c:pt idx="11">
                  <c:v>1.6891891891891893</c:v>
                </c:pt>
                <c:pt idx="12">
                  <c:v>1.7985611510791366</c:v>
                </c:pt>
                <c:pt idx="13">
                  <c:v>1.9230769230769229</c:v>
                </c:pt>
                <c:pt idx="14">
                  <c:v>1.7605633802816902</c:v>
                </c:pt>
                <c:pt idx="15">
                  <c:v>1.8115942028985506</c:v>
                </c:pt>
                <c:pt idx="16">
                  <c:v>1.8796992481203008</c:v>
                </c:pt>
                <c:pt idx="17">
                  <c:v>1.9841269841269842</c:v>
                </c:pt>
              </c:numCache>
            </c:numRef>
          </c:xVal>
          <c:yVal>
            <c:numRef>
              <c:f>vG_crest!$AP$50:$AP$67</c:f>
              <c:numCache>
                <c:formatCode>General</c:formatCode>
                <c:ptCount val="18"/>
                <c:pt idx="0">
                  <c:v>-0.56923076923076921</c:v>
                </c:pt>
                <c:pt idx="2">
                  <c:v>-0.45714285714285713</c:v>
                </c:pt>
                <c:pt idx="3">
                  <c:v>-0.59523809523809523</c:v>
                </c:pt>
                <c:pt idx="4">
                  <c:v>-0.37323943661971826</c:v>
                </c:pt>
                <c:pt idx="5">
                  <c:v>-0.53763440860215062</c:v>
                </c:pt>
                <c:pt idx="6">
                  <c:v>-0.7142857142857143</c:v>
                </c:pt>
                <c:pt idx="7">
                  <c:v>-0.47967479674796748</c:v>
                </c:pt>
                <c:pt idx="8">
                  <c:v>-0.56962025316455689</c:v>
                </c:pt>
                <c:pt idx="9">
                  <c:v>-0.55033557046979864</c:v>
                </c:pt>
                <c:pt idx="10">
                  <c:v>-0.48739495798319332</c:v>
                </c:pt>
                <c:pt idx="11">
                  <c:v>-0.51886792452830188</c:v>
                </c:pt>
                <c:pt idx="12">
                  <c:v>-0.55445544554455439</c:v>
                </c:pt>
                <c:pt idx="13">
                  <c:v>-0.52631578947368418</c:v>
                </c:pt>
                <c:pt idx="14">
                  <c:v>-0.61904761904761907</c:v>
                </c:pt>
                <c:pt idx="15">
                  <c:v>-0.60344827586206895</c:v>
                </c:pt>
                <c:pt idx="16">
                  <c:v>-1</c:v>
                </c:pt>
              </c:numCache>
            </c:numRef>
          </c:yVal>
          <c:smooth val="0"/>
        </c:ser>
        <c:ser>
          <c:idx val="8"/>
          <c:order val="5"/>
          <c:spPr>
            <a:ln w="28575">
              <a:noFill/>
            </a:ln>
          </c:spPr>
          <c:marker>
            <c:symbol val="triang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vG_crest!$AQ$50:$AQ$67</c:f>
              <c:numCache>
                <c:formatCode>General</c:formatCode>
                <c:ptCount val="18"/>
                <c:pt idx="0">
                  <c:v>2.7777777777777781</c:v>
                </c:pt>
                <c:pt idx="1">
                  <c:v>2.8776978417266186</c:v>
                </c:pt>
                <c:pt idx="2">
                  <c:v>2.666666666666667</c:v>
                </c:pt>
                <c:pt idx="3">
                  <c:v>2.8169014084507045</c:v>
                </c:pt>
                <c:pt idx="4">
                  <c:v>2.6143790849673203</c:v>
                </c:pt>
                <c:pt idx="5">
                  <c:v>2.7586206896551726</c:v>
                </c:pt>
                <c:pt idx="6">
                  <c:v>2.8985507246376812</c:v>
                </c:pt>
                <c:pt idx="7">
                  <c:v>2.72108843537415</c:v>
                </c:pt>
                <c:pt idx="8">
                  <c:v>2.8571428571428572</c:v>
                </c:pt>
                <c:pt idx="9">
                  <c:v>2.7777777777777781</c:v>
                </c:pt>
                <c:pt idx="10">
                  <c:v>2.6315789473684212</c:v>
                </c:pt>
                <c:pt idx="11">
                  <c:v>2.7027027027027031</c:v>
                </c:pt>
                <c:pt idx="12">
                  <c:v>2.8776978417266186</c:v>
                </c:pt>
                <c:pt idx="13">
                  <c:v>3.0769230769230771</c:v>
                </c:pt>
                <c:pt idx="14">
                  <c:v>2.8169014084507045</c:v>
                </c:pt>
                <c:pt idx="15">
                  <c:v>2.8985507246376812</c:v>
                </c:pt>
                <c:pt idx="16">
                  <c:v>3.007518796992481</c:v>
                </c:pt>
                <c:pt idx="17">
                  <c:v>3.1746031746031749</c:v>
                </c:pt>
              </c:numCache>
            </c:numRef>
          </c:xVal>
          <c:yVal>
            <c:numRef>
              <c:f>vG_crest!$AR$50:$AR$67</c:f>
              <c:numCache>
                <c:formatCode>General</c:formatCode>
                <c:ptCount val="18"/>
                <c:pt idx="0">
                  <c:v>-0.64615384615384619</c:v>
                </c:pt>
                <c:pt idx="2">
                  <c:v>-0.51428571428571435</c:v>
                </c:pt>
                <c:pt idx="3">
                  <c:v>-0.66666666666666674</c:v>
                </c:pt>
                <c:pt idx="4">
                  <c:v>-0.44366197183098588</c:v>
                </c:pt>
                <c:pt idx="5">
                  <c:v>-0.53763440860215062</c:v>
                </c:pt>
                <c:pt idx="6">
                  <c:v>-1</c:v>
                </c:pt>
                <c:pt idx="7">
                  <c:v>-0.56910569105691056</c:v>
                </c:pt>
                <c:pt idx="8">
                  <c:v>-0.620253164556962</c:v>
                </c:pt>
                <c:pt idx="9">
                  <c:v>-0.57046979865771807</c:v>
                </c:pt>
                <c:pt idx="10">
                  <c:v>-0.52941176470588236</c:v>
                </c:pt>
                <c:pt idx="11">
                  <c:v>-0.54716981132075471</c:v>
                </c:pt>
                <c:pt idx="12">
                  <c:v>-0.5643564356435643</c:v>
                </c:pt>
                <c:pt idx="13">
                  <c:v>-0.60526315789473684</c:v>
                </c:pt>
                <c:pt idx="14">
                  <c:v>-0.68253968253968256</c:v>
                </c:pt>
                <c:pt idx="15">
                  <c:v>-0.63793103448275856</c:v>
                </c:pt>
                <c:pt idx="16">
                  <c:v>-1</c:v>
                </c:pt>
              </c:numCache>
            </c:numRef>
          </c:yVal>
          <c:smooth val="0"/>
        </c:ser>
        <c:ser>
          <c:idx val="3"/>
          <c:order val="6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vG_crest!$BO$145:$BO$146</c:f>
              <c:numCache>
                <c:formatCode>General</c:formatCode>
                <c:ptCount val="2"/>
                <c:pt idx="0">
                  <c:v>0</c:v>
                </c:pt>
                <c:pt idx="1">
                  <c:v>4</c:v>
                </c:pt>
              </c:numCache>
            </c:numRef>
          </c:xVal>
          <c:yVal>
            <c:numRef>
              <c:f>vG_crest!$BP$145:$BP$146</c:f>
              <c:numCache>
                <c:formatCode>General</c:formatCode>
                <c:ptCount val="2"/>
                <c:pt idx="0">
                  <c:v>-0.4</c:v>
                </c:pt>
                <c:pt idx="1">
                  <c:v>-0.7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865472"/>
        <c:axId val="117888128"/>
      </c:scatterChart>
      <c:valAx>
        <c:axId val="117865472"/>
        <c:scaling>
          <c:orientation val="minMax"/>
          <c:max val="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y</a:t>
                </a:r>
                <a:r>
                  <a:rPr lang="nl-NL" baseline="-25000"/>
                  <a:t>C </a:t>
                </a:r>
                <a:r>
                  <a:rPr lang="nl-NL"/>
                  <a:t>/ H</a:t>
                </a:r>
                <a:r>
                  <a:rPr lang="nl-NL" baseline="-25000"/>
                  <a:t>m0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17888128"/>
        <c:crosses val="autoZero"/>
        <c:crossBetween val="midCat"/>
        <c:majorUnit val="1"/>
      </c:valAx>
      <c:valAx>
        <c:axId val="117888128"/>
        <c:scaling>
          <c:orientation val="minMax"/>
          <c:min val="-0.8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(h</a:t>
                </a:r>
                <a:r>
                  <a:rPr lang="nl-NL" baseline="-25000"/>
                  <a:t>yC</a:t>
                </a:r>
                <a:r>
                  <a:rPr lang="nl-NL"/>
                  <a:t> - </a:t>
                </a:r>
                <a:r>
                  <a:rPr lang="nl-NL" sz="1200" b="0" i="0" u="none" strike="noStrike" baseline="0">
                    <a:effectLst/>
                  </a:rPr>
                  <a:t>h</a:t>
                </a:r>
                <a:r>
                  <a:rPr lang="nl-NL" sz="1200" b="0" i="0" u="none" strike="noStrike" baseline="-25000">
                    <a:effectLst/>
                  </a:rPr>
                  <a:t>B</a:t>
                </a:r>
                <a:r>
                  <a:rPr lang="nl-NL"/>
                  <a:t>) / </a:t>
                </a:r>
                <a:r>
                  <a:rPr lang="nl-NL" sz="1200" b="0" i="0" u="none" strike="noStrike" baseline="0">
                    <a:effectLst/>
                  </a:rPr>
                  <a:t>h</a:t>
                </a:r>
                <a:r>
                  <a:rPr lang="nl-NL" sz="1200" b="0" i="0" u="none" strike="noStrike" baseline="-25000">
                    <a:effectLst/>
                  </a:rPr>
                  <a:t>B</a:t>
                </a:r>
                <a:endParaRPr lang="nl-NL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17865472"/>
        <c:crosses val="autoZero"/>
        <c:crossBetween val="midCat"/>
        <c:majorUnit val="0.2"/>
      </c:valAx>
    </c:plotArea>
    <c:legend>
      <c:legendPos val="r"/>
      <c:legendEntry>
        <c:idx val="1"/>
        <c:delete val="1"/>
      </c:legendEntry>
      <c:legendEntry>
        <c:idx val="2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overlay val="0"/>
    </c:legend>
    <c:plotVisOnly val="1"/>
    <c:dispBlanksAs val="gap"/>
    <c:showDLblsOverMax val="0"/>
  </c:chart>
  <c:txPr>
    <a:bodyPr/>
    <a:lstStyle/>
    <a:p>
      <a:pPr>
        <a:defRPr sz="1200" b="0">
          <a:latin typeface="Arial" pitchFamily="34" charset="0"/>
          <a:cs typeface="Arial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nl-NL" sz="1200" baseline="0"/>
              <a:t>Water-layer thickness on landward-side slope</a:t>
            </a:r>
            <a:endParaRPr lang="nl-NL" sz="1200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3"/>
          <c:order val="0"/>
          <c:tx>
            <c:v>B</c:v>
          </c:tx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vG_crest!$AM$50:$AM$67</c:f>
              <c:numCache>
                <c:formatCode>General</c:formatCode>
                <c:ptCount val="18"/>
                <c:pt idx="0">
                  <c:v>0.69444444444444453</c:v>
                </c:pt>
                <c:pt idx="1">
                  <c:v>0.71942446043165464</c:v>
                </c:pt>
                <c:pt idx="2">
                  <c:v>0.66666666666666674</c:v>
                </c:pt>
                <c:pt idx="3">
                  <c:v>0.70422535211267612</c:v>
                </c:pt>
                <c:pt idx="4">
                  <c:v>0.65359477124183007</c:v>
                </c:pt>
                <c:pt idx="5">
                  <c:v>0.68965517241379315</c:v>
                </c:pt>
                <c:pt idx="6">
                  <c:v>0.72463768115942029</c:v>
                </c:pt>
                <c:pt idx="7">
                  <c:v>0.6802721088435375</c:v>
                </c:pt>
                <c:pt idx="8">
                  <c:v>0.7142857142857143</c:v>
                </c:pt>
                <c:pt idx="9">
                  <c:v>0.69444444444444453</c:v>
                </c:pt>
                <c:pt idx="10">
                  <c:v>0.65789473684210531</c:v>
                </c:pt>
                <c:pt idx="11">
                  <c:v>0.67567567567567577</c:v>
                </c:pt>
                <c:pt idx="12">
                  <c:v>0.71942446043165464</c:v>
                </c:pt>
                <c:pt idx="13">
                  <c:v>0.76923076923076927</c:v>
                </c:pt>
                <c:pt idx="14">
                  <c:v>0.70422535211267612</c:v>
                </c:pt>
                <c:pt idx="15">
                  <c:v>0.72463768115942029</c:v>
                </c:pt>
                <c:pt idx="16">
                  <c:v>0.75187969924812026</c:v>
                </c:pt>
                <c:pt idx="17">
                  <c:v>0.79365079365079372</c:v>
                </c:pt>
              </c:numCache>
            </c:numRef>
          </c:xVal>
          <c:yVal>
            <c:numRef>
              <c:f>vG_crest!$AN$28:$AN$44</c:f>
              <c:numCache>
                <c:formatCode>General</c:formatCode>
                <c:ptCount val="17"/>
                <c:pt idx="0">
                  <c:v>-0.47272727272727272</c:v>
                </c:pt>
                <c:pt idx="2">
                  <c:v>-0.5</c:v>
                </c:pt>
                <c:pt idx="3">
                  <c:v>-0.52777777777777779</c:v>
                </c:pt>
                <c:pt idx="4">
                  <c:v>-0.40243902439024382</c:v>
                </c:pt>
                <c:pt idx="5">
                  <c:v>-0.45882352941176474</c:v>
                </c:pt>
                <c:pt idx="6">
                  <c:v>-0.51282051282051289</c:v>
                </c:pt>
                <c:pt idx="7">
                  <c:v>-0.46478873239436619</c:v>
                </c:pt>
                <c:pt idx="8">
                  <c:v>-0.47142857142857142</c:v>
                </c:pt>
                <c:pt idx="9">
                  <c:v>-0.4038461538461538</c:v>
                </c:pt>
                <c:pt idx="10">
                  <c:v>-0.48672566371681419</c:v>
                </c:pt>
                <c:pt idx="11">
                  <c:v>-0.49484536082474218</c:v>
                </c:pt>
                <c:pt idx="12">
                  <c:v>-0.49382716049382719</c:v>
                </c:pt>
                <c:pt idx="13">
                  <c:v>-0.53424657534246578</c:v>
                </c:pt>
                <c:pt idx="14">
                  <c:v>-0.52</c:v>
                </c:pt>
                <c:pt idx="15">
                  <c:v>-0.5</c:v>
                </c:pt>
                <c:pt idx="16">
                  <c:v>-0.42105263157894729</c:v>
                </c:pt>
              </c:numCache>
            </c:numRef>
          </c:yVal>
          <c:smooth val="0"/>
        </c:ser>
        <c:ser>
          <c:idx val="4"/>
          <c:order val="1"/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vG_crest!$AO$50:$AO$67</c:f>
              <c:numCache>
                <c:formatCode>General</c:formatCode>
                <c:ptCount val="18"/>
                <c:pt idx="0">
                  <c:v>1.7361111111111112</c:v>
                </c:pt>
                <c:pt idx="1">
                  <c:v>1.7985611510791366</c:v>
                </c:pt>
                <c:pt idx="2">
                  <c:v>1.6666666666666667</c:v>
                </c:pt>
                <c:pt idx="3">
                  <c:v>1.7605633802816902</c:v>
                </c:pt>
                <c:pt idx="4">
                  <c:v>1.6339869281045751</c:v>
                </c:pt>
                <c:pt idx="5">
                  <c:v>1.7241379310344829</c:v>
                </c:pt>
                <c:pt idx="6">
                  <c:v>1.8115942028985506</c:v>
                </c:pt>
                <c:pt idx="7">
                  <c:v>1.7006802721088436</c:v>
                </c:pt>
                <c:pt idx="8">
                  <c:v>1.7857142857142856</c:v>
                </c:pt>
                <c:pt idx="9">
                  <c:v>1.7361111111111112</c:v>
                </c:pt>
                <c:pt idx="10">
                  <c:v>1.6447368421052633</c:v>
                </c:pt>
                <c:pt idx="11">
                  <c:v>1.6891891891891893</c:v>
                </c:pt>
                <c:pt idx="12">
                  <c:v>1.7985611510791366</c:v>
                </c:pt>
                <c:pt idx="13">
                  <c:v>1.9230769230769229</c:v>
                </c:pt>
                <c:pt idx="14">
                  <c:v>1.7605633802816902</c:v>
                </c:pt>
                <c:pt idx="15">
                  <c:v>1.8115942028985506</c:v>
                </c:pt>
                <c:pt idx="16">
                  <c:v>1.8796992481203008</c:v>
                </c:pt>
                <c:pt idx="17">
                  <c:v>1.9841269841269842</c:v>
                </c:pt>
              </c:numCache>
            </c:numRef>
          </c:xVal>
          <c:yVal>
            <c:numRef>
              <c:f>vG_crest!$AP$28:$AP$45</c:f>
              <c:numCache>
                <c:formatCode>General</c:formatCode>
                <c:ptCount val="18"/>
                <c:pt idx="0">
                  <c:v>-0.49090909090909096</c:v>
                </c:pt>
                <c:pt idx="2">
                  <c:v>-0.50909090909090904</c:v>
                </c:pt>
                <c:pt idx="3">
                  <c:v>-0.41666666666666663</c:v>
                </c:pt>
                <c:pt idx="4">
                  <c:v>-0.51829268292682917</c:v>
                </c:pt>
                <c:pt idx="5">
                  <c:v>-0.49411764705882355</c:v>
                </c:pt>
                <c:pt idx="6">
                  <c:v>-0.53846153846153844</c:v>
                </c:pt>
                <c:pt idx="7">
                  <c:v>-0.54225352112676051</c:v>
                </c:pt>
                <c:pt idx="8">
                  <c:v>-0.41428571428571431</c:v>
                </c:pt>
                <c:pt idx="9">
                  <c:v>-0.52564102564102566</c:v>
                </c:pt>
                <c:pt idx="10">
                  <c:v>-0.49557522123893805</c:v>
                </c:pt>
                <c:pt idx="11">
                  <c:v>-0.51546391752577314</c:v>
                </c:pt>
                <c:pt idx="12">
                  <c:v>-0.44444444444444442</c:v>
                </c:pt>
                <c:pt idx="13">
                  <c:v>-0.49315068493150682</c:v>
                </c:pt>
                <c:pt idx="14">
                  <c:v>-0.38</c:v>
                </c:pt>
                <c:pt idx="15">
                  <c:v>-0.44000000000000006</c:v>
                </c:pt>
                <c:pt idx="16">
                  <c:v>-0.31578947368421045</c:v>
                </c:pt>
                <c:pt idx="17">
                  <c:v>-0.26666666666666661</c:v>
                </c:pt>
              </c:numCache>
            </c:numRef>
          </c:yVal>
          <c:smooth val="0"/>
        </c:ser>
        <c:ser>
          <c:idx val="5"/>
          <c:order val="2"/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vG_crest!$AQ$50:$AQ$67</c:f>
              <c:numCache>
                <c:formatCode>General</c:formatCode>
                <c:ptCount val="18"/>
                <c:pt idx="0">
                  <c:v>2.7777777777777781</c:v>
                </c:pt>
                <c:pt idx="1">
                  <c:v>2.8776978417266186</c:v>
                </c:pt>
                <c:pt idx="2">
                  <c:v>2.666666666666667</c:v>
                </c:pt>
                <c:pt idx="3">
                  <c:v>2.8169014084507045</c:v>
                </c:pt>
                <c:pt idx="4">
                  <c:v>2.6143790849673203</c:v>
                </c:pt>
                <c:pt idx="5">
                  <c:v>2.7586206896551726</c:v>
                </c:pt>
                <c:pt idx="6">
                  <c:v>2.8985507246376812</c:v>
                </c:pt>
                <c:pt idx="7">
                  <c:v>2.72108843537415</c:v>
                </c:pt>
                <c:pt idx="8">
                  <c:v>2.8571428571428572</c:v>
                </c:pt>
                <c:pt idx="9">
                  <c:v>2.7777777777777781</c:v>
                </c:pt>
                <c:pt idx="10">
                  <c:v>2.6315789473684212</c:v>
                </c:pt>
                <c:pt idx="11">
                  <c:v>2.7027027027027031</c:v>
                </c:pt>
                <c:pt idx="12">
                  <c:v>2.8776978417266186</c:v>
                </c:pt>
                <c:pt idx="13">
                  <c:v>3.0769230769230771</c:v>
                </c:pt>
                <c:pt idx="14">
                  <c:v>2.8169014084507045</c:v>
                </c:pt>
                <c:pt idx="15">
                  <c:v>2.8985507246376812</c:v>
                </c:pt>
                <c:pt idx="16">
                  <c:v>3.007518796992481</c:v>
                </c:pt>
                <c:pt idx="17">
                  <c:v>3.1746031746031749</c:v>
                </c:pt>
              </c:numCache>
            </c:numRef>
          </c:xVal>
          <c:yVal>
            <c:numRef>
              <c:f>(vG_crest!$AR$28:$AR$33,vG_crest!$AR$35:$AR$43)</c:f>
              <c:numCache>
                <c:formatCode>General</c:formatCode>
                <c:ptCount val="15"/>
                <c:pt idx="0">
                  <c:v>-0.54545454545454541</c:v>
                </c:pt>
                <c:pt idx="2">
                  <c:v>-0.55454545454545456</c:v>
                </c:pt>
                <c:pt idx="3">
                  <c:v>-0.52777777777777779</c:v>
                </c:pt>
                <c:pt idx="4">
                  <c:v>-0.59756097560975607</c:v>
                </c:pt>
                <c:pt idx="5">
                  <c:v>-0.58823529411764708</c:v>
                </c:pt>
                <c:pt idx="6">
                  <c:v>-0.60563380281690138</c:v>
                </c:pt>
                <c:pt idx="7">
                  <c:v>-0.5</c:v>
                </c:pt>
                <c:pt idx="8">
                  <c:v>-0.57692307692307698</c:v>
                </c:pt>
                <c:pt idx="9">
                  <c:v>-0.5663716814159292</c:v>
                </c:pt>
                <c:pt idx="10">
                  <c:v>-0.53608247422680411</c:v>
                </c:pt>
                <c:pt idx="11">
                  <c:v>-0.54320987654320985</c:v>
                </c:pt>
                <c:pt idx="12">
                  <c:v>-0.53424657534246578</c:v>
                </c:pt>
                <c:pt idx="13">
                  <c:v>-0.52</c:v>
                </c:pt>
                <c:pt idx="14">
                  <c:v>-0.55999999999999994</c:v>
                </c:pt>
              </c:numCache>
            </c:numRef>
          </c:yVal>
          <c:smooth val="0"/>
        </c:ser>
        <c:ser>
          <c:idx val="9"/>
          <c:order val="3"/>
          <c:tx>
            <c:v>D</c:v>
          </c:tx>
          <c:spPr>
            <a:ln w="28575">
              <a:noFill/>
            </a:ln>
          </c:spPr>
          <c:marker>
            <c:symbol val="circ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vG_crest!$AM$72:$AM$89</c:f>
              <c:numCache>
                <c:formatCode>General</c:formatCode>
                <c:ptCount val="18"/>
                <c:pt idx="0">
                  <c:v>0.69444444444444453</c:v>
                </c:pt>
                <c:pt idx="1">
                  <c:v>0.71942446043165464</c:v>
                </c:pt>
                <c:pt idx="2">
                  <c:v>0.66666666666666674</c:v>
                </c:pt>
                <c:pt idx="3">
                  <c:v>0.70422535211267612</c:v>
                </c:pt>
                <c:pt idx="4">
                  <c:v>0.65359477124183007</c:v>
                </c:pt>
                <c:pt idx="5">
                  <c:v>0.68965517241379315</c:v>
                </c:pt>
                <c:pt idx="6">
                  <c:v>0.72463768115942029</c:v>
                </c:pt>
                <c:pt idx="7">
                  <c:v>0.6802721088435375</c:v>
                </c:pt>
                <c:pt idx="8">
                  <c:v>0.7142857142857143</c:v>
                </c:pt>
                <c:pt idx="9">
                  <c:v>0.69444444444444453</c:v>
                </c:pt>
                <c:pt idx="10">
                  <c:v>0.65789473684210531</c:v>
                </c:pt>
                <c:pt idx="11">
                  <c:v>0.67567567567567577</c:v>
                </c:pt>
                <c:pt idx="12">
                  <c:v>0.71942446043165464</c:v>
                </c:pt>
                <c:pt idx="13">
                  <c:v>0.76923076923076927</c:v>
                </c:pt>
                <c:pt idx="14">
                  <c:v>0.70422535211267612</c:v>
                </c:pt>
                <c:pt idx="15">
                  <c:v>0.72463768115942029</c:v>
                </c:pt>
                <c:pt idx="16">
                  <c:v>0.75187969924812026</c:v>
                </c:pt>
                <c:pt idx="17">
                  <c:v>0.79365079365079372</c:v>
                </c:pt>
              </c:numCache>
            </c:numRef>
          </c:xVal>
          <c:yVal>
            <c:numRef>
              <c:f>vG_crest!$AN$72:$AN$89</c:f>
              <c:numCache>
                <c:formatCode>General</c:formatCode>
                <c:ptCount val="18"/>
                <c:pt idx="0">
                  <c:v>-0.47169811320754718</c:v>
                </c:pt>
                <c:pt idx="2">
                  <c:v>-0.31521739130434778</c:v>
                </c:pt>
                <c:pt idx="3">
                  <c:v>-0.55263157894736836</c:v>
                </c:pt>
                <c:pt idx="4">
                  <c:v>-0.22307692307692312</c:v>
                </c:pt>
                <c:pt idx="5">
                  <c:v>-0.41249999999999998</c:v>
                </c:pt>
                <c:pt idx="6">
                  <c:v>-0.59459459459459463</c:v>
                </c:pt>
                <c:pt idx="7">
                  <c:v>-0.32380952380952382</c:v>
                </c:pt>
                <c:pt idx="8">
                  <c:v>-0.44117647058823528</c:v>
                </c:pt>
                <c:pt idx="9">
                  <c:v>-0.34375</c:v>
                </c:pt>
                <c:pt idx="10">
                  <c:v>-0.36274509803921562</c:v>
                </c:pt>
                <c:pt idx="11">
                  <c:v>-0.34831460674157311</c:v>
                </c:pt>
                <c:pt idx="12">
                  <c:v>-0.37974683544303794</c:v>
                </c:pt>
                <c:pt idx="13">
                  <c:v>-0.37313432835820892</c:v>
                </c:pt>
                <c:pt idx="14">
                  <c:v>-0.50877192982456143</c:v>
                </c:pt>
                <c:pt idx="15">
                  <c:v>-0.48076923076923073</c:v>
                </c:pt>
                <c:pt idx="16">
                  <c:v>-1</c:v>
                </c:pt>
                <c:pt idx="17">
                  <c:v>-1</c:v>
                </c:pt>
              </c:numCache>
            </c:numRef>
          </c:yVal>
          <c:smooth val="0"/>
        </c:ser>
        <c:ser>
          <c:idx val="10"/>
          <c:order val="4"/>
          <c:spPr>
            <a:ln w="28575">
              <a:noFill/>
            </a:ln>
          </c:spPr>
          <c:marker>
            <c:symbol val="circ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vG_crest!$AO$50:$AO$67</c:f>
              <c:numCache>
                <c:formatCode>General</c:formatCode>
                <c:ptCount val="18"/>
                <c:pt idx="0">
                  <c:v>1.7361111111111112</c:v>
                </c:pt>
                <c:pt idx="1">
                  <c:v>1.7985611510791366</c:v>
                </c:pt>
                <c:pt idx="2">
                  <c:v>1.6666666666666667</c:v>
                </c:pt>
                <c:pt idx="3">
                  <c:v>1.7605633802816902</c:v>
                </c:pt>
                <c:pt idx="4">
                  <c:v>1.6339869281045751</c:v>
                </c:pt>
                <c:pt idx="5">
                  <c:v>1.7241379310344829</c:v>
                </c:pt>
                <c:pt idx="6">
                  <c:v>1.8115942028985506</c:v>
                </c:pt>
                <c:pt idx="7">
                  <c:v>1.7006802721088436</c:v>
                </c:pt>
                <c:pt idx="8">
                  <c:v>1.7857142857142856</c:v>
                </c:pt>
                <c:pt idx="9">
                  <c:v>1.7361111111111112</c:v>
                </c:pt>
                <c:pt idx="10">
                  <c:v>1.6447368421052633</c:v>
                </c:pt>
                <c:pt idx="11">
                  <c:v>1.6891891891891893</c:v>
                </c:pt>
                <c:pt idx="12">
                  <c:v>1.7985611510791366</c:v>
                </c:pt>
                <c:pt idx="13">
                  <c:v>1.9230769230769229</c:v>
                </c:pt>
                <c:pt idx="14">
                  <c:v>1.7605633802816902</c:v>
                </c:pt>
                <c:pt idx="15">
                  <c:v>1.8115942028985506</c:v>
                </c:pt>
                <c:pt idx="16">
                  <c:v>1.8796992481203008</c:v>
                </c:pt>
                <c:pt idx="17">
                  <c:v>1.9841269841269842</c:v>
                </c:pt>
              </c:numCache>
            </c:numRef>
          </c:xVal>
          <c:yVal>
            <c:numRef>
              <c:f>vG_crest!$AP$72:$AP$89</c:f>
              <c:numCache>
                <c:formatCode>General</c:formatCode>
                <c:ptCount val="18"/>
                <c:pt idx="0">
                  <c:v>-0.47169811320754718</c:v>
                </c:pt>
                <c:pt idx="2">
                  <c:v>-0.34782608695652167</c:v>
                </c:pt>
                <c:pt idx="3">
                  <c:v>-0.52631578947368418</c:v>
                </c:pt>
                <c:pt idx="4">
                  <c:v>-0.27692307692307688</c:v>
                </c:pt>
                <c:pt idx="5">
                  <c:v>-0.41249999999999998</c:v>
                </c:pt>
                <c:pt idx="6">
                  <c:v>-0.56756756756756754</c:v>
                </c:pt>
                <c:pt idx="7">
                  <c:v>-0.35238095238095241</c:v>
                </c:pt>
                <c:pt idx="8">
                  <c:v>-0.3970588235294118</c:v>
                </c:pt>
                <c:pt idx="9">
                  <c:v>-0.3984375</c:v>
                </c:pt>
                <c:pt idx="10">
                  <c:v>-0.37254901960784303</c:v>
                </c:pt>
                <c:pt idx="11">
                  <c:v>-0.37078651685393266</c:v>
                </c:pt>
                <c:pt idx="12">
                  <c:v>-0.37974683544303794</c:v>
                </c:pt>
                <c:pt idx="13">
                  <c:v>-0.37313432835820892</c:v>
                </c:pt>
                <c:pt idx="14">
                  <c:v>-0.45614035087719296</c:v>
                </c:pt>
                <c:pt idx="15">
                  <c:v>-0.44230769230769235</c:v>
                </c:pt>
              </c:numCache>
            </c:numRef>
          </c:yVal>
          <c:smooth val="0"/>
        </c:ser>
        <c:ser>
          <c:idx val="11"/>
          <c:order val="5"/>
          <c:spPr>
            <a:ln w="28575">
              <a:noFill/>
            </a:ln>
          </c:spPr>
          <c:marker>
            <c:symbol val="circ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vG_crest!$AQ$50:$AQ$67</c:f>
              <c:numCache>
                <c:formatCode>General</c:formatCode>
                <c:ptCount val="18"/>
                <c:pt idx="0">
                  <c:v>2.7777777777777781</c:v>
                </c:pt>
                <c:pt idx="1">
                  <c:v>2.8776978417266186</c:v>
                </c:pt>
                <c:pt idx="2">
                  <c:v>2.666666666666667</c:v>
                </c:pt>
                <c:pt idx="3">
                  <c:v>2.8169014084507045</c:v>
                </c:pt>
                <c:pt idx="4">
                  <c:v>2.6143790849673203</c:v>
                </c:pt>
                <c:pt idx="5">
                  <c:v>2.7586206896551726</c:v>
                </c:pt>
                <c:pt idx="6">
                  <c:v>2.8985507246376812</c:v>
                </c:pt>
                <c:pt idx="7">
                  <c:v>2.72108843537415</c:v>
                </c:pt>
                <c:pt idx="8">
                  <c:v>2.8571428571428572</c:v>
                </c:pt>
                <c:pt idx="9">
                  <c:v>2.7777777777777781</c:v>
                </c:pt>
                <c:pt idx="10">
                  <c:v>2.6315789473684212</c:v>
                </c:pt>
                <c:pt idx="11">
                  <c:v>2.7027027027027031</c:v>
                </c:pt>
                <c:pt idx="12">
                  <c:v>2.8776978417266186</c:v>
                </c:pt>
                <c:pt idx="13">
                  <c:v>3.0769230769230771</c:v>
                </c:pt>
                <c:pt idx="14">
                  <c:v>2.8169014084507045</c:v>
                </c:pt>
                <c:pt idx="15">
                  <c:v>2.8985507246376812</c:v>
                </c:pt>
                <c:pt idx="16">
                  <c:v>3.007518796992481</c:v>
                </c:pt>
                <c:pt idx="17">
                  <c:v>3.1746031746031749</c:v>
                </c:pt>
              </c:numCache>
            </c:numRef>
          </c:xVal>
          <c:yVal>
            <c:numRef>
              <c:f>vG_crest!$AR$72:$AR$89</c:f>
              <c:numCache>
                <c:formatCode>General</c:formatCode>
                <c:ptCount val="18"/>
                <c:pt idx="0">
                  <c:v>-0.58490566037735847</c:v>
                </c:pt>
                <c:pt idx="2">
                  <c:v>-0.45652173913043476</c:v>
                </c:pt>
                <c:pt idx="3">
                  <c:v>-0.68421052631578938</c:v>
                </c:pt>
                <c:pt idx="4">
                  <c:v>-0.36153846153846148</c:v>
                </c:pt>
                <c:pt idx="5">
                  <c:v>-0.47499999999999998</c:v>
                </c:pt>
                <c:pt idx="6">
                  <c:v>-0.70270270270270274</c:v>
                </c:pt>
                <c:pt idx="7">
                  <c:v>-0.4</c:v>
                </c:pt>
                <c:pt idx="8">
                  <c:v>-0.48529411764705882</c:v>
                </c:pt>
                <c:pt idx="9">
                  <c:v>-0.4375</c:v>
                </c:pt>
                <c:pt idx="10">
                  <c:v>-0.43137254901960781</c:v>
                </c:pt>
                <c:pt idx="11">
                  <c:v>-0.4606741573033708</c:v>
                </c:pt>
                <c:pt idx="12">
                  <c:v>-0.49367088607594939</c:v>
                </c:pt>
                <c:pt idx="13">
                  <c:v>-0.46268656716417911</c:v>
                </c:pt>
                <c:pt idx="14">
                  <c:v>-0.54385964912280704</c:v>
                </c:pt>
                <c:pt idx="15">
                  <c:v>-0.55769230769230771</c:v>
                </c:pt>
              </c:numCache>
            </c:numRef>
          </c:yVal>
          <c:smooth val="0"/>
        </c:ser>
        <c:ser>
          <c:idx val="0"/>
          <c:order val="6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vG_crest!$BO$148:$BO$149</c:f>
              <c:numCache>
                <c:formatCode>General</c:formatCode>
                <c:ptCount val="2"/>
                <c:pt idx="0">
                  <c:v>0</c:v>
                </c:pt>
                <c:pt idx="1">
                  <c:v>4</c:v>
                </c:pt>
              </c:numCache>
            </c:numRef>
          </c:xVal>
          <c:yVal>
            <c:numRef>
              <c:f>vG_crest!$BP$148:$BP$149</c:f>
              <c:numCache>
                <c:formatCode>General</c:formatCode>
                <c:ptCount val="2"/>
                <c:pt idx="0">
                  <c:v>-0.4</c:v>
                </c:pt>
                <c:pt idx="1">
                  <c:v>-0.6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280640"/>
        <c:axId val="125282560"/>
      </c:scatterChart>
      <c:valAx>
        <c:axId val="125280640"/>
        <c:scaling>
          <c:orientation val="minMax"/>
          <c:max val="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y</a:t>
                </a:r>
                <a:r>
                  <a:rPr lang="nl-NL" baseline="-25000"/>
                  <a:t>C </a:t>
                </a:r>
                <a:r>
                  <a:rPr lang="nl-NL"/>
                  <a:t>/ H</a:t>
                </a:r>
                <a:r>
                  <a:rPr lang="nl-NL" baseline="-25000"/>
                  <a:t>m0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25282560"/>
        <c:crosses val="autoZero"/>
        <c:crossBetween val="midCat"/>
        <c:majorUnit val="1"/>
      </c:valAx>
      <c:valAx>
        <c:axId val="125282560"/>
        <c:scaling>
          <c:orientation val="minMax"/>
          <c:min val="-0.8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(h</a:t>
                </a:r>
                <a:r>
                  <a:rPr lang="nl-NL" baseline="-25000"/>
                  <a:t>yC</a:t>
                </a:r>
                <a:r>
                  <a:rPr lang="nl-NL"/>
                  <a:t> - </a:t>
                </a:r>
                <a:r>
                  <a:rPr lang="nl-NL" sz="1200" b="0" i="0" u="none" strike="noStrike" baseline="0">
                    <a:effectLst/>
                  </a:rPr>
                  <a:t>h</a:t>
                </a:r>
                <a:r>
                  <a:rPr lang="nl-NL" sz="1200" b="0" i="0" u="none" strike="noStrike" baseline="-25000">
                    <a:effectLst/>
                  </a:rPr>
                  <a:t>B</a:t>
                </a:r>
                <a:r>
                  <a:rPr lang="nl-NL"/>
                  <a:t>) / </a:t>
                </a:r>
                <a:r>
                  <a:rPr lang="nl-NL" sz="1200" b="0" i="0" u="none" strike="noStrike" baseline="0">
                    <a:effectLst/>
                  </a:rPr>
                  <a:t>h</a:t>
                </a:r>
                <a:r>
                  <a:rPr lang="nl-NL" sz="1200" b="0" i="0" u="none" strike="noStrike" baseline="-25000">
                    <a:effectLst/>
                  </a:rPr>
                  <a:t>B</a:t>
                </a:r>
                <a:endParaRPr lang="nl-NL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25280640"/>
        <c:crosses val="autoZero"/>
        <c:crossBetween val="midCat"/>
        <c:majorUnit val="0.2"/>
      </c:valAx>
    </c:plotArea>
    <c:legend>
      <c:legendPos val="r"/>
      <c:legendEntry>
        <c:idx val="1"/>
        <c:delete val="1"/>
      </c:legendEntry>
      <c:legendEntry>
        <c:idx val="2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overlay val="0"/>
    </c:legend>
    <c:plotVisOnly val="1"/>
    <c:dispBlanksAs val="gap"/>
    <c:showDLblsOverMax val="0"/>
  </c:chart>
  <c:txPr>
    <a:bodyPr/>
    <a:lstStyle/>
    <a:p>
      <a:pPr>
        <a:defRPr sz="1200" b="0">
          <a:latin typeface="Arial" pitchFamily="34" charset="0"/>
          <a:cs typeface="Arial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nl-NL" sz="1200"/>
              <a:t>Landward-side crest edge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</c:v>
          </c:tx>
          <c:spPr>
            <a:ln w="28575">
              <a:noFill/>
            </a:ln>
          </c:spPr>
          <c:marker>
            <c:symbol val="diamond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vG_crest!$BL$6:$BL$23</c:f>
              <c:numCache>
                <c:formatCode>General</c:formatCode>
                <c:ptCount val="18"/>
                <c:pt idx="0">
                  <c:v>3.6856285138804318E-2</c:v>
                </c:pt>
                <c:pt idx="2">
                  <c:v>5.230997324886117E-2</c:v>
                </c:pt>
                <c:pt idx="3">
                  <c:v>3.3390529845066082E-2</c:v>
                </c:pt>
                <c:pt idx="4">
                  <c:v>7.8573777315782314E-2</c:v>
                </c:pt>
                <c:pt idx="5">
                  <c:v>4.8746879881797454E-2</c:v>
                </c:pt>
                <c:pt idx="6">
                  <c:v>3.1286749466056016E-2</c:v>
                </c:pt>
                <c:pt idx="7">
                  <c:v>8.3519381120949157E-2</c:v>
                </c:pt>
                <c:pt idx="8">
                  <c:v>5.4513793110872774E-2</c:v>
                </c:pt>
                <c:pt idx="9">
                  <c:v>0.10954311270968964</c:v>
                </c:pt>
                <c:pt idx="10">
                  <c:v>6.8145025392480699E-2</c:v>
                </c:pt>
                <c:pt idx="11">
                  <c:v>5.690167286960688E-2</c:v>
                </c:pt>
                <c:pt idx="12">
                  <c:v>4.8275767504526106E-2</c:v>
                </c:pt>
                <c:pt idx="13">
                  <c:v>4.7037804880075633E-2</c:v>
                </c:pt>
                <c:pt idx="14">
                  <c:v>4.1549345916430815E-2</c:v>
                </c:pt>
                <c:pt idx="15">
                  <c:v>3.5711494862127269E-2</c:v>
                </c:pt>
                <c:pt idx="16">
                  <c:v>2.6987960121410141E-2</c:v>
                </c:pt>
                <c:pt idx="17">
                  <c:v>2.5527765507996097E-2</c:v>
                </c:pt>
              </c:numCache>
            </c:numRef>
          </c:xVal>
          <c:yVal>
            <c:numRef>
              <c:f>vG_crest!$BI$6:$BI$23</c:f>
              <c:numCache>
                <c:formatCode>General</c:formatCode>
                <c:ptCount val="18"/>
                <c:pt idx="0">
                  <c:v>4.5138888888888888E-2</c:v>
                </c:pt>
                <c:pt idx="1">
                  <c:v>1.0791366906474819E-2</c:v>
                </c:pt>
                <c:pt idx="2">
                  <c:v>8.4000000000000005E-2</c:v>
                </c:pt>
                <c:pt idx="3">
                  <c:v>3.4507042253521136E-2</c:v>
                </c:pt>
                <c:pt idx="4">
                  <c:v>0.13660130718954247</c:v>
                </c:pt>
                <c:pt idx="5">
                  <c:v>6.5517241379310351E-2</c:v>
                </c:pt>
                <c:pt idx="6">
                  <c:v>3.2608695652173905E-2</c:v>
                </c:pt>
                <c:pt idx="7">
                  <c:v>0.10680272108843537</c:v>
                </c:pt>
                <c:pt idx="8">
                  <c:v>6.1428571428571423E-2</c:v>
                </c:pt>
                <c:pt idx="9">
                  <c:v>0.11111111111111112</c:v>
                </c:pt>
                <c:pt idx="10">
                  <c:v>9.2763157894736839E-2</c:v>
                </c:pt>
                <c:pt idx="11">
                  <c:v>7.9729729729729748E-2</c:v>
                </c:pt>
                <c:pt idx="12">
                  <c:v>6.9784172661870481E-2</c:v>
                </c:pt>
                <c:pt idx="13">
                  <c:v>6.23076923076923E-2</c:v>
                </c:pt>
                <c:pt idx="14">
                  <c:v>4.8591549295774659E-2</c:v>
                </c:pt>
                <c:pt idx="15">
                  <c:v>4.7826086956521734E-2</c:v>
                </c:pt>
                <c:pt idx="16">
                  <c:v>2.1804511278195486E-2</c:v>
                </c:pt>
                <c:pt idx="17">
                  <c:v>2.5396825396825397E-2</c:v>
                </c:pt>
              </c:numCache>
            </c:numRef>
          </c:yVal>
          <c:smooth val="0"/>
        </c:ser>
        <c:ser>
          <c:idx val="1"/>
          <c:order val="1"/>
          <c:tx>
            <c:v>B</c:v>
          </c:tx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vG_crest!$BL$6:$BL$23</c:f>
              <c:numCache>
                <c:formatCode>General</c:formatCode>
                <c:ptCount val="18"/>
                <c:pt idx="0">
                  <c:v>3.6856285138804318E-2</c:v>
                </c:pt>
                <c:pt idx="2">
                  <c:v>5.230997324886117E-2</c:v>
                </c:pt>
                <c:pt idx="3">
                  <c:v>3.3390529845066082E-2</c:v>
                </c:pt>
                <c:pt idx="4">
                  <c:v>7.8573777315782314E-2</c:v>
                </c:pt>
                <c:pt idx="5">
                  <c:v>4.8746879881797454E-2</c:v>
                </c:pt>
                <c:pt idx="6">
                  <c:v>3.1286749466056016E-2</c:v>
                </c:pt>
                <c:pt idx="7">
                  <c:v>8.3519381120949157E-2</c:v>
                </c:pt>
                <c:pt idx="8">
                  <c:v>5.4513793110872774E-2</c:v>
                </c:pt>
                <c:pt idx="9">
                  <c:v>0.10954311270968964</c:v>
                </c:pt>
                <c:pt idx="10">
                  <c:v>6.8145025392480699E-2</c:v>
                </c:pt>
                <c:pt idx="11">
                  <c:v>5.690167286960688E-2</c:v>
                </c:pt>
                <c:pt idx="12">
                  <c:v>4.8275767504526106E-2</c:v>
                </c:pt>
                <c:pt idx="13">
                  <c:v>4.7037804880075633E-2</c:v>
                </c:pt>
                <c:pt idx="14">
                  <c:v>4.1549345916430815E-2</c:v>
                </c:pt>
                <c:pt idx="15">
                  <c:v>3.5711494862127269E-2</c:v>
                </c:pt>
                <c:pt idx="16">
                  <c:v>2.6987960121410141E-2</c:v>
                </c:pt>
                <c:pt idx="17">
                  <c:v>2.5527765507996097E-2</c:v>
                </c:pt>
              </c:numCache>
            </c:numRef>
          </c:xVal>
          <c:yVal>
            <c:numRef>
              <c:f>vG_crest!$BI$28:$BI$45</c:f>
              <c:numCache>
                <c:formatCode>General</c:formatCode>
                <c:ptCount val="18"/>
                <c:pt idx="0">
                  <c:v>3.8194444444444448E-2</c:v>
                </c:pt>
                <c:pt idx="2">
                  <c:v>7.3333333333333334E-2</c:v>
                </c:pt>
                <c:pt idx="3">
                  <c:v>2.5352112676056339E-2</c:v>
                </c:pt>
                <c:pt idx="4">
                  <c:v>0.10718954248366012</c:v>
                </c:pt>
                <c:pt idx="5">
                  <c:v>5.862068965517242E-2</c:v>
                </c:pt>
                <c:pt idx="6">
                  <c:v>2.8260869565217388E-2</c:v>
                </c:pt>
                <c:pt idx="7">
                  <c:v>9.6598639455782315E-2</c:v>
                </c:pt>
                <c:pt idx="8">
                  <c:v>4.9999999999999996E-2</c:v>
                </c:pt>
                <c:pt idx="9">
                  <c:v>0.10833333333333334</c:v>
                </c:pt>
                <c:pt idx="10">
                  <c:v>7.4342105263157904E-2</c:v>
                </c:pt>
                <c:pt idx="11">
                  <c:v>6.5540540540540537E-2</c:v>
                </c:pt>
                <c:pt idx="12">
                  <c:v>5.8273381294964018E-2</c:v>
                </c:pt>
                <c:pt idx="13">
                  <c:v>5.6153846153846151E-2</c:v>
                </c:pt>
                <c:pt idx="14">
                  <c:v>3.5211267605633804E-2</c:v>
                </c:pt>
                <c:pt idx="15">
                  <c:v>3.6231884057971009E-2</c:v>
                </c:pt>
                <c:pt idx="16">
                  <c:v>1.4285714285714285E-2</c:v>
                </c:pt>
                <c:pt idx="17">
                  <c:v>1.1904761904761904E-2</c:v>
                </c:pt>
              </c:numCache>
            </c:numRef>
          </c:yVal>
          <c:smooth val="0"/>
        </c:ser>
        <c:ser>
          <c:idx val="2"/>
          <c:order val="2"/>
          <c:tx>
            <c:v>C</c:v>
          </c:tx>
          <c:spPr>
            <a:ln w="28575">
              <a:noFill/>
            </a:ln>
          </c:spPr>
          <c:marker>
            <c:symbol val="triang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vG_crest!$BL$50:$BL$67</c:f>
              <c:numCache>
                <c:formatCode>General</c:formatCode>
                <c:ptCount val="18"/>
                <c:pt idx="0">
                  <c:v>3.0890339702666931E-2</c:v>
                </c:pt>
                <c:pt idx="2">
                  <c:v>4.4192908434382706E-2</c:v>
                </c:pt>
                <c:pt idx="3">
                  <c:v>2.7906683702628218E-2</c:v>
                </c:pt>
                <c:pt idx="4">
                  <c:v>6.6628439548180277E-2</c:v>
                </c:pt>
                <c:pt idx="5">
                  <c:v>4.0912559900794288E-2</c:v>
                </c:pt>
                <c:pt idx="6">
                  <c:v>2.599387831578338E-2</c:v>
                </c:pt>
                <c:pt idx="7">
                  <c:v>7.0285676365869174E-2</c:v>
                </c:pt>
                <c:pt idx="8">
                  <c:v>4.5428160925727316E-2</c:v>
                </c:pt>
                <c:pt idx="9">
                  <c:v>9.1811313889775842E-2</c:v>
                </c:pt>
                <c:pt idx="10">
                  <c:v>5.7714664363019363E-2</c:v>
                </c:pt>
                <c:pt idx="11">
                  <c:v>4.7948612453060341E-2</c:v>
                </c:pt>
                <c:pt idx="12">
                  <c:v>4.016976176682583E-2</c:v>
                </c:pt>
                <c:pt idx="13">
                  <c:v>3.8571000001662019E-2</c:v>
                </c:pt>
                <c:pt idx="14">
                  <c:v>3.4725548229425751E-2</c:v>
                </c:pt>
                <c:pt idx="15">
                  <c:v>2.9670076558383933E-2</c:v>
                </c:pt>
                <c:pt idx="16">
                  <c:v>2.2243982756318514E-2</c:v>
                </c:pt>
                <c:pt idx="17">
                  <c:v>2.0780866963120787E-2</c:v>
                </c:pt>
              </c:numCache>
            </c:numRef>
          </c:xVal>
          <c:yVal>
            <c:numRef>
              <c:f>vG_crest!$BI$50:$BI$67</c:f>
              <c:numCache>
                <c:formatCode>General</c:formatCode>
                <c:ptCount val="18"/>
                <c:pt idx="0">
                  <c:v>4.5138888888888888E-2</c:v>
                </c:pt>
                <c:pt idx="2">
                  <c:v>7.0000000000000007E-2</c:v>
                </c:pt>
                <c:pt idx="3">
                  <c:v>2.95774647887324E-2</c:v>
                </c:pt>
                <c:pt idx="4">
                  <c:v>9.2810457516339859E-2</c:v>
                </c:pt>
                <c:pt idx="5">
                  <c:v>6.4137931034482773E-2</c:v>
                </c:pt>
                <c:pt idx="6">
                  <c:v>3.0434782608695653E-2</c:v>
                </c:pt>
                <c:pt idx="7">
                  <c:v>8.3673469387755106E-2</c:v>
                </c:pt>
                <c:pt idx="8">
                  <c:v>5.6428571428571432E-2</c:v>
                </c:pt>
                <c:pt idx="9">
                  <c:v>0.10347222222222223</c:v>
                </c:pt>
                <c:pt idx="10">
                  <c:v>7.8289473684210534E-2</c:v>
                </c:pt>
                <c:pt idx="11">
                  <c:v>7.1621621621621626E-2</c:v>
                </c:pt>
                <c:pt idx="12">
                  <c:v>7.2661870503597112E-2</c:v>
                </c:pt>
                <c:pt idx="13">
                  <c:v>5.8461538461538461E-2</c:v>
                </c:pt>
                <c:pt idx="14">
                  <c:v>4.4366197183098595E-2</c:v>
                </c:pt>
                <c:pt idx="15">
                  <c:v>4.2028985507246368E-2</c:v>
                </c:pt>
                <c:pt idx="16">
                  <c:v>1.7293233082706767E-2</c:v>
                </c:pt>
                <c:pt idx="17">
                  <c:v>1.8253968253968255E-2</c:v>
                </c:pt>
              </c:numCache>
            </c:numRef>
          </c:yVal>
          <c:smooth val="0"/>
        </c:ser>
        <c:ser>
          <c:idx val="3"/>
          <c:order val="3"/>
          <c:tx>
            <c:v>D</c:v>
          </c:tx>
          <c:spPr>
            <a:ln w="28575">
              <a:noFill/>
            </a:ln>
          </c:spPr>
          <c:marker>
            <c:symbol val="circ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vG_crest!$BL$50:$BL$67</c:f>
              <c:numCache>
                <c:formatCode>General</c:formatCode>
                <c:ptCount val="18"/>
                <c:pt idx="0">
                  <c:v>3.0890339702666931E-2</c:v>
                </c:pt>
                <c:pt idx="2">
                  <c:v>4.4192908434382706E-2</c:v>
                </c:pt>
                <c:pt idx="3">
                  <c:v>2.7906683702628218E-2</c:v>
                </c:pt>
                <c:pt idx="4">
                  <c:v>6.6628439548180277E-2</c:v>
                </c:pt>
                <c:pt idx="5">
                  <c:v>4.0912559900794288E-2</c:v>
                </c:pt>
                <c:pt idx="6">
                  <c:v>2.599387831578338E-2</c:v>
                </c:pt>
                <c:pt idx="7">
                  <c:v>7.0285676365869174E-2</c:v>
                </c:pt>
                <c:pt idx="8">
                  <c:v>4.5428160925727316E-2</c:v>
                </c:pt>
                <c:pt idx="9">
                  <c:v>9.1811313889775842E-2</c:v>
                </c:pt>
                <c:pt idx="10">
                  <c:v>5.7714664363019363E-2</c:v>
                </c:pt>
                <c:pt idx="11">
                  <c:v>4.7948612453060341E-2</c:v>
                </c:pt>
                <c:pt idx="12">
                  <c:v>4.016976176682583E-2</c:v>
                </c:pt>
                <c:pt idx="13">
                  <c:v>3.8571000001662019E-2</c:v>
                </c:pt>
                <c:pt idx="14">
                  <c:v>3.4725548229425751E-2</c:v>
                </c:pt>
                <c:pt idx="15">
                  <c:v>2.9670076558383933E-2</c:v>
                </c:pt>
                <c:pt idx="16">
                  <c:v>2.2243982756318514E-2</c:v>
                </c:pt>
                <c:pt idx="17">
                  <c:v>2.0780866963120787E-2</c:v>
                </c:pt>
              </c:numCache>
            </c:numRef>
          </c:xVal>
          <c:yVal>
            <c:numRef>
              <c:f>vG_crest!$BI$72:$BI$89</c:f>
              <c:numCache>
                <c:formatCode>General</c:formatCode>
                <c:ptCount val="18"/>
                <c:pt idx="0">
                  <c:v>3.6805555555555557E-2</c:v>
                </c:pt>
                <c:pt idx="2">
                  <c:v>6.1333333333333337E-2</c:v>
                </c:pt>
                <c:pt idx="3">
                  <c:v>2.6760563380281693E-2</c:v>
                </c:pt>
                <c:pt idx="4">
                  <c:v>8.4967320261437912E-2</c:v>
                </c:pt>
                <c:pt idx="5">
                  <c:v>5.5172413793103454E-2</c:v>
                </c:pt>
                <c:pt idx="6">
                  <c:v>2.681159420289855E-2</c:v>
                </c:pt>
                <c:pt idx="7">
                  <c:v>7.1428571428571438E-2</c:v>
                </c:pt>
                <c:pt idx="8">
                  <c:v>4.8571428571428564E-2</c:v>
                </c:pt>
                <c:pt idx="9">
                  <c:v>8.8888888888888906E-2</c:v>
                </c:pt>
                <c:pt idx="10">
                  <c:v>6.7105263157894737E-2</c:v>
                </c:pt>
                <c:pt idx="11">
                  <c:v>6.0135135135135138E-2</c:v>
                </c:pt>
                <c:pt idx="12">
                  <c:v>5.6834532374100723E-2</c:v>
                </c:pt>
                <c:pt idx="13">
                  <c:v>5.153846153846154E-2</c:v>
                </c:pt>
                <c:pt idx="14">
                  <c:v>4.0140845070422537E-2</c:v>
                </c:pt>
                <c:pt idx="15">
                  <c:v>3.768115942028985E-2</c:v>
                </c:pt>
                <c:pt idx="16">
                  <c:v>9.0225563909774424E-3</c:v>
                </c:pt>
                <c:pt idx="17">
                  <c:v>1.0317460317460317E-2</c:v>
                </c:pt>
              </c:numCache>
            </c:numRef>
          </c:yVal>
          <c:smooth val="0"/>
        </c:ser>
        <c:ser>
          <c:idx val="5"/>
          <c:order val="4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vG_crest!$CA$63:$CA$64</c:f>
              <c:numCache>
                <c:formatCode>General</c:formatCode>
                <c:ptCount val="2"/>
                <c:pt idx="0">
                  <c:v>0</c:v>
                </c:pt>
                <c:pt idx="1">
                  <c:v>3.5</c:v>
                </c:pt>
              </c:numCache>
            </c:numRef>
          </c:xVal>
          <c:yVal>
            <c:numRef>
              <c:f>vG_crest!$CB$63:$CB$64</c:f>
              <c:numCache>
                <c:formatCode>General</c:formatCode>
                <c:ptCount val="2"/>
                <c:pt idx="0">
                  <c:v>0</c:v>
                </c:pt>
                <c:pt idx="1">
                  <c:v>3.5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932480"/>
        <c:axId val="124934400"/>
      </c:scatterChart>
      <c:valAx>
        <c:axId val="124932480"/>
        <c:scaling>
          <c:orientation val="minMax"/>
          <c:max val="0.2"/>
          <c:min val="0"/>
        </c:scaling>
        <c:delete val="0"/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itchFamily="34" charset="0"/>
                    <a:ea typeface="+mn-ea"/>
                    <a:cs typeface="Arial" pitchFamily="34" charset="0"/>
                  </a:defRPr>
                </a:pPr>
                <a:r>
                  <a:rPr lang="nl-NL" sz="1200" b="0" i="0" baseline="0">
                    <a:effectLst/>
                  </a:rPr>
                  <a:t>h</a:t>
                </a:r>
                <a:r>
                  <a:rPr lang="nl-NL" sz="1200" b="0" i="0" baseline="-25000">
                    <a:effectLst/>
                  </a:rPr>
                  <a:t>2%</a:t>
                </a:r>
                <a:r>
                  <a:rPr lang="nl-NL" sz="1200" b="0" i="0" baseline="0">
                    <a:effectLst/>
                  </a:rPr>
                  <a:t> / H</a:t>
                </a:r>
                <a:r>
                  <a:rPr lang="nl-NL" sz="1200" b="0" i="0" baseline="-25000">
                    <a:effectLst/>
                  </a:rPr>
                  <a:t>m0 </a:t>
                </a:r>
                <a:r>
                  <a:rPr lang="nl-NL" sz="1200" b="0" i="0" baseline="0">
                    <a:effectLst/>
                  </a:rPr>
                  <a:t>eq. Trung</a:t>
                </a:r>
                <a:endParaRPr lang="nl-NL" sz="1200" baseline="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24934400"/>
        <c:crosses val="autoZero"/>
        <c:crossBetween val="midCat"/>
        <c:majorUnit val="5.000000000000001E-2"/>
      </c:valAx>
      <c:valAx>
        <c:axId val="124934400"/>
        <c:scaling>
          <c:orientation val="minMax"/>
          <c:max val="0.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nl-NL" sz="1200" b="0" i="0" baseline="0">
                    <a:effectLst/>
                  </a:rPr>
                  <a:t>h</a:t>
                </a:r>
                <a:r>
                  <a:rPr lang="nl-NL" sz="1200" b="0" i="0" baseline="-25000">
                    <a:effectLst/>
                  </a:rPr>
                  <a:t>2% </a:t>
                </a:r>
                <a:r>
                  <a:rPr lang="nl-NL" sz="1200" b="0" i="0" baseline="0">
                    <a:effectLst/>
                  </a:rPr>
                  <a:t>/ H</a:t>
                </a:r>
                <a:r>
                  <a:rPr lang="nl-NL" sz="1200" b="0" i="0" baseline="-25000">
                    <a:effectLst/>
                  </a:rPr>
                  <a:t>m0 </a:t>
                </a:r>
                <a:r>
                  <a:rPr lang="nl-NL" sz="1200" b="0" i="0" baseline="0">
                    <a:effectLst/>
                  </a:rPr>
                  <a:t>mea. van Gent</a:t>
                </a:r>
                <a:endParaRPr lang="nl-NL" sz="1200" baseline="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24932480"/>
        <c:crosses val="autoZero"/>
        <c:crossBetween val="midCat"/>
        <c:majorUnit val="5.000000000000001E-2"/>
      </c:valAx>
    </c:plotArea>
    <c:legend>
      <c:legendPos val="r"/>
      <c:legendEntry>
        <c:idx val="4"/>
        <c:delete val="1"/>
      </c:legendEntry>
      <c:overlay val="0"/>
    </c:legend>
    <c:plotVisOnly val="1"/>
    <c:dispBlanksAs val="gap"/>
    <c:showDLblsOverMax val="0"/>
  </c:chart>
  <c:txPr>
    <a:bodyPr/>
    <a:lstStyle/>
    <a:p>
      <a:pPr>
        <a:defRPr sz="1200" b="0">
          <a:latin typeface="Arial" pitchFamily="34" charset="0"/>
          <a:cs typeface="Arial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nl-NL" sz="1200"/>
              <a:t>Seaward-side</a:t>
            </a:r>
            <a:r>
              <a:rPr lang="nl-NL" sz="1200" baseline="0"/>
              <a:t> crest edge</a:t>
            </a:r>
            <a:endParaRPr lang="nl-NL" sz="1200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</c:v>
          </c:tx>
          <c:spPr>
            <a:ln w="28575">
              <a:noFill/>
            </a:ln>
          </c:spPr>
          <c:marker>
            <c:symbol val="diamond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vG_crest!$BF$28:$BF$45</c:f>
              <c:numCache>
                <c:formatCode>General</c:formatCode>
                <c:ptCount val="18"/>
                <c:pt idx="0">
                  <c:v>0.67091122819357063</c:v>
                </c:pt>
                <c:pt idx="1">
                  <c:v>0.37515883063121913</c:v>
                </c:pt>
                <c:pt idx="2">
                  <c:v>0.91597109908640584</c:v>
                </c:pt>
                <c:pt idx="3">
                  <c:v>0.57958997015396874</c:v>
                </c:pt>
                <c:pt idx="4">
                  <c:v>1.2558610500691247</c:v>
                </c:pt>
                <c:pt idx="5">
                  <c:v>0.82237141663963209</c:v>
                </c:pt>
                <c:pt idx="6">
                  <c:v>0.51875283365541758</c:v>
                </c:pt>
                <c:pt idx="7">
                  <c:v>1.2341699737304106</c:v>
                </c:pt>
                <c:pt idx="8">
                  <c:v>0.85551904376573662</c:v>
                </c:pt>
                <c:pt idx="9">
                  <c:v>1.3915500427240459</c:v>
                </c:pt>
                <c:pt idx="10">
                  <c:v>1.1123078930409778</c:v>
                </c:pt>
                <c:pt idx="11">
                  <c:v>0.96072609867535042</c:v>
                </c:pt>
                <c:pt idx="12">
                  <c:v>0.84274043161937329</c:v>
                </c:pt>
                <c:pt idx="13">
                  <c:v>0.8387852238586937</c:v>
                </c:pt>
                <c:pt idx="14">
                  <c:v>0.70656318694974851</c:v>
                </c:pt>
                <c:pt idx="15">
                  <c:v>0.6162401465881916</c:v>
                </c:pt>
                <c:pt idx="16">
                  <c:v>0.44313539394503676</c:v>
                </c:pt>
                <c:pt idx="17">
                  <c:v>0.4145476002268248</c:v>
                </c:pt>
              </c:numCache>
            </c:numRef>
          </c:xVal>
          <c:yVal>
            <c:numRef>
              <c:f>vG_crest!$AY$6:$AY$23</c:f>
              <c:numCache>
                <c:formatCode>General</c:formatCode>
                <c:ptCount val="18"/>
                <c:pt idx="0">
                  <c:v>0.84977827519935634</c:v>
                </c:pt>
                <c:pt idx="2">
                  <c:v>1.187086480390795</c:v>
                </c:pt>
                <c:pt idx="3">
                  <c:v>0.56767023973780406</c:v>
                </c:pt>
                <c:pt idx="4">
                  <c:v>1.4529135806322204</c:v>
                </c:pt>
                <c:pt idx="5">
                  <c:v>0.9558425213686812</c:v>
                </c:pt>
                <c:pt idx="6">
                  <c:v>0.46410870355080341</c:v>
                </c:pt>
                <c:pt idx="7">
                  <c:v>1.3073939813676074</c:v>
                </c:pt>
                <c:pt idx="8">
                  <c:v>1.0239593700982756</c:v>
                </c:pt>
                <c:pt idx="9">
                  <c:v>1.3966652839910212</c:v>
                </c:pt>
                <c:pt idx="10">
                  <c:v>1.1628723565391326</c:v>
                </c:pt>
                <c:pt idx="11">
                  <c:v>1.2033795886423229</c:v>
                </c:pt>
                <c:pt idx="12">
                  <c:v>1.1047087819741277</c:v>
                </c:pt>
                <c:pt idx="13">
                  <c:v>1.0183373210268887</c:v>
                </c:pt>
                <c:pt idx="14">
                  <c:v>0.85574170467937627</c:v>
                </c:pt>
                <c:pt idx="15">
                  <c:v>0.91102819585898442</c:v>
                </c:pt>
                <c:pt idx="16">
                  <c:v>0.50777073778219761</c:v>
                </c:pt>
                <c:pt idx="17">
                  <c:v>0.66559790064627178</c:v>
                </c:pt>
              </c:numCache>
            </c:numRef>
          </c:yVal>
          <c:smooth val="0"/>
        </c:ser>
        <c:ser>
          <c:idx val="1"/>
          <c:order val="1"/>
          <c:tx>
            <c:v>B</c:v>
          </c:tx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vG_crest!$BF$28:$BF$45</c:f>
              <c:numCache>
                <c:formatCode>General</c:formatCode>
                <c:ptCount val="18"/>
                <c:pt idx="0">
                  <c:v>0.67091122819357063</c:v>
                </c:pt>
                <c:pt idx="1">
                  <c:v>0.37515883063121913</c:v>
                </c:pt>
                <c:pt idx="2">
                  <c:v>0.91597109908640584</c:v>
                </c:pt>
                <c:pt idx="3">
                  <c:v>0.57958997015396874</c:v>
                </c:pt>
                <c:pt idx="4">
                  <c:v>1.2558610500691247</c:v>
                </c:pt>
                <c:pt idx="5">
                  <c:v>0.82237141663963209</c:v>
                </c:pt>
                <c:pt idx="6">
                  <c:v>0.51875283365541758</c:v>
                </c:pt>
                <c:pt idx="7">
                  <c:v>1.2341699737304106</c:v>
                </c:pt>
                <c:pt idx="8">
                  <c:v>0.85551904376573662</c:v>
                </c:pt>
                <c:pt idx="9">
                  <c:v>1.3915500427240459</c:v>
                </c:pt>
                <c:pt idx="10">
                  <c:v>1.1123078930409778</c:v>
                </c:pt>
                <c:pt idx="11">
                  <c:v>0.96072609867535042</c:v>
                </c:pt>
                <c:pt idx="12">
                  <c:v>0.84274043161937329</c:v>
                </c:pt>
                <c:pt idx="13">
                  <c:v>0.8387852238586937</c:v>
                </c:pt>
                <c:pt idx="14">
                  <c:v>0.70656318694974851</c:v>
                </c:pt>
                <c:pt idx="15">
                  <c:v>0.6162401465881916</c:v>
                </c:pt>
                <c:pt idx="16">
                  <c:v>0.44313539394503676</c:v>
                </c:pt>
                <c:pt idx="17">
                  <c:v>0.4145476002268248</c:v>
                </c:pt>
              </c:numCache>
            </c:numRef>
          </c:xVal>
          <c:yVal>
            <c:numRef>
              <c:f>vG_crest!$AY$28:$AY$45</c:f>
              <c:numCache>
                <c:formatCode>General</c:formatCode>
                <c:ptCount val="18"/>
                <c:pt idx="0">
                  <c:v>1.0601194324269199</c:v>
                </c:pt>
                <c:pt idx="2">
                  <c:v>1.2612793854152198</c:v>
                </c:pt>
                <c:pt idx="3">
                  <c:v>0.83879632438869545</c:v>
                </c:pt>
                <c:pt idx="4">
                  <c:v>1.4202638372472265</c:v>
                </c:pt>
                <c:pt idx="5">
                  <c:v>1.1654571093881287</c:v>
                </c:pt>
                <c:pt idx="6">
                  <c:v>0.72194687219013853</c:v>
                </c:pt>
                <c:pt idx="7">
                  <c:v>1.3656854327661632</c:v>
                </c:pt>
                <c:pt idx="8">
                  <c:v>1.1263553071081034</c:v>
                </c:pt>
                <c:pt idx="9">
                  <c:v>1.4303198691474315</c:v>
                </c:pt>
                <c:pt idx="10">
                  <c:v>1.2693325018560957</c:v>
                </c:pt>
                <c:pt idx="11">
                  <c:v>1.2697729452570719</c:v>
                </c:pt>
                <c:pt idx="12">
                  <c:v>1.2331632915060029</c:v>
                </c:pt>
                <c:pt idx="13">
                  <c:v>1.1423088209779881</c:v>
                </c:pt>
                <c:pt idx="14">
                  <c:v>0.92352322584209912</c:v>
                </c:pt>
                <c:pt idx="15">
                  <c:v>0.92821740710160683</c:v>
                </c:pt>
                <c:pt idx="16">
                  <c:v>0.66535475985253489</c:v>
                </c:pt>
                <c:pt idx="17">
                  <c:v>0.63861420197142282</c:v>
                </c:pt>
              </c:numCache>
            </c:numRef>
          </c:yVal>
          <c:smooth val="0"/>
        </c:ser>
        <c:ser>
          <c:idx val="2"/>
          <c:order val="2"/>
          <c:tx>
            <c:v>C</c:v>
          </c:tx>
          <c:spPr>
            <a:ln w="28575">
              <a:noFill/>
            </a:ln>
          </c:spPr>
          <c:marker>
            <c:symbol val="triang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vG_crest!$BF$28:$BF$45</c:f>
              <c:numCache>
                <c:formatCode>General</c:formatCode>
                <c:ptCount val="18"/>
                <c:pt idx="0">
                  <c:v>0.67091122819357063</c:v>
                </c:pt>
                <c:pt idx="1">
                  <c:v>0.37515883063121913</c:v>
                </c:pt>
                <c:pt idx="2">
                  <c:v>0.91597109908640584</c:v>
                </c:pt>
                <c:pt idx="3">
                  <c:v>0.57958997015396874</c:v>
                </c:pt>
                <c:pt idx="4">
                  <c:v>1.2558610500691247</c:v>
                </c:pt>
                <c:pt idx="5">
                  <c:v>0.82237141663963209</c:v>
                </c:pt>
                <c:pt idx="6">
                  <c:v>0.51875283365541758</c:v>
                </c:pt>
                <c:pt idx="7">
                  <c:v>1.2341699737304106</c:v>
                </c:pt>
                <c:pt idx="8">
                  <c:v>0.85551904376573662</c:v>
                </c:pt>
                <c:pt idx="9">
                  <c:v>1.3915500427240459</c:v>
                </c:pt>
                <c:pt idx="10">
                  <c:v>1.1123078930409778</c:v>
                </c:pt>
                <c:pt idx="11">
                  <c:v>0.96072609867535042</c:v>
                </c:pt>
                <c:pt idx="12">
                  <c:v>0.84274043161937329</c:v>
                </c:pt>
                <c:pt idx="13">
                  <c:v>0.8387852238586937</c:v>
                </c:pt>
                <c:pt idx="14">
                  <c:v>0.70656318694974851</c:v>
                </c:pt>
                <c:pt idx="15">
                  <c:v>0.6162401465881916</c:v>
                </c:pt>
                <c:pt idx="16">
                  <c:v>0.44313539394503676</c:v>
                </c:pt>
                <c:pt idx="17">
                  <c:v>0.4145476002268248</c:v>
                </c:pt>
              </c:numCache>
            </c:numRef>
          </c:xVal>
          <c:yVal>
            <c:numRef>
              <c:f>vG_crest!$AY$50:$AY$67</c:f>
              <c:numCache>
                <c:formatCode>General</c:formatCode>
                <c:ptCount val="18"/>
                <c:pt idx="0">
                  <c:v>0.94232838437948441</c:v>
                </c:pt>
                <c:pt idx="2">
                  <c:v>1.2942540098705198</c:v>
                </c:pt>
                <c:pt idx="3">
                  <c:v>0.79643287366199367</c:v>
                </c:pt>
                <c:pt idx="4">
                  <c:v>1.4937257598634626</c:v>
                </c:pt>
                <c:pt idx="5">
                  <c:v>1.1906108599504626</c:v>
                </c:pt>
                <c:pt idx="6">
                  <c:v>0.83367674526718383</c:v>
                </c:pt>
                <c:pt idx="7">
                  <c:v>1.3240486817671948</c:v>
                </c:pt>
                <c:pt idx="8">
                  <c:v>1.0239593700982756</c:v>
                </c:pt>
                <c:pt idx="9">
                  <c:v>1.3882516377019187</c:v>
                </c:pt>
                <c:pt idx="10">
                  <c:v>1.3102787115933889</c:v>
                </c:pt>
                <c:pt idx="11">
                  <c:v>1.2365762669496974</c:v>
                </c:pt>
                <c:pt idx="12">
                  <c:v>1.2074723895996278</c:v>
                </c:pt>
                <c:pt idx="13">
                  <c:v>1.1245986066992597</c:v>
                </c:pt>
                <c:pt idx="14">
                  <c:v>0.94046860613277983</c:v>
                </c:pt>
                <c:pt idx="15">
                  <c:v>0.97978504082947371</c:v>
                </c:pt>
                <c:pt idx="16">
                  <c:v>0.59531741671016281</c:v>
                </c:pt>
                <c:pt idx="17">
                  <c:v>0.62062506952152363</c:v>
                </c:pt>
              </c:numCache>
            </c:numRef>
          </c:yVal>
          <c:smooth val="0"/>
        </c:ser>
        <c:ser>
          <c:idx val="3"/>
          <c:order val="3"/>
          <c:tx>
            <c:v>D</c:v>
          </c:tx>
          <c:spPr>
            <a:ln w="28575">
              <a:noFill/>
            </a:ln>
          </c:spPr>
          <c:marker>
            <c:symbol val="circ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vG_crest!$BF$28:$BF$45</c:f>
              <c:numCache>
                <c:formatCode>General</c:formatCode>
                <c:ptCount val="18"/>
                <c:pt idx="0">
                  <c:v>0.67091122819357063</c:v>
                </c:pt>
                <c:pt idx="1">
                  <c:v>0.37515883063121913</c:v>
                </c:pt>
                <c:pt idx="2">
                  <c:v>0.91597109908640584</c:v>
                </c:pt>
                <c:pt idx="3">
                  <c:v>0.57958997015396874</c:v>
                </c:pt>
                <c:pt idx="4">
                  <c:v>1.2558610500691247</c:v>
                </c:pt>
                <c:pt idx="5">
                  <c:v>0.82237141663963209</c:v>
                </c:pt>
                <c:pt idx="6">
                  <c:v>0.51875283365541758</c:v>
                </c:pt>
                <c:pt idx="7">
                  <c:v>1.2341699737304106</c:v>
                </c:pt>
                <c:pt idx="8">
                  <c:v>0.85551904376573662</c:v>
                </c:pt>
                <c:pt idx="9">
                  <c:v>1.3915500427240459</c:v>
                </c:pt>
                <c:pt idx="10">
                  <c:v>1.1123078930409778</c:v>
                </c:pt>
                <c:pt idx="11">
                  <c:v>0.96072609867535042</c:v>
                </c:pt>
                <c:pt idx="12">
                  <c:v>0.84274043161937329</c:v>
                </c:pt>
                <c:pt idx="13">
                  <c:v>0.8387852238586937</c:v>
                </c:pt>
                <c:pt idx="14">
                  <c:v>0.70656318694974851</c:v>
                </c:pt>
                <c:pt idx="15">
                  <c:v>0.6162401465881916</c:v>
                </c:pt>
                <c:pt idx="16">
                  <c:v>0.44313539394503676</c:v>
                </c:pt>
                <c:pt idx="17">
                  <c:v>0.4145476002268248</c:v>
                </c:pt>
              </c:numCache>
            </c:numRef>
          </c:xVal>
          <c:yVal>
            <c:numRef>
              <c:f>vG_crest!$AY$72:$AY$87</c:f>
              <c:numCache>
                <c:formatCode>General</c:formatCode>
                <c:ptCount val="16"/>
                <c:pt idx="0">
                  <c:v>0.57212794765897268</c:v>
                </c:pt>
                <c:pt idx="2">
                  <c:v>1.1788428242769702</c:v>
                </c:pt>
                <c:pt idx="3">
                  <c:v>0.47447064813906015</c:v>
                </c:pt>
                <c:pt idx="4">
                  <c:v>1.2978272995535003</c:v>
                </c:pt>
                <c:pt idx="5">
                  <c:v>1.0145346060141265</c:v>
                </c:pt>
                <c:pt idx="6">
                  <c:v>0.48129791479342576</c:v>
                </c:pt>
                <c:pt idx="7">
                  <c:v>1.1991384287702895</c:v>
                </c:pt>
                <c:pt idx="8">
                  <c:v>0.81063450132780157</c:v>
                </c:pt>
                <c:pt idx="9">
                  <c:v>1.295701528521791</c:v>
                </c:pt>
                <c:pt idx="10">
                  <c:v>1.2120078082238848</c:v>
                </c:pt>
                <c:pt idx="11">
                  <c:v>1.0456953666822943</c:v>
                </c:pt>
                <c:pt idx="12">
                  <c:v>0.95912700450466903</c:v>
                </c:pt>
                <c:pt idx="13">
                  <c:v>0.88551071393642489</c:v>
                </c:pt>
                <c:pt idx="14">
                  <c:v>0.76254211308063224</c:v>
                </c:pt>
                <c:pt idx="15">
                  <c:v>0.58443318224915985</c:v>
                </c:pt>
              </c:numCache>
            </c:numRef>
          </c:yVal>
          <c:smooth val="0"/>
        </c:ser>
        <c:ser>
          <c:idx val="5"/>
          <c:order val="4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vG_crest!$CY$2:$CY$3</c:f>
              <c:numCache>
                <c:formatCode>General</c:formatCode>
                <c:ptCount val="2"/>
                <c:pt idx="0">
                  <c:v>0</c:v>
                </c:pt>
                <c:pt idx="1">
                  <c:v>2.5</c:v>
                </c:pt>
              </c:numCache>
            </c:numRef>
          </c:xVal>
          <c:yVal>
            <c:numRef>
              <c:f>vG_crest!$CZ$2:$CZ$3</c:f>
              <c:numCache>
                <c:formatCode>General</c:formatCode>
                <c:ptCount val="2"/>
                <c:pt idx="0">
                  <c:v>0</c:v>
                </c:pt>
                <c:pt idx="1">
                  <c:v>2.5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971264"/>
        <c:axId val="125632896"/>
      </c:scatterChart>
      <c:valAx>
        <c:axId val="124971264"/>
        <c:scaling>
          <c:orientation val="minMax"/>
          <c:max val="2.5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nl-NL" sz="1200" b="0" i="0" baseline="0">
                    <a:effectLst/>
                  </a:rPr>
                  <a:t>u</a:t>
                </a:r>
                <a:r>
                  <a:rPr lang="nl-NL" sz="1200" b="0" i="0" baseline="-25000">
                    <a:effectLst/>
                  </a:rPr>
                  <a:t>A, 2%</a:t>
                </a:r>
                <a:r>
                  <a:rPr lang="nl-NL" sz="1200" b="0" i="0" baseline="0">
                    <a:effectLst/>
                  </a:rPr>
                  <a:t> / (gH</a:t>
                </a:r>
                <a:r>
                  <a:rPr lang="nl-NL" sz="1200" b="0" i="0" baseline="-25000">
                    <a:effectLst/>
                  </a:rPr>
                  <a:t>m0</a:t>
                </a:r>
                <a:r>
                  <a:rPr lang="nl-NL" sz="1200" b="0" i="0" baseline="0">
                    <a:effectLst/>
                  </a:rPr>
                  <a:t>)</a:t>
                </a:r>
                <a:r>
                  <a:rPr lang="nl-NL" sz="1200" b="0" i="0" baseline="30000">
                    <a:effectLst/>
                  </a:rPr>
                  <a:t>0.5 </a:t>
                </a:r>
                <a:r>
                  <a:rPr lang="nl-NL" sz="1200" b="0" i="0" baseline="0">
                    <a:effectLst/>
                  </a:rPr>
                  <a:t>com. by Trung</a:t>
                </a:r>
                <a:endParaRPr lang="nl-NL" sz="1200" baseline="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25632896"/>
        <c:crosses val="autoZero"/>
        <c:crossBetween val="midCat"/>
        <c:majorUnit val="0.5"/>
      </c:valAx>
      <c:valAx>
        <c:axId val="125632896"/>
        <c:scaling>
          <c:orientation val="minMax"/>
          <c:max val="2.5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itchFamily="34" charset="0"/>
                    <a:ea typeface="+mn-ea"/>
                    <a:cs typeface="Arial" pitchFamily="34" charset="0"/>
                  </a:defRPr>
                </a:pPr>
                <a:r>
                  <a:rPr lang="nl-NL" sz="1200" b="0" i="0" baseline="0">
                    <a:effectLst/>
                  </a:rPr>
                  <a:t>u</a:t>
                </a:r>
                <a:r>
                  <a:rPr lang="nl-NL" sz="1200" b="0" i="0" baseline="-25000">
                    <a:effectLst/>
                  </a:rPr>
                  <a:t>2% </a:t>
                </a:r>
                <a:r>
                  <a:rPr lang="nl-NL" sz="1200" b="0" i="0" baseline="0">
                    <a:effectLst/>
                  </a:rPr>
                  <a:t>/ (gH</a:t>
                </a:r>
                <a:r>
                  <a:rPr lang="nl-NL" sz="1200" b="0" i="0" baseline="-25000">
                    <a:effectLst/>
                  </a:rPr>
                  <a:t>m0</a:t>
                </a:r>
                <a:r>
                  <a:rPr lang="nl-NL" sz="1200" b="0" i="0" baseline="0">
                    <a:effectLst/>
                  </a:rPr>
                  <a:t>)</a:t>
                </a:r>
                <a:r>
                  <a:rPr lang="nl-NL" sz="1200" b="0" i="0" baseline="30000">
                    <a:effectLst/>
                  </a:rPr>
                  <a:t>0.5 </a:t>
                </a:r>
                <a:r>
                  <a:rPr lang="nl-NL" sz="1200" b="0" i="0" baseline="0">
                    <a:effectLst/>
                  </a:rPr>
                  <a:t>mea. by van Gent</a:t>
                </a:r>
                <a:endParaRPr lang="nl-NL" sz="12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24971264"/>
        <c:crosses val="autoZero"/>
        <c:crossBetween val="midCat"/>
        <c:majorUnit val="0.5"/>
      </c:valAx>
    </c:plotArea>
    <c:legend>
      <c:legendPos val="r"/>
      <c:legendEntry>
        <c:idx val="4"/>
        <c:delete val="1"/>
      </c:legendEntry>
      <c:overlay val="0"/>
    </c:legend>
    <c:plotVisOnly val="1"/>
    <c:dispBlanksAs val="gap"/>
    <c:showDLblsOverMax val="0"/>
  </c:chart>
  <c:txPr>
    <a:bodyPr/>
    <a:lstStyle/>
    <a:p>
      <a:pPr>
        <a:defRPr sz="1200" b="0">
          <a:latin typeface="Arial" pitchFamily="34" charset="0"/>
          <a:cs typeface="Arial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nl-NL" sz="1200"/>
              <a:t>Landward-side crest edge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5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vG_crest!$CA$63:$CA$64</c:f>
              <c:numCache>
                <c:formatCode>General</c:formatCode>
                <c:ptCount val="2"/>
                <c:pt idx="0">
                  <c:v>0</c:v>
                </c:pt>
                <c:pt idx="1">
                  <c:v>3.5</c:v>
                </c:pt>
              </c:numCache>
            </c:numRef>
          </c:xVal>
          <c:yVal>
            <c:numRef>
              <c:f>vG_crest!$CB$63:$CB$64</c:f>
              <c:numCache>
                <c:formatCode>General</c:formatCode>
                <c:ptCount val="2"/>
                <c:pt idx="0">
                  <c:v>0</c:v>
                </c:pt>
                <c:pt idx="1">
                  <c:v>3.5</c:v>
                </c:pt>
              </c:numCache>
            </c:numRef>
          </c:yVal>
          <c:smooth val="0"/>
        </c:ser>
        <c:ser>
          <c:idx val="4"/>
          <c:order val="1"/>
          <c:tx>
            <c:v>D'</c:v>
          </c:tx>
          <c:spPr>
            <a:ln w="28575">
              <a:noFill/>
            </a:ln>
          </c:spPr>
          <c:marker>
            <c:symbol val="dot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vG_crest!$BL$94:$BL$111</c:f>
              <c:numCache>
                <c:formatCode>General</c:formatCode>
                <c:ptCount val="18"/>
                <c:pt idx="0">
                  <c:v>3.7068407643200317E-2</c:v>
                </c:pt>
                <c:pt idx="1">
                  <c:v>2.3944891157888858E-2</c:v>
                </c:pt>
                <c:pt idx="2">
                  <c:v>5.3031490121259246E-2</c:v>
                </c:pt>
                <c:pt idx="3">
                  <c:v>3.3488020443153861E-2</c:v>
                </c:pt>
                <c:pt idx="4">
                  <c:v>7.9954127457816326E-2</c:v>
                </c:pt>
                <c:pt idx="5">
                  <c:v>4.9095071880953141E-2</c:v>
                </c:pt>
                <c:pt idx="6">
                  <c:v>3.1192653978940055E-2</c:v>
                </c:pt>
                <c:pt idx="7">
                  <c:v>8.4342811639043003E-2</c:v>
                </c:pt>
                <c:pt idx="8">
                  <c:v>5.4513793110872781E-2</c:v>
                </c:pt>
                <c:pt idx="9">
                  <c:v>0.110173576667731</c:v>
                </c:pt>
                <c:pt idx="10">
                  <c:v>6.9257597235623233E-2</c:v>
                </c:pt>
                <c:pt idx="11">
                  <c:v>5.7538334943672408E-2</c:v>
                </c:pt>
                <c:pt idx="12">
                  <c:v>4.8203714120190998E-2</c:v>
                </c:pt>
                <c:pt idx="13">
                  <c:v>4.6285200001994424E-2</c:v>
                </c:pt>
                <c:pt idx="14">
                  <c:v>4.16706578753109E-2</c:v>
                </c:pt>
                <c:pt idx="15">
                  <c:v>3.5604091870060715E-2</c:v>
                </c:pt>
                <c:pt idx="16">
                  <c:v>2.6692779307582216E-2</c:v>
                </c:pt>
                <c:pt idx="17">
                  <c:v>2.4937040355744945E-2</c:v>
                </c:pt>
              </c:numCache>
            </c:numRef>
          </c:xVal>
          <c:yVal>
            <c:numRef>
              <c:f>vG_crest!$BI$94:$BI$111</c:f>
              <c:numCache>
                <c:formatCode>General</c:formatCode>
                <c:ptCount val="18"/>
                <c:pt idx="0">
                  <c:v>3.125E-2</c:v>
                </c:pt>
                <c:pt idx="2">
                  <c:v>0.08</c:v>
                </c:pt>
                <c:pt idx="4">
                  <c:v>0.10588235294117647</c:v>
                </c:pt>
                <c:pt idx="5">
                  <c:v>5.3103448275862074E-2</c:v>
                </c:pt>
                <c:pt idx="7">
                  <c:v>8.9795918367346947E-2</c:v>
                </c:pt>
                <c:pt idx="8">
                  <c:v>4.5714285714285714E-2</c:v>
                </c:pt>
                <c:pt idx="9">
                  <c:v>0.1076388888888889</c:v>
                </c:pt>
                <c:pt idx="10">
                  <c:v>7.8947368421052641E-2</c:v>
                </c:pt>
                <c:pt idx="11">
                  <c:v>6.824324324324324E-2</c:v>
                </c:pt>
                <c:pt idx="12">
                  <c:v>5.6115107913669054E-2</c:v>
                </c:pt>
                <c:pt idx="13">
                  <c:v>5.2307692307692305E-2</c:v>
                </c:pt>
                <c:pt idx="14">
                  <c:v>2.6760563380281693E-2</c:v>
                </c:pt>
                <c:pt idx="15">
                  <c:v>2.681159420289855E-2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666816"/>
        <c:axId val="125669376"/>
      </c:scatterChart>
      <c:valAx>
        <c:axId val="125666816"/>
        <c:scaling>
          <c:orientation val="minMax"/>
          <c:max val="0.2"/>
          <c:min val="0"/>
        </c:scaling>
        <c:delete val="0"/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itchFamily="34" charset="0"/>
                    <a:ea typeface="+mn-ea"/>
                    <a:cs typeface="Arial" pitchFamily="34" charset="0"/>
                  </a:defRPr>
                </a:pPr>
                <a:r>
                  <a:rPr lang="nl-NL" sz="1200" b="0" i="0" baseline="0">
                    <a:effectLst/>
                  </a:rPr>
                  <a:t>h</a:t>
                </a:r>
                <a:r>
                  <a:rPr lang="nl-NL" sz="1200" b="0" i="0" baseline="-25000">
                    <a:effectLst/>
                  </a:rPr>
                  <a:t>2%</a:t>
                </a:r>
                <a:r>
                  <a:rPr lang="nl-NL" sz="1200" b="0" i="0" baseline="0">
                    <a:effectLst/>
                  </a:rPr>
                  <a:t> / H</a:t>
                </a:r>
                <a:r>
                  <a:rPr lang="nl-NL" sz="1200" b="0" i="0" baseline="-25000">
                    <a:effectLst/>
                  </a:rPr>
                  <a:t>m0 </a:t>
                </a:r>
                <a:r>
                  <a:rPr lang="nl-NL" sz="1200" b="0" i="0" baseline="0">
                    <a:effectLst/>
                  </a:rPr>
                  <a:t>eq. Trung</a:t>
                </a:r>
                <a:endParaRPr lang="nl-NL" sz="1200" baseline="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25669376"/>
        <c:crosses val="autoZero"/>
        <c:crossBetween val="midCat"/>
        <c:majorUnit val="5.000000000000001E-2"/>
      </c:valAx>
      <c:valAx>
        <c:axId val="125669376"/>
        <c:scaling>
          <c:orientation val="minMax"/>
          <c:max val="0.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nl-NL" sz="1200" b="0" i="0" baseline="0">
                    <a:effectLst/>
                  </a:rPr>
                  <a:t>h</a:t>
                </a:r>
                <a:r>
                  <a:rPr lang="nl-NL" sz="1200" b="0" i="0" baseline="-25000">
                    <a:effectLst/>
                  </a:rPr>
                  <a:t>2% </a:t>
                </a:r>
                <a:r>
                  <a:rPr lang="nl-NL" sz="1200" b="0" i="0" baseline="0">
                    <a:effectLst/>
                  </a:rPr>
                  <a:t>/ H</a:t>
                </a:r>
                <a:r>
                  <a:rPr lang="nl-NL" sz="1200" b="0" i="0" baseline="-25000">
                    <a:effectLst/>
                  </a:rPr>
                  <a:t>m0 </a:t>
                </a:r>
                <a:r>
                  <a:rPr lang="nl-NL" sz="1200" b="0" i="0" baseline="0">
                    <a:effectLst/>
                  </a:rPr>
                  <a:t>mea. van Gent</a:t>
                </a:r>
                <a:endParaRPr lang="nl-NL" sz="1200" baseline="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25666816"/>
        <c:crosses val="autoZero"/>
        <c:crossBetween val="midCat"/>
        <c:majorUnit val="5.000000000000001E-2"/>
      </c:valAx>
    </c:plotArea>
    <c:legend>
      <c:legendPos val="r"/>
      <c:legendEntry>
        <c:idx val="0"/>
        <c:delete val="1"/>
      </c:legendEntry>
      <c:overlay val="0"/>
    </c:legend>
    <c:plotVisOnly val="1"/>
    <c:dispBlanksAs val="gap"/>
    <c:showDLblsOverMax val="0"/>
  </c:chart>
  <c:txPr>
    <a:bodyPr/>
    <a:lstStyle/>
    <a:p>
      <a:pPr>
        <a:defRPr sz="1200" b="0">
          <a:latin typeface="Arial" pitchFamily="34" charset="0"/>
          <a:cs typeface="Arial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nl-NL" sz="1200" baseline="0"/>
              <a:t>Flow velocity on landward-side slope</a:t>
            </a:r>
            <a:endParaRPr lang="nl-NL" sz="1200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</c:v>
          </c:tx>
          <c:spPr>
            <a:ln w="28575">
              <a:noFill/>
            </a:ln>
          </c:spPr>
          <c:marker>
            <c:symbol val="diamond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vG_landward!$AW$5:$AW$22</c:f>
              <c:numCache>
                <c:formatCode>General</c:formatCode>
                <c:ptCount val="18"/>
                <c:pt idx="0">
                  <c:v>1.099242139410076</c:v>
                </c:pt>
                <c:pt idx="2">
                  <c:v>1.433501808373685</c:v>
                </c:pt>
                <c:pt idx="3">
                  <c:v>0.95383137920251881</c:v>
                </c:pt>
                <c:pt idx="4">
                  <c:v>1.8955610443102762</c:v>
                </c:pt>
                <c:pt idx="5">
                  <c:v>1.2893840202052453</c:v>
                </c:pt>
                <c:pt idx="6">
                  <c:v>0.85464982799226719</c:v>
                </c:pt>
                <c:pt idx="7">
                  <c:v>1.8545093992727744</c:v>
                </c:pt>
                <c:pt idx="8">
                  <c:v>1.3274452761688458</c:v>
                </c:pt>
                <c:pt idx="9">
                  <c:v>2.0488198721435138</c:v>
                </c:pt>
                <c:pt idx="10">
                  <c:v>1.6930407971509625</c:v>
                </c:pt>
                <c:pt idx="11">
                  <c:v>1.4826195338471555</c:v>
                </c:pt>
                <c:pt idx="12">
                  <c:v>1.3283568472203995</c:v>
                </c:pt>
                <c:pt idx="13">
                  <c:v>1.3412845679443215</c:v>
                </c:pt>
                <c:pt idx="14">
                  <c:v>1.1251288121213134</c:v>
                </c:pt>
                <c:pt idx="15">
                  <c:v>0.99735877556780483</c:v>
                </c:pt>
                <c:pt idx="16">
                  <c:v>0.748453011024661</c:v>
                </c:pt>
                <c:pt idx="17">
                  <c:v>0.71604976762814221</c:v>
                </c:pt>
              </c:numCache>
            </c:numRef>
          </c:xVal>
          <c:yVal>
            <c:numRef>
              <c:f>vG_landward!$AJ$5:$AJ$22</c:f>
              <c:numCache>
                <c:formatCode>General</c:formatCode>
                <c:ptCount val="18"/>
                <c:pt idx="0">
                  <c:v>1.3798379914128163</c:v>
                </c:pt>
                <c:pt idx="2">
                  <c:v>1.1541118559354953</c:v>
                </c:pt>
                <c:pt idx="3">
                  <c:v>0.75406942293529189</c:v>
                </c:pt>
                <c:pt idx="4">
                  <c:v>1.2815024278610034</c:v>
                </c:pt>
                <c:pt idx="5">
                  <c:v>1.0229191895349043</c:v>
                </c:pt>
                <c:pt idx="6">
                  <c:v>0.68756844970489395</c:v>
                </c:pt>
                <c:pt idx="7">
                  <c:v>1.1991384287702895</c:v>
                </c:pt>
                <c:pt idx="8">
                  <c:v>1.0495583543507325</c:v>
                </c:pt>
                <c:pt idx="9">
                  <c:v>1.2452196507871756</c:v>
                </c:pt>
                <c:pt idx="10">
                  <c:v>1.1219261468018393</c:v>
                </c:pt>
                <c:pt idx="11">
                  <c:v>1.1286870624507306</c:v>
                </c:pt>
                <c:pt idx="12">
                  <c:v>1.0875815140365444</c:v>
                </c:pt>
                <c:pt idx="13">
                  <c:v>1.0803230710024383</c:v>
                </c:pt>
                <c:pt idx="14">
                  <c:v>0.9065778455514184</c:v>
                </c:pt>
                <c:pt idx="15">
                  <c:v>0.87664977337373973</c:v>
                </c:pt>
                <c:pt idx="16">
                  <c:v>0.54278940935338371</c:v>
                </c:pt>
                <c:pt idx="17">
                  <c:v>0.56665767217182594</c:v>
                </c:pt>
              </c:numCache>
            </c:numRef>
          </c:yVal>
          <c:smooth val="0"/>
        </c:ser>
        <c:ser>
          <c:idx val="2"/>
          <c:order val="1"/>
          <c:tx>
            <c:v>C</c:v>
          </c:tx>
          <c:spPr>
            <a:ln w="28575">
              <a:noFill/>
            </a:ln>
          </c:spPr>
          <c:marker>
            <c:symbol val="triang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vG_landward!$AW$49:$AW$66</c:f>
              <c:numCache>
                <c:formatCode>General</c:formatCode>
                <c:ptCount val="18"/>
                <c:pt idx="0">
                  <c:v>0.76591399740567279</c:v>
                </c:pt>
                <c:pt idx="2">
                  <c:v>1.0173238640071312</c:v>
                </c:pt>
                <c:pt idx="4">
                  <c:v>1.3567091997495531</c:v>
                </c:pt>
                <c:pt idx="5">
                  <c:v>0.90127511780232861</c:v>
                </c:pt>
                <c:pt idx="7">
                  <c:v>1.3043912518286422</c:v>
                </c:pt>
                <c:pt idx="8">
                  <c:v>0.91261862736608146</c:v>
                </c:pt>
                <c:pt idx="9">
                  <c:v>1.4275469998627985</c:v>
                </c:pt>
                <c:pt idx="10">
                  <c:v>1.208391713997061</c:v>
                </c:pt>
                <c:pt idx="11">
                  <c:v>1.0459841999261998</c:v>
                </c:pt>
                <c:pt idx="12">
                  <c:v>0.91004993242041388</c:v>
                </c:pt>
                <c:pt idx="13">
                  <c:v>0.88746648104586678</c:v>
                </c:pt>
                <c:pt idx="14">
                  <c:v>0.778816934245396</c:v>
                </c:pt>
                <c:pt idx="15">
                  <c:v>0.68084858586010943</c:v>
                </c:pt>
              </c:numCache>
            </c:numRef>
          </c:xVal>
          <c:yVal>
            <c:numRef>
              <c:f>vG_landward!$AJ$49:$AJ$66</c:f>
              <c:numCache>
                <c:formatCode>General</c:formatCode>
                <c:ptCount val="18"/>
                <c:pt idx="0">
                  <c:v>1.2452196507871756</c:v>
                </c:pt>
                <c:pt idx="2">
                  <c:v>1.4508834760331941</c:v>
                </c:pt>
                <c:pt idx="4">
                  <c:v>1.4937257598634626</c:v>
                </c:pt>
                <c:pt idx="5">
                  <c:v>1.3666871138867984</c:v>
                </c:pt>
                <c:pt idx="7">
                  <c:v>1.4822683355632746</c:v>
                </c:pt>
                <c:pt idx="8">
                  <c:v>1.3396801758785775</c:v>
                </c:pt>
                <c:pt idx="9">
                  <c:v>1.4976290394602518</c:v>
                </c:pt>
                <c:pt idx="10">
                  <c:v>1.4249280988578106</c:v>
                </c:pt>
                <c:pt idx="11">
                  <c:v>1.3942604889097259</c:v>
                </c:pt>
                <c:pt idx="12">
                  <c:v>1.3701814350066699</c:v>
                </c:pt>
                <c:pt idx="13">
                  <c:v>1.4345273565770085</c:v>
                </c:pt>
                <c:pt idx="14">
                  <c:v>1.2878489020917345</c:v>
                </c:pt>
                <c:pt idx="15">
                  <c:v>1.1430825476343862</c:v>
                </c:pt>
              </c:numCache>
            </c:numRef>
          </c:yVal>
          <c:smooth val="0"/>
        </c:ser>
        <c:ser>
          <c:idx val="4"/>
          <c:order val="2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vG_landward!$BH$49:$BH$50</c:f>
              <c:numCache>
                <c:formatCode>General</c:formatCode>
                <c:ptCount val="2"/>
                <c:pt idx="0">
                  <c:v>0</c:v>
                </c:pt>
                <c:pt idx="1">
                  <c:v>4</c:v>
                </c:pt>
              </c:numCache>
            </c:numRef>
          </c:xVal>
          <c:yVal>
            <c:numRef>
              <c:f>vG_landward!$BI$49:$BI$50</c:f>
              <c:numCache>
                <c:formatCode>General</c:formatCode>
                <c:ptCount val="2"/>
                <c:pt idx="0">
                  <c:v>0</c:v>
                </c:pt>
                <c:pt idx="1">
                  <c:v>4</c:v>
                </c:pt>
              </c:numCache>
            </c:numRef>
          </c:yVal>
          <c:smooth val="0"/>
        </c:ser>
        <c:ser>
          <c:idx val="1"/>
          <c:order val="3"/>
          <c:spPr>
            <a:ln w="28575">
              <a:noFill/>
            </a:ln>
          </c:spPr>
          <c:marker>
            <c:symbol val="diamond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vG_landward!$AX$5:$AX$22</c:f>
              <c:numCache>
                <c:formatCode>General</c:formatCode>
                <c:ptCount val="18"/>
                <c:pt idx="0">
                  <c:v>1.4576906631307529</c:v>
                </c:pt>
                <c:pt idx="2">
                  <c:v>1.8861865899653751</c:v>
                </c:pt>
                <c:pt idx="3">
                  <c:v>1.2682812844341183</c:v>
                </c:pt>
                <c:pt idx="4">
                  <c:v>2.4848546332150252</c:v>
                </c:pt>
                <c:pt idx="5">
                  <c:v>1.7075626213528925</c:v>
                </c:pt>
                <c:pt idx="6">
                  <c:v>1.142734039675054</c:v>
                </c:pt>
                <c:pt idx="7">
                  <c:v>2.4495391530501349</c:v>
                </c:pt>
                <c:pt idx="8">
                  <c:v>1.7699270348917944</c:v>
                </c:pt>
                <c:pt idx="9">
                  <c:v>2.7169133087120509</c:v>
                </c:pt>
                <c:pt idx="10">
                  <c:v>2.2221160462606382</c:v>
                </c:pt>
                <c:pt idx="11">
                  <c:v>1.9557959808196521</c:v>
                </c:pt>
                <c:pt idx="12">
                  <c:v>1.7736161256182987</c:v>
                </c:pt>
                <c:pt idx="13">
                  <c:v>1.8146791213364348</c:v>
                </c:pt>
                <c:pt idx="14">
                  <c:v>1.4960503985349332</c:v>
                </c:pt>
                <c:pt idx="15">
                  <c:v>1.3335471268827954</c:v>
                </c:pt>
                <c:pt idx="16">
                  <c:v>1.0080320899927515</c:v>
                </c:pt>
                <c:pt idx="17">
                  <c:v>0.97486293665036239</c:v>
                </c:pt>
              </c:numCache>
            </c:numRef>
          </c:xVal>
          <c:yVal>
            <c:numRef>
              <c:f>vG_landward!$AL$5:$AL$22</c:f>
              <c:numCache>
                <c:formatCode>General</c:formatCode>
                <c:ptCount val="18"/>
                <c:pt idx="0">
                  <c:v>1.5396972709057646</c:v>
                </c:pt>
                <c:pt idx="2">
                  <c:v>2.0361830601147668</c:v>
                </c:pt>
                <c:pt idx="4">
                  <c:v>2.2528322935645662</c:v>
                </c:pt>
                <c:pt idx="5">
                  <c:v>1.8781467086542509</c:v>
                </c:pt>
                <c:pt idx="6">
                  <c:v>1.0485418857999631</c:v>
                </c:pt>
                <c:pt idx="7">
                  <c:v>2.1734384021461497</c:v>
                </c:pt>
                <c:pt idx="8">
                  <c:v>1.8175278819244394</c:v>
                </c:pt>
                <c:pt idx="9">
                  <c:v>2.1370661574320446</c:v>
                </c:pt>
                <c:pt idx="10">
                  <c:v>2.0145535190748354</c:v>
                </c:pt>
                <c:pt idx="11">
                  <c:v>2.0249973767498402</c:v>
                </c:pt>
                <c:pt idx="12">
                  <c:v>1.9696358128220879</c:v>
                </c:pt>
                <c:pt idx="13">
                  <c:v>1.9569786777994991</c:v>
                </c:pt>
                <c:pt idx="14">
                  <c:v>1.5505022965972857</c:v>
                </c:pt>
                <c:pt idx="15">
                  <c:v>1.5642182230786337</c:v>
                </c:pt>
              </c:numCache>
            </c:numRef>
          </c:yVal>
          <c:smooth val="0"/>
        </c:ser>
        <c:ser>
          <c:idx val="3"/>
          <c:order val="4"/>
          <c:spPr>
            <a:ln w="28575">
              <a:noFill/>
            </a:ln>
          </c:spPr>
          <c:marker>
            <c:symbol val="diamond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vG_landward!$AY$5:$AY$22</c:f>
              <c:numCache>
                <c:formatCode>General</c:formatCode>
                <c:ptCount val="18"/>
                <c:pt idx="0">
                  <c:v>1.8161391868514301</c:v>
                </c:pt>
                <c:pt idx="2">
                  <c:v>2.3388713715570653</c:v>
                </c:pt>
                <c:pt idx="3">
                  <c:v>1.5827311896657181</c:v>
                </c:pt>
                <c:pt idx="4">
                  <c:v>3.0741482221197747</c:v>
                </c:pt>
                <c:pt idx="5">
                  <c:v>2.1257412225005399</c:v>
                </c:pt>
                <c:pt idx="6">
                  <c:v>1.4308182513578405</c:v>
                </c:pt>
                <c:pt idx="7">
                  <c:v>3.0445689068274961</c:v>
                </c:pt>
                <c:pt idx="8">
                  <c:v>2.2124087936147432</c:v>
                </c:pt>
                <c:pt idx="9">
                  <c:v>3.3850067452805885</c:v>
                </c:pt>
                <c:pt idx="10">
                  <c:v>2.7511912953703144</c:v>
                </c:pt>
                <c:pt idx="11">
                  <c:v>2.4289724277921487</c:v>
                </c:pt>
                <c:pt idx="12">
                  <c:v>2.218875404016198</c:v>
                </c:pt>
                <c:pt idx="13">
                  <c:v>2.2880736747285484</c:v>
                </c:pt>
                <c:pt idx="14">
                  <c:v>1.8669719849485531</c:v>
                </c:pt>
                <c:pt idx="15">
                  <c:v>1.6697354781977856</c:v>
                </c:pt>
                <c:pt idx="16">
                  <c:v>1.267611168960842</c:v>
                </c:pt>
                <c:pt idx="17">
                  <c:v>1.2336761056725825</c:v>
                </c:pt>
              </c:numCache>
            </c:numRef>
          </c:xVal>
          <c:yVal>
            <c:numRef>
              <c:f>vG_landward!$AN$5:$AN$22</c:f>
              <c:numCache>
                <c:formatCode>General</c:formatCode>
                <c:ptCount val="18"/>
                <c:pt idx="0">
                  <c:v>1.5396972709057646</c:v>
                </c:pt>
                <c:pt idx="2">
                  <c:v>2.1515942457083161</c:v>
                </c:pt>
                <c:pt idx="4">
                  <c:v>2.3915937029507899</c:v>
                </c:pt>
                <c:pt idx="5">
                  <c:v>1.8613775416126952</c:v>
                </c:pt>
                <c:pt idx="7">
                  <c:v>2.1817657523459437</c:v>
                </c:pt>
                <c:pt idx="8">
                  <c:v>1.8516598609277151</c:v>
                </c:pt>
                <c:pt idx="9">
                  <c:v>2.2885117906358907</c:v>
                </c:pt>
                <c:pt idx="10">
                  <c:v>2.104635180496881</c:v>
                </c:pt>
                <c:pt idx="11">
                  <c:v>1.9918006984424654</c:v>
                </c:pt>
                <c:pt idx="12">
                  <c:v>1.9096903750405461</c:v>
                </c:pt>
                <c:pt idx="13">
                  <c:v>1.7887316421515784</c:v>
                </c:pt>
                <c:pt idx="14">
                  <c:v>1.4996661557252435</c:v>
                </c:pt>
                <c:pt idx="15">
                  <c:v>1.5384344062147002</c:v>
                </c:pt>
              </c:numCache>
            </c:numRef>
          </c:yVal>
          <c:smooth val="0"/>
        </c:ser>
        <c:ser>
          <c:idx val="5"/>
          <c:order val="5"/>
          <c:spPr>
            <a:ln w="28575">
              <a:noFill/>
            </a:ln>
          </c:spPr>
          <c:marker>
            <c:symbol val="triang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vG_landward!$AX$49:$AX$66</c:f>
              <c:numCache>
                <c:formatCode>General</c:formatCode>
                <c:ptCount val="18"/>
                <c:pt idx="0">
                  <c:v>1.0156685617770878</c:v>
                </c:pt>
                <c:pt idx="2">
                  <c:v>1.3385840315883306</c:v>
                </c:pt>
                <c:pt idx="4">
                  <c:v>1.7784840805007096</c:v>
                </c:pt>
                <c:pt idx="5">
                  <c:v>1.1935805614138946</c:v>
                </c:pt>
                <c:pt idx="7">
                  <c:v>1.7229125090998645</c:v>
                </c:pt>
                <c:pt idx="8">
                  <c:v>1.2168248364881087</c:v>
                </c:pt>
                <c:pt idx="9">
                  <c:v>1.893051456339798</c:v>
                </c:pt>
                <c:pt idx="10">
                  <c:v>1.5860141246211428</c:v>
                </c:pt>
                <c:pt idx="11">
                  <c:v>1.3798089445834978</c:v>
                </c:pt>
                <c:pt idx="12">
                  <c:v>1.2150946025054687</c:v>
                </c:pt>
                <c:pt idx="13">
                  <c:v>1.2006899449444079</c:v>
                </c:pt>
                <c:pt idx="14">
                  <c:v>1.035569769710911</c:v>
                </c:pt>
                <c:pt idx="15">
                  <c:v>0.91034810918374198</c:v>
                </c:pt>
              </c:numCache>
            </c:numRef>
          </c:xVal>
          <c:yVal>
            <c:numRef>
              <c:f>vG_landward!$AL$49:$AL$66</c:f>
              <c:numCache>
                <c:formatCode>General</c:formatCode>
                <c:ptCount val="18"/>
                <c:pt idx="0">
                  <c:v>1.3798379914128163</c:v>
                </c:pt>
                <c:pt idx="2">
                  <c:v>1.8136043450414927</c:v>
                </c:pt>
                <c:pt idx="4">
                  <c:v>1.9997967823308651</c:v>
                </c:pt>
                <c:pt idx="5">
                  <c:v>1.6601475371140253</c:v>
                </c:pt>
                <c:pt idx="7">
                  <c:v>1.9236178961523398</c:v>
                </c:pt>
                <c:pt idx="8">
                  <c:v>1.5018070761441378</c:v>
                </c:pt>
                <c:pt idx="9">
                  <c:v>2.0865842796974294</c:v>
                </c:pt>
                <c:pt idx="10">
                  <c:v>1.8507686801256618</c:v>
                </c:pt>
                <c:pt idx="11">
                  <c:v>1.8341164764824371</c:v>
                </c:pt>
                <c:pt idx="12">
                  <c:v>1.6613449899455872</c:v>
                </c:pt>
                <c:pt idx="13">
                  <c:v>1.6116294993642934</c:v>
                </c:pt>
                <c:pt idx="14">
                  <c:v>1.3895211838358188</c:v>
                </c:pt>
                <c:pt idx="15">
                  <c:v>1.2118393926048754</c:v>
                </c:pt>
              </c:numCache>
            </c:numRef>
          </c:yVal>
          <c:smooth val="0"/>
        </c:ser>
        <c:ser>
          <c:idx val="6"/>
          <c:order val="6"/>
          <c:spPr>
            <a:ln w="28575">
              <a:noFill/>
            </a:ln>
          </c:spPr>
          <c:marker>
            <c:symbol val="triang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vG_landward!$AY$49:$AY$66</c:f>
              <c:numCache>
                <c:formatCode>General</c:formatCode>
                <c:ptCount val="18"/>
                <c:pt idx="0">
                  <c:v>1.2654231261485029</c:v>
                </c:pt>
                <c:pt idx="7">
                  <c:v>2.1414337663710867</c:v>
                </c:pt>
                <c:pt idx="8">
                  <c:v>1.5210310456101359</c:v>
                </c:pt>
                <c:pt idx="9">
                  <c:v>2.3585559128167977</c:v>
                </c:pt>
                <c:pt idx="10">
                  <c:v>1.9636365352452243</c:v>
                </c:pt>
                <c:pt idx="11">
                  <c:v>1.7136336892407957</c:v>
                </c:pt>
                <c:pt idx="12">
                  <c:v>1.5201392725905236</c:v>
                </c:pt>
                <c:pt idx="13">
                  <c:v>1.5139134088429491</c:v>
                </c:pt>
                <c:pt idx="15">
                  <c:v>1.1398476325073743</c:v>
                </c:pt>
              </c:numCache>
            </c:numRef>
          </c:xVal>
          <c:yVal>
            <c:numRef>
              <c:f>vG_landward!$AN$49:$AN$66</c:f>
              <c:numCache>
                <c:formatCode>General</c:formatCode>
                <c:ptCount val="18"/>
                <c:pt idx="0">
                  <c:v>1.2115650656307655</c:v>
                </c:pt>
                <c:pt idx="7">
                  <c:v>1.9735819973511017</c:v>
                </c:pt>
                <c:pt idx="8">
                  <c:v>1.3396801758785775</c:v>
                </c:pt>
                <c:pt idx="9">
                  <c:v>2.0781706334083272</c:v>
                </c:pt>
                <c:pt idx="10">
                  <c:v>1.8343901962307447</c:v>
                </c:pt>
                <c:pt idx="11">
                  <c:v>1.7760222894445319</c:v>
                </c:pt>
                <c:pt idx="12">
                  <c:v>1.6527813559767954</c:v>
                </c:pt>
                <c:pt idx="13">
                  <c:v>1.5496437493887436</c:v>
                </c:pt>
                <c:pt idx="15">
                  <c:v>1.0657310970425855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832128"/>
        <c:axId val="92834432"/>
      </c:scatterChart>
      <c:valAx>
        <c:axId val="92832128"/>
        <c:scaling>
          <c:orientation val="minMax"/>
          <c:max val="4"/>
        </c:scaling>
        <c:delete val="0"/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itchFamily="34" charset="0"/>
                    <a:ea typeface="+mn-ea"/>
                    <a:cs typeface="Arial" pitchFamily="34" charset="0"/>
                  </a:defRPr>
                </a:pPr>
                <a:r>
                  <a:rPr lang="nl-NL" sz="1200" b="0" i="0" baseline="0">
                    <a:effectLst/>
                  </a:rPr>
                  <a:t>u</a:t>
                </a:r>
                <a:r>
                  <a:rPr lang="nl-NL" sz="1200" b="0" i="0" baseline="-25000">
                    <a:effectLst/>
                  </a:rPr>
                  <a:t>2% </a:t>
                </a:r>
                <a:r>
                  <a:rPr lang="nl-NL" sz="1200" b="0" i="0" baseline="0">
                    <a:effectLst/>
                  </a:rPr>
                  <a:t>/ (gH</a:t>
                </a:r>
                <a:r>
                  <a:rPr lang="nl-NL" sz="1200" b="0" i="0" baseline="-25000">
                    <a:effectLst/>
                  </a:rPr>
                  <a:t>m0</a:t>
                </a:r>
                <a:r>
                  <a:rPr lang="nl-NL" sz="1200" b="0" i="0" baseline="0">
                    <a:effectLst/>
                  </a:rPr>
                  <a:t>)</a:t>
                </a:r>
                <a:r>
                  <a:rPr lang="nl-NL" sz="1200" b="0" i="0" baseline="30000">
                    <a:effectLst/>
                  </a:rPr>
                  <a:t>0.5 </a:t>
                </a:r>
                <a:r>
                  <a:rPr lang="nl-NL" sz="1200" b="0" i="0" baseline="0">
                    <a:effectLst/>
                  </a:rPr>
                  <a:t>eq. Trung</a:t>
                </a:r>
                <a:endParaRPr lang="nl-NL" sz="12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92834432"/>
        <c:crosses val="autoZero"/>
        <c:crossBetween val="midCat"/>
        <c:majorUnit val="1"/>
      </c:valAx>
      <c:valAx>
        <c:axId val="92834432"/>
        <c:scaling>
          <c:orientation val="minMax"/>
          <c:max val="4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nl-NL" sz="1200" b="0" i="0" baseline="0">
                    <a:effectLst/>
                  </a:rPr>
                  <a:t>u</a:t>
                </a:r>
                <a:r>
                  <a:rPr lang="nl-NL" sz="1200" b="0" i="0" baseline="-25000">
                    <a:effectLst/>
                  </a:rPr>
                  <a:t>2% </a:t>
                </a:r>
                <a:r>
                  <a:rPr lang="nl-NL" sz="1200" b="0" i="0" baseline="0">
                    <a:effectLst/>
                  </a:rPr>
                  <a:t>/ (gH</a:t>
                </a:r>
                <a:r>
                  <a:rPr lang="nl-NL" sz="1200" b="0" i="0" baseline="-25000">
                    <a:effectLst/>
                  </a:rPr>
                  <a:t>m0</a:t>
                </a:r>
                <a:r>
                  <a:rPr lang="nl-NL" sz="1200" b="0" i="0" baseline="0">
                    <a:effectLst/>
                  </a:rPr>
                  <a:t>)</a:t>
                </a:r>
                <a:r>
                  <a:rPr lang="nl-NL" sz="1200" b="0" i="0" baseline="30000">
                    <a:effectLst/>
                  </a:rPr>
                  <a:t>0.5 </a:t>
                </a:r>
                <a:r>
                  <a:rPr lang="nl-NL" sz="1200" b="0" i="0" baseline="0">
                    <a:effectLst/>
                  </a:rPr>
                  <a:t>mea. van Gent</a:t>
                </a:r>
                <a:endParaRPr lang="nl-NL" sz="12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92832128"/>
        <c:crosses val="autoZero"/>
        <c:crossBetween val="midCat"/>
        <c:majorUnit val="1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overlay val="0"/>
    </c:legend>
    <c:plotVisOnly val="1"/>
    <c:dispBlanksAs val="gap"/>
    <c:showDLblsOverMax val="0"/>
  </c:chart>
  <c:txPr>
    <a:bodyPr/>
    <a:lstStyle/>
    <a:p>
      <a:pPr>
        <a:defRPr sz="1200" b="0">
          <a:latin typeface="Arial" pitchFamily="34" charset="0"/>
          <a:cs typeface="Arial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nl-NL" sz="1200" baseline="0"/>
              <a:t>Landward-side crest edge</a:t>
            </a:r>
            <a:endParaRPr lang="nl-NL" sz="1200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5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vG_crest!$CA$63:$CA$64</c:f>
              <c:numCache>
                <c:formatCode>General</c:formatCode>
                <c:ptCount val="2"/>
                <c:pt idx="0">
                  <c:v>0</c:v>
                </c:pt>
                <c:pt idx="1">
                  <c:v>3.5</c:v>
                </c:pt>
              </c:numCache>
            </c:numRef>
          </c:xVal>
          <c:yVal>
            <c:numRef>
              <c:f>vG_crest!$CB$63:$CB$64</c:f>
              <c:numCache>
                <c:formatCode>General</c:formatCode>
                <c:ptCount val="2"/>
                <c:pt idx="0">
                  <c:v>0</c:v>
                </c:pt>
                <c:pt idx="1">
                  <c:v>3.5</c:v>
                </c:pt>
              </c:numCache>
            </c:numRef>
          </c:yVal>
          <c:smooth val="0"/>
        </c:ser>
        <c:ser>
          <c:idx val="4"/>
          <c:order val="1"/>
          <c:tx>
            <c:v>D'</c:v>
          </c:tx>
          <c:spPr>
            <a:ln w="28575">
              <a:noFill/>
            </a:ln>
          </c:spPr>
          <c:marker>
            <c:symbol val="dot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vG_crest!$BM$94:$BM$111</c:f>
              <c:numCache>
                <c:formatCode>General</c:formatCode>
                <c:ptCount val="18"/>
                <c:pt idx="0">
                  <c:v>0.33722607428229612</c:v>
                </c:pt>
                <c:pt idx="1">
                  <c:v>0.18496140045437015</c:v>
                </c:pt>
                <c:pt idx="2">
                  <c:v>0.47019849753102172</c:v>
                </c:pt>
                <c:pt idx="3">
                  <c:v>0.28914192595568405</c:v>
                </c:pt>
                <c:pt idx="4">
                  <c:v>0.65099568549661624</c:v>
                </c:pt>
                <c:pt idx="5">
                  <c:v>0.41487220087716609</c:v>
                </c:pt>
                <c:pt idx="6">
                  <c:v>0.25471515948181955</c:v>
                </c:pt>
                <c:pt idx="7">
                  <c:v>0.62707588665254665</c:v>
                </c:pt>
                <c:pt idx="8">
                  <c:v>0.42348192666403972</c:v>
                </c:pt>
                <c:pt idx="9">
                  <c:v>0.6994471673081003</c:v>
                </c:pt>
                <c:pt idx="10">
                  <c:v>0.57474119683841052</c:v>
                </c:pt>
                <c:pt idx="11">
                  <c:v>0.48984048247325634</c:v>
                </c:pt>
                <c:pt idx="12">
                  <c:v>0.41548922143076011</c:v>
                </c:pt>
                <c:pt idx="13">
                  <c:v>0.3974551522284272</c:v>
                </c:pt>
                <c:pt idx="14">
                  <c:v>0.35248546594028296</c:v>
                </c:pt>
                <c:pt idx="15">
                  <c:v>0.30258284299141935</c:v>
                </c:pt>
                <c:pt idx="16">
                  <c:v>0.21293821824832557</c:v>
                </c:pt>
                <c:pt idx="17">
                  <c:v>0.19253432988312533</c:v>
                </c:pt>
              </c:numCache>
            </c:numRef>
          </c:xVal>
          <c:yVal>
            <c:numRef>
              <c:f>vG_crest!$BJ$94:$BJ$111</c:f>
              <c:numCache>
                <c:formatCode>General</c:formatCode>
                <c:ptCount val="18"/>
                <c:pt idx="2">
                  <c:v>0.61003055242304749</c:v>
                </c:pt>
                <c:pt idx="4">
                  <c:v>0.74278166200860707</c:v>
                </c:pt>
                <c:pt idx="5">
                  <c:v>0.49469042772589639</c:v>
                </c:pt>
                <c:pt idx="7">
                  <c:v>0.64953331558390692</c:v>
                </c:pt>
                <c:pt idx="9">
                  <c:v>0.70674628828461317</c:v>
                </c:pt>
                <c:pt idx="10">
                  <c:v>0.61419314605940112</c:v>
                </c:pt>
                <c:pt idx="11">
                  <c:v>0.5311468529179908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695104"/>
        <c:axId val="125697408"/>
      </c:scatterChart>
      <c:valAx>
        <c:axId val="125695104"/>
        <c:scaling>
          <c:orientation val="minMax"/>
          <c:max val="2"/>
        </c:scaling>
        <c:delete val="0"/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itchFamily="34" charset="0"/>
                    <a:ea typeface="+mn-ea"/>
                    <a:cs typeface="Arial" pitchFamily="34" charset="0"/>
                  </a:defRPr>
                </a:pPr>
                <a:r>
                  <a:rPr lang="nl-NL" sz="1200" b="0" i="0" baseline="0">
                    <a:effectLst/>
                  </a:rPr>
                  <a:t>u</a:t>
                </a:r>
                <a:r>
                  <a:rPr lang="nl-NL" sz="1200" b="0" i="0" baseline="-25000">
                    <a:effectLst/>
                  </a:rPr>
                  <a:t>2% </a:t>
                </a:r>
                <a:r>
                  <a:rPr lang="nl-NL" sz="1200" b="0" i="0" baseline="0">
                    <a:effectLst/>
                  </a:rPr>
                  <a:t>/ (gH</a:t>
                </a:r>
                <a:r>
                  <a:rPr lang="nl-NL" sz="1200" b="0" i="0" baseline="-25000">
                    <a:effectLst/>
                  </a:rPr>
                  <a:t>m0</a:t>
                </a:r>
                <a:r>
                  <a:rPr lang="nl-NL" sz="1200" b="0" i="0" baseline="0">
                    <a:effectLst/>
                  </a:rPr>
                  <a:t>)</a:t>
                </a:r>
                <a:r>
                  <a:rPr lang="nl-NL" sz="1200" b="0" i="0" baseline="30000">
                    <a:effectLst/>
                  </a:rPr>
                  <a:t>0.5 </a:t>
                </a:r>
                <a:r>
                  <a:rPr lang="nl-NL" sz="1200" b="0" i="0" baseline="0">
                    <a:effectLst/>
                  </a:rPr>
                  <a:t>eq. Trung</a:t>
                </a:r>
                <a:endParaRPr lang="nl-NL" sz="12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25697408"/>
        <c:crosses val="autoZero"/>
        <c:crossBetween val="midCat"/>
        <c:majorUnit val="0.5"/>
      </c:valAx>
      <c:valAx>
        <c:axId val="125697408"/>
        <c:scaling>
          <c:orientation val="minMax"/>
          <c:max val="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nl-NL" sz="1200" b="0" i="0" baseline="0">
                    <a:effectLst/>
                  </a:rPr>
                  <a:t>u</a:t>
                </a:r>
                <a:r>
                  <a:rPr lang="nl-NL" sz="1200" b="0" i="0" baseline="-25000">
                    <a:effectLst/>
                  </a:rPr>
                  <a:t>2% </a:t>
                </a:r>
                <a:r>
                  <a:rPr lang="nl-NL" sz="1200" b="0" i="0" baseline="0">
                    <a:effectLst/>
                  </a:rPr>
                  <a:t>/ (gH</a:t>
                </a:r>
                <a:r>
                  <a:rPr lang="nl-NL" sz="1200" b="0" i="0" baseline="-25000">
                    <a:effectLst/>
                  </a:rPr>
                  <a:t>m0</a:t>
                </a:r>
                <a:r>
                  <a:rPr lang="nl-NL" sz="1200" b="0" i="0" baseline="0">
                    <a:effectLst/>
                  </a:rPr>
                  <a:t>)</a:t>
                </a:r>
                <a:r>
                  <a:rPr lang="nl-NL" sz="1200" b="0" i="0" baseline="30000">
                    <a:effectLst/>
                  </a:rPr>
                  <a:t>0.5 </a:t>
                </a:r>
                <a:r>
                  <a:rPr lang="nl-NL" sz="1200" b="0" i="0" baseline="0">
                    <a:effectLst/>
                  </a:rPr>
                  <a:t>mea. van Gent</a:t>
                </a:r>
                <a:endParaRPr lang="nl-NL" sz="12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25695104"/>
        <c:crosses val="autoZero"/>
        <c:crossBetween val="midCat"/>
        <c:majorUnit val="0.5"/>
      </c:valAx>
    </c:plotArea>
    <c:legend>
      <c:legendPos val="r"/>
      <c:legendEntry>
        <c:idx val="0"/>
        <c:delete val="1"/>
      </c:legendEntry>
      <c:overlay val="0"/>
    </c:legend>
    <c:plotVisOnly val="1"/>
    <c:dispBlanksAs val="gap"/>
    <c:showDLblsOverMax val="0"/>
  </c:chart>
  <c:txPr>
    <a:bodyPr/>
    <a:lstStyle/>
    <a:p>
      <a:pPr>
        <a:defRPr sz="1200" b="0">
          <a:latin typeface="Arial" pitchFamily="34" charset="0"/>
          <a:cs typeface="Arial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nl-NL" sz="1200"/>
              <a:t>Seaward-side crest edge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</c:v>
          </c:tx>
          <c:spPr>
            <a:ln w="28575">
              <a:noFill/>
            </a:ln>
          </c:spPr>
          <c:marker>
            <c:symbol val="diamond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vG_crest!$BE$28:$BE$45</c:f>
              <c:numCache>
                <c:formatCode>General</c:formatCode>
                <c:ptCount val="18"/>
                <c:pt idx="0">
                  <c:v>4.7727563489099116E-2</c:v>
                </c:pt>
                <c:pt idx="1">
                  <c:v>3.1094356043970019E-2</c:v>
                </c:pt>
                <c:pt idx="2">
                  <c:v>6.7642206787320469E-2</c:v>
                </c:pt>
                <c:pt idx="3">
                  <c:v>4.3261452901454223E-2</c:v>
                </c:pt>
                <c:pt idx="4">
                  <c:v>0.10153537102461735</c:v>
                </c:pt>
                <c:pt idx="5">
                  <c:v>6.3109799846969919E-2</c:v>
                </c:pt>
                <c:pt idx="6">
                  <c:v>4.0578678818756861E-2</c:v>
                </c:pt>
                <c:pt idx="7">
                  <c:v>0.10807525549981976</c:v>
                </c:pt>
                <c:pt idx="8">
                  <c:v>7.0666028106686929E-2</c:v>
                </c:pt>
                <c:pt idx="9">
                  <c:v>0.14185439055931032</c:v>
                </c:pt>
                <c:pt idx="10">
                  <c:v>8.8078604248784567E-2</c:v>
                </c:pt>
                <c:pt idx="11">
                  <c:v>7.3614052313827075E-2</c:v>
                </c:pt>
                <c:pt idx="12">
                  <c:v>6.2596377641129936E-2</c:v>
                </c:pt>
                <c:pt idx="13">
                  <c:v>6.1149146344098321E-2</c:v>
                </c:pt>
                <c:pt idx="14">
                  <c:v>5.3832181753039922E-2</c:v>
                </c:pt>
                <c:pt idx="15">
                  <c:v>4.6317540328698899E-2</c:v>
                </c:pt>
                <c:pt idx="16">
                  <c:v>3.5052721642065902E-2</c:v>
                </c:pt>
                <c:pt idx="17">
                  <c:v>3.3228289814127149E-2</c:v>
                </c:pt>
              </c:numCache>
            </c:numRef>
          </c:xVal>
          <c:yVal>
            <c:numRef>
              <c:f>vG_crest!$AX$6:$AX$23</c:f>
              <c:numCache>
                <c:formatCode>General</c:formatCode>
                <c:ptCount val="18"/>
                <c:pt idx="0">
                  <c:v>5.7638888888888892E-2</c:v>
                </c:pt>
                <c:pt idx="1">
                  <c:v>1.9424460431654675E-2</c:v>
                </c:pt>
                <c:pt idx="2">
                  <c:v>0.1</c:v>
                </c:pt>
                <c:pt idx="3">
                  <c:v>4.2957746478873238E-2</c:v>
                </c:pt>
                <c:pt idx="4">
                  <c:v>0.17058823529411765</c:v>
                </c:pt>
                <c:pt idx="5">
                  <c:v>8.8965517241379313E-2</c:v>
                </c:pt>
                <c:pt idx="6">
                  <c:v>4.6376811594202899E-2</c:v>
                </c:pt>
                <c:pt idx="7">
                  <c:v>0.14013605442176871</c:v>
                </c:pt>
                <c:pt idx="8">
                  <c:v>9.0714285714285706E-2</c:v>
                </c:pt>
                <c:pt idx="9">
                  <c:v>0.17708333333333334</c:v>
                </c:pt>
                <c:pt idx="10">
                  <c:v>0.11447368421052631</c:v>
                </c:pt>
                <c:pt idx="11">
                  <c:v>9.8648648648648654E-2</c:v>
                </c:pt>
                <c:pt idx="12">
                  <c:v>9.2805755395683448E-2</c:v>
                </c:pt>
                <c:pt idx="13">
                  <c:v>8.6923076923076922E-2</c:v>
                </c:pt>
                <c:pt idx="14">
                  <c:v>6.1971830985915501E-2</c:v>
                </c:pt>
                <c:pt idx="15">
                  <c:v>6.1594202898550721E-2</c:v>
                </c:pt>
                <c:pt idx="16">
                  <c:v>3.0827067669172925E-2</c:v>
                </c:pt>
                <c:pt idx="17">
                  <c:v>3.1746031746031744E-2</c:v>
                </c:pt>
              </c:numCache>
            </c:numRef>
          </c:yVal>
          <c:smooth val="0"/>
        </c:ser>
        <c:ser>
          <c:idx val="1"/>
          <c:order val="1"/>
          <c:tx>
            <c:v>B</c:v>
          </c:tx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vG_crest!$BE$28:$BE$45</c:f>
              <c:numCache>
                <c:formatCode>General</c:formatCode>
                <c:ptCount val="18"/>
                <c:pt idx="0">
                  <c:v>4.7727563489099116E-2</c:v>
                </c:pt>
                <c:pt idx="1">
                  <c:v>3.1094356043970019E-2</c:v>
                </c:pt>
                <c:pt idx="2">
                  <c:v>6.7642206787320469E-2</c:v>
                </c:pt>
                <c:pt idx="3">
                  <c:v>4.3261452901454223E-2</c:v>
                </c:pt>
                <c:pt idx="4">
                  <c:v>0.10153537102461735</c:v>
                </c:pt>
                <c:pt idx="5">
                  <c:v>6.3109799846969919E-2</c:v>
                </c:pt>
                <c:pt idx="6">
                  <c:v>4.0578678818756861E-2</c:v>
                </c:pt>
                <c:pt idx="7">
                  <c:v>0.10807525549981976</c:v>
                </c:pt>
                <c:pt idx="8">
                  <c:v>7.0666028106686929E-2</c:v>
                </c:pt>
                <c:pt idx="9">
                  <c:v>0.14185439055931032</c:v>
                </c:pt>
                <c:pt idx="10">
                  <c:v>8.8078604248784567E-2</c:v>
                </c:pt>
                <c:pt idx="11">
                  <c:v>7.3614052313827075E-2</c:v>
                </c:pt>
                <c:pt idx="12">
                  <c:v>6.2596377641129936E-2</c:v>
                </c:pt>
                <c:pt idx="13">
                  <c:v>6.1149146344098321E-2</c:v>
                </c:pt>
                <c:pt idx="14">
                  <c:v>5.3832181753039922E-2</c:v>
                </c:pt>
                <c:pt idx="15">
                  <c:v>4.6317540328698899E-2</c:v>
                </c:pt>
                <c:pt idx="16">
                  <c:v>3.5052721642065902E-2</c:v>
                </c:pt>
                <c:pt idx="17">
                  <c:v>3.3228289814127149E-2</c:v>
                </c:pt>
              </c:numCache>
            </c:numRef>
          </c:xVal>
          <c:yVal>
            <c:numRef>
              <c:f>vG_crest!$AX$28:$AX$45</c:f>
              <c:numCache>
                <c:formatCode>General</c:formatCode>
                <c:ptCount val="18"/>
                <c:pt idx="0">
                  <c:v>5.1388888888888894E-2</c:v>
                </c:pt>
                <c:pt idx="2">
                  <c:v>9.5333333333333339E-2</c:v>
                </c:pt>
                <c:pt idx="3">
                  <c:v>4.0845070422535212E-2</c:v>
                </c:pt>
                <c:pt idx="4">
                  <c:v>0.13856209150326798</c:v>
                </c:pt>
                <c:pt idx="5">
                  <c:v>8.3448275862068974E-2</c:v>
                </c:pt>
                <c:pt idx="6">
                  <c:v>4.6376811594202899E-2</c:v>
                </c:pt>
                <c:pt idx="7">
                  <c:v>0.13877551020408163</c:v>
                </c:pt>
                <c:pt idx="8">
                  <c:v>8.3571428571428547E-2</c:v>
                </c:pt>
                <c:pt idx="9">
                  <c:v>0.1590277777777778</c:v>
                </c:pt>
                <c:pt idx="10">
                  <c:v>0.10526315789473685</c:v>
                </c:pt>
                <c:pt idx="11">
                  <c:v>9.45945945945946E-2</c:v>
                </c:pt>
                <c:pt idx="12">
                  <c:v>8.4172661870503582E-2</c:v>
                </c:pt>
                <c:pt idx="13">
                  <c:v>7.7692307692307686E-2</c:v>
                </c:pt>
                <c:pt idx="14">
                  <c:v>5.3521126760563385E-2</c:v>
                </c:pt>
                <c:pt idx="15">
                  <c:v>5.5072463768115934E-2</c:v>
                </c:pt>
                <c:pt idx="16">
                  <c:v>2.4812030075187969E-2</c:v>
                </c:pt>
                <c:pt idx="17">
                  <c:v>1.984126984126984E-2</c:v>
                </c:pt>
              </c:numCache>
            </c:numRef>
          </c:yVal>
          <c:smooth val="0"/>
        </c:ser>
        <c:ser>
          <c:idx val="2"/>
          <c:order val="2"/>
          <c:tx>
            <c:v>C</c:v>
          </c:tx>
          <c:spPr>
            <a:ln w="28575">
              <a:noFill/>
            </a:ln>
          </c:spPr>
          <c:marker>
            <c:symbol val="triang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vG_crest!$BE$28:$BE$45</c:f>
              <c:numCache>
                <c:formatCode>General</c:formatCode>
                <c:ptCount val="18"/>
                <c:pt idx="0">
                  <c:v>4.7727563489099116E-2</c:v>
                </c:pt>
                <c:pt idx="1">
                  <c:v>3.1094356043970019E-2</c:v>
                </c:pt>
                <c:pt idx="2">
                  <c:v>6.7642206787320469E-2</c:v>
                </c:pt>
                <c:pt idx="3">
                  <c:v>4.3261452901454223E-2</c:v>
                </c:pt>
                <c:pt idx="4">
                  <c:v>0.10153537102461735</c:v>
                </c:pt>
                <c:pt idx="5">
                  <c:v>6.3109799846969919E-2</c:v>
                </c:pt>
                <c:pt idx="6">
                  <c:v>4.0578678818756861E-2</c:v>
                </c:pt>
                <c:pt idx="7">
                  <c:v>0.10807525549981976</c:v>
                </c:pt>
                <c:pt idx="8">
                  <c:v>7.0666028106686929E-2</c:v>
                </c:pt>
                <c:pt idx="9">
                  <c:v>0.14185439055931032</c:v>
                </c:pt>
                <c:pt idx="10">
                  <c:v>8.8078604248784567E-2</c:v>
                </c:pt>
                <c:pt idx="11">
                  <c:v>7.3614052313827075E-2</c:v>
                </c:pt>
                <c:pt idx="12">
                  <c:v>6.2596377641129936E-2</c:v>
                </c:pt>
                <c:pt idx="13">
                  <c:v>6.1149146344098321E-2</c:v>
                </c:pt>
                <c:pt idx="14">
                  <c:v>5.3832181753039922E-2</c:v>
                </c:pt>
                <c:pt idx="15">
                  <c:v>4.6317540328698899E-2</c:v>
                </c:pt>
                <c:pt idx="16">
                  <c:v>3.5052721642065902E-2</c:v>
                </c:pt>
                <c:pt idx="17">
                  <c:v>3.3228289814127149E-2</c:v>
                </c:pt>
              </c:numCache>
            </c:numRef>
          </c:xVal>
          <c:yVal>
            <c:numRef>
              <c:f>vG_crest!$AX$50:$AX$67</c:f>
              <c:numCache>
                <c:formatCode>General</c:formatCode>
                <c:ptCount val="18"/>
                <c:pt idx="0">
                  <c:v>4.9305555555555554E-2</c:v>
                </c:pt>
                <c:pt idx="2">
                  <c:v>9.2666666666666675E-2</c:v>
                </c:pt>
                <c:pt idx="3">
                  <c:v>4.0140845070422537E-2</c:v>
                </c:pt>
                <c:pt idx="4">
                  <c:v>0.13660130718954247</c:v>
                </c:pt>
                <c:pt idx="5">
                  <c:v>8.2758620689655185E-2</c:v>
                </c:pt>
                <c:pt idx="6">
                  <c:v>3.8405797101449271E-2</c:v>
                </c:pt>
                <c:pt idx="7">
                  <c:v>0.1380952380952381</c:v>
                </c:pt>
                <c:pt idx="8">
                  <c:v>9.2142857142857137E-2</c:v>
                </c:pt>
                <c:pt idx="9">
                  <c:v>0.15277777777777779</c:v>
                </c:pt>
                <c:pt idx="10">
                  <c:v>0.10723684210526317</c:v>
                </c:pt>
                <c:pt idx="11">
                  <c:v>8.7837837837837843E-2</c:v>
                </c:pt>
                <c:pt idx="12">
                  <c:v>8.776978417266186E-2</c:v>
                </c:pt>
                <c:pt idx="13">
                  <c:v>7.9999999999999988E-2</c:v>
                </c:pt>
                <c:pt idx="14">
                  <c:v>5.6338028169014093E-2</c:v>
                </c:pt>
                <c:pt idx="15">
                  <c:v>5.2898550724637679E-2</c:v>
                </c:pt>
                <c:pt idx="16">
                  <c:v>2.2556390977443608E-2</c:v>
                </c:pt>
                <c:pt idx="17">
                  <c:v>1.984126984126984E-2</c:v>
                </c:pt>
              </c:numCache>
            </c:numRef>
          </c:yVal>
          <c:smooth val="0"/>
        </c:ser>
        <c:ser>
          <c:idx val="3"/>
          <c:order val="3"/>
          <c:tx>
            <c:v>D</c:v>
          </c:tx>
          <c:spPr>
            <a:ln w="28575">
              <a:noFill/>
            </a:ln>
          </c:spPr>
          <c:marker>
            <c:symbol val="circ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vG_crest!$BE$28:$BE$45</c:f>
              <c:numCache>
                <c:formatCode>General</c:formatCode>
                <c:ptCount val="18"/>
                <c:pt idx="0">
                  <c:v>4.7727563489099116E-2</c:v>
                </c:pt>
                <c:pt idx="1">
                  <c:v>3.1094356043970019E-2</c:v>
                </c:pt>
                <c:pt idx="2">
                  <c:v>6.7642206787320469E-2</c:v>
                </c:pt>
                <c:pt idx="3">
                  <c:v>4.3261452901454223E-2</c:v>
                </c:pt>
                <c:pt idx="4">
                  <c:v>0.10153537102461735</c:v>
                </c:pt>
                <c:pt idx="5">
                  <c:v>6.3109799846969919E-2</c:v>
                </c:pt>
                <c:pt idx="6">
                  <c:v>4.0578678818756861E-2</c:v>
                </c:pt>
                <c:pt idx="7">
                  <c:v>0.10807525549981976</c:v>
                </c:pt>
                <c:pt idx="8">
                  <c:v>7.0666028106686929E-2</c:v>
                </c:pt>
                <c:pt idx="9">
                  <c:v>0.14185439055931032</c:v>
                </c:pt>
                <c:pt idx="10">
                  <c:v>8.8078604248784567E-2</c:v>
                </c:pt>
                <c:pt idx="11">
                  <c:v>7.3614052313827075E-2</c:v>
                </c:pt>
                <c:pt idx="12">
                  <c:v>6.2596377641129936E-2</c:v>
                </c:pt>
                <c:pt idx="13">
                  <c:v>6.1149146344098321E-2</c:v>
                </c:pt>
                <c:pt idx="14">
                  <c:v>5.3832181753039922E-2</c:v>
                </c:pt>
                <c:pt idx="15">
                  <c:v>4.6317540328698899E-2</c:v>
                </c:pt>
                <c:pt idx="16">
                  <c:v>3.5052721642065902E-2</c:v>
                </c:pt>
                <c:pt idx="17">
                  <c:v>3.3228289814127149E-2</c:v>
                </c:pt>
              </c:numCache>
            </c:numRef>
          </c:xVal>
          <c:yVal>
            <c:numRef>
              <c:f>vG_crest!$AX$72:$AX$89</c:f>
              <c:numCache>
                <c:formatCode>General</c:formatCode>
                <c:ptCount val="18"/>
                <c:pt idx="0">
                  <c:v>4.4444444444444453E-2</c:v>
                </c:pt>
                <c:pt idx="2">
                  <c:v>9.0666666666666659E-2</c:v>
                </c:pt>
                <c:pt idx="3">
                  <c:v>3.5211267605633804E-2</c:v>
                </c:pt>
                <c:pt idx="4">
                  <c:v>0.13594771241830064</c:v>
                </c:pt>
                <c:pt idx="5">
                  <c:v>7.8620689655172424E-2</c:v>
                </c:pt>
                <c:pt idx="6">
                  <c:v>3.695652173913043E-2</c:v>
                </c:pt>
                <c:pt idx="7">
                  <c:v>0.12585034013605442</c:v>
                </c:pt>
                <c:pt idx="8">
                  <c:v>7.6428571428571415E-2</c:v>
                </c:pt>
                <c:pt idx="9">
                  <c:v>0.14722222222222223</c:v>
                </c:pt>
                <c:pt idx="10">
                  <c:v>0.10197368421052631</c:v>
                </c:pt>
                <c:pt idx="11">
                  <c:v>8.6486486486486491E-2</c:v>
                </c:pt>
                <c:pt idx="12">
                  <c:v>7.7697841726618699E-2</c:v>
                </c:pt>
                <c:pt idx="13">
                  <c:v>7.9999999999999988E-2</c:v>
                </c:pt>
                <c:pt idx="14">
                  <c:v>5.6338028169014093E-2</c:v>
                </c:pt>
                <c:pt idx="15">
                  <c:v>4.8550724637681154E-2</c:v>
                </c:pt>
                <c:pt idx="16">
                  <c:v>1.5789473684210527E-2</c:v>
                </c:pt>
                <c:pt idx="17">
                  <c:v>2.3015873015873014E-2</c:v>
                </c:pt>
              </c:numCache>
            </c:numRef>
          </c:yVal>
          <c:smooth val="0"/>
        </c:ser>
        <c:ser>
          <c:idx val="5"/>
          <c:order val="4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vG_crest!$CG$2:$CG$3</c:f>
              <c:numCache>
                <c:formatCode>General</c:formatCode>
                <c:ptCount val="2"/>
                <c:pt idx="0">
                  <c:v>0</c:v>
                </c:pt>
                <c:pt idx="1">
                  <c:v>0.2</c:v>
                </c:pt>
              </c:numCache>
            </c:numRef>
          </c:xVal>
          <c:yVal>
            <c:numRef>
              <c:f>vG_crest!$CH$2:$CH$3</c:f>
              <c:numCache>
                <c:formatCode>General</c:formatCode>
                <c:ptCount val="2"/>
                <c:pt idx="0">
                  <c:v>0</c:v>
                </c:pt>
                <c:pt idx="1">
                  <c:v>0.2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553152"/>
        <c:axId val="133555328"/>
      </c:scatterChart>
      <c:valAx>
        <c:axId val="133553152"/>
        <c:scaling>
          <c:orientation val="minMax"/>
          <c:max val="0.2"/>
        </c:scaling>
        <c:delete val="0"/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itchFamily="34" charset="0"/>
                    <a:ea typeface="+mn-ea"/>
                    <a:cs typeface="Arial" pitchFamily="34" charset="0"/>
                  </a:defRPr>
                </a:pPr>
                <a:r>
                  <a:rPr lang="nl-NL" sz="1200" b="0" i="0" baseline="0">
                    <a:effectLst/>
                  </a:rPr>
                  <a:t> h</a:t>
                </a:r>
                <a:r>
                  <a:rPr lang="nl-NL" sz="1200" b="0" i="0" baseline="-25000">
                    <a:effectLst/>
                  </a:rPr>
                  <a:t>A, 2%</a:t>
                </a:r>
                <a:r>
                  <a:rPr lang="nl-NL" sz="1200" b="0" i="0" baseline="0">
                    <a:effectLst/>
                  </a:rPr>
                  <a:t> / H</a:t>
                </a:r>
                <a:r>
                  <a:rPr lang="nl-NL" sz="1200" b="0" i="0" baseline="-25000">
                    <a:effectLst/>
                  </a:rPr>
                  <a:t>m0 </a:t>
                </a:r>
                <a:r>
                  <a:rPr lang="nl-NL" sz="1200" b="0" i="0" baseline="0">
                    <a:effectLst/>
                  </a:rPr>
                  <a:t>com. by Trung</a:t>
                </a:r>
                <a:endParaRPr lang="nl-NL" sz="12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33555328"/>
        <c:crosses val="autoZero"/>
        <c:crossBetween val="midCat"/>
      </c:valAx>
      <c:valAx>
        <c:axId val="133555328"/>
        <c:scaling>
          <c:orientation val="minMax"/>
          <c:max val="0.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nl-NL" sz="1200" b="0" i="0" baseline="0">
                    <a:effectLst/>
                  </a:rPr>
                  <a:t>h</a:t>
                </a:r>
                <a:r>
                  <a:rPr lang="nl-NL" sz="1200" b="0" i="0" baseline="-25000">
                    <a:effectLst/>
                  </a:rPr>
                  <a:t>2% </a:t>
                </a:r>
                <a:r>
                  <a:rPr lang="nl-NL" sz="1200" b="0" i="0" baseline="0">
                    <a:effectLst/>
                  </a:rPr>
                  <a:t>/ H</a:t>
                </a:r>
                <a:r>
                  <a:rPr lang="nl-NL" sz="1200" b="0" i="0" baseline="-25000">
                    <a:effectLst/>
                  </a:rPr>
                  <a:t>m0 </a:t>
                </a:r>
                <a:r>
                  <a:rPr lang="nl-NL" sz="1200" b="0" i="0" baseline="0">
                    <a:effectLst/>
                  </a:rPr>
                  <a:t>mea. by van Gent</a:t>
                </a:r>
                <a:endParaRPr lang="nl-NL" sz="1200" baseline="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33553152"/>
        <c:crosses val="autoZero"/>
        <c:crossBetween val="midCat"/>
        <c:majorUnit val="5.000000000000001E-2"/>
      </c:valAx>
    </c:plotArea>
    <c:legend>
      <c:legendPos val="r"/>
      <c:legendEntry>
        <c:idx val="4"/>
        <c:delete val="1"/>
      </c:legendEntry>
      <c:overlay val="0"/>
    </c:legend>
    <c:plotVisOnly val="1"/>
    <c:dispBlanksAs val="gap"/>
    <c:showDLblsOverMax val="0"/>
  </c:chart>
  <c:txPr>
    <a:bodyPr/>
    <a:lstStyle/>
    <a:p>
      <a:pPr>
        <a:defRPr sz="1200" b="0">
          <a:latin typeface="Arial" pitchFamily="34" charset="0"/>
          <a:cs typeface="Arial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nl-NL" sz="1200" baseline="0"/>
              <a:t>Landward-side crest edge</a:t>
            </a:r>
            <a:endParaRPr lang="nl-NL" sz="1200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</c:v>
          </c:tx>
          <c:spPr>
            <a:ln w="28575">
              <a:noFill/>
            </a:ln>
          </c:spPr>
          <c:marker>
            <c:symbol val="diamond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vG_crest!$BF$6:$BF$23</c:f>
              <c:numCache>
                <c:formatCode>General</c:formatCode>
                <c:ptCount val="18"/>
                <c:pt idx="0">
                  <c:v>0.8827779318336455</c:v>
                </c:pt>
                <c:pt idx="1">
                  <c:v>0.49363004030423568</c:v>
                </c:pt>
                <c:pt idx="2">
                  <c:v>1.2052251303768498</c:v>
                </c:pt>
                <c:pt idx="3">
                  <c:v>0.76261838178153774</c:v>
                </c:pt>
                <c:pt idx="4">
                  <c:v>1.6524487500909535</c:v>
                </c:pt>
                <c:pt idx="5">
                  <c:v>1.0820676534732001</c:v>
                </c:pt>
                <c:pt idx="6">
                  <c:v>0.68256951796765475</c:v>
                </c:pt>
                <c:pt idx="7">
                  <c:v>1.6239078601715928</c:v>
                </c:pt>
                <c:pt idx="8">
                  <c:v>1.1256829523233376</c:v>
                </c:pt>
                <c:pt idx="9">
                  <c:v>1.8309868983211131</c:v>
                </c:pt>
                <c:pt idx="10">
                  <c:v>1.4635630171591814</c:v>
                </c:pt>
                <c:pt idx="11">
                  <c:v>1.2641132877307242</c:v>
                </c:pt>
                <c:pt idx="12">
                  <c:v>1.1088689889728596</c:v>
                </c:pt>
                <c:pt idx="13">
                  <c:v>1.1036647682351233</c:v>
                </c:pt>
                <c:pt idx="14">
                  <c:v>0.92968840388124796</c:v>
                </c:pt>
                <c:pt idx="15">
                  <c:v>0.81084229814235742</c:v>
                </c:pt>
                <c:pt idx="16">
                  <c:v>0.58307288676978519</c:v>
                </c:pt>
                <c:pt idx="17">
                  <c:v>0.54545736871950634</c:v>
                </c:pt>
              </c:numCache>
            </c:numRef>
          </c:xVal>
          <c:yVal>
            <c:numRef>
              <c:f>vG_crest!$BJ$6:$BJ$23</c:f>
              <c:numCache>
                <c:formatCode>General</c:formatCode>
                <c:ptCount val="18"/>
                <c:pt idx="0">
                  <c:v>0.93391473809038184</c:v>
                </c:pt>
                <c:pt idx="2">
                  <c:v>1.1541118559354953</c:v>
                </c:pt>
                <c:pt idx="3">
                  <c:v>0.75406942293529189</c:v>
                </c:pt>
                <c:pt idx="4">
                  <c:v>1.2815024278610034</c:v>
                </c:pt>
                <c:pt idx="5">
                  <c:v>1.0229191895349043</c:v>
                </c:pt>
                <c:pt idx="6">
                  <c:v>0.68756844970489395</c:v>
                </c:pt>
                <c:pt idx="7">
                  <c:v>1.1991384287702895</c:v>
                </c:pt>
                <c:pt idx="8">
                  <c:v>1.0495583543507325</c:v>
                </c:pt>
                <c:pt idx="9">
                  <c:v>1.2452196507871756</c:v>
                </c:pt>
                <c:pt idx="10">
                  <c:v>1.1219261468018393</c:v>
                </c:pt>
                <c:pt idx="11">
                  <c:v>1.1286870624507306</c:v>
                </c:pt>
                <c:pt idx="12">
                  <c:v>1.0875815140365444</c:v>
                </c:pt>
                <c:pt idx="13">
                  <c:v>1.0803230710024383</c:v>
                </c:pt>
                <c:pt idx="14">
                  <c:v>0.9065778455514184</c:v>
                </c:pt>
                <c:pt idx="15">
                  <c:v>0.87664977337373973</c:v>
                </c:pt>
                <c:pt idx="16">
                  <c:v>0.54278940935338371</c:v>
                </c:pt>
                <c:pt idx="17">
                  <c:v>0.56665767217182594</c:v>
                </c:pt>
              </c:numCache>
            </c:numRef>
          </c:yVal>
          <c:smooth val="0"/>
        </c:ser>
        <c:ser>
          <c:idx val="1"/>
          <c:order val="1"/>
          <c:tx>
            <c:v>B</c:v>
          </c:tx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vG_crest!$BF$6:$BF$23</c:f>
              <c:numCache>
                <c:formatCode>General</c:formatCode>
                <c:ptCount val="18"/>
                <c:pt idx="0">
                  <c:v>0.8827779318336455</c:v>
                </c:pt>
                <c:pt idx="1">
                  <c:v>0.49363004030423568</c:v>
                </c:pt>
                <c:pt idx="2">
                  <c:v>1.2052251303768498</c:v>
                </c:pt>
                <c:pt idx="3">
                  <c:v>0.76261838178153774</c:v>
                </c:pt>
                <c:pt idx="4">
                  <c:v>1.6524487500909535</c:v>
                </c:pt>
                <c:pt idx="5">
                  <c:v>1.0820676534732001</c:v>
                </c:pt>
                <c:pt idx="6">
                  <c:v>0.68256951796765475</c:v>
                </c:pt>
                <c:pt idx="7">
                  <c:v>1.6239078601715928</c:v>
                </c:pt>
                <c:pt idx="8">
                  <c:v>1.1256829523233376</c:v>
                </c:pt>
                <c:pt idx="9">
                  <c:v>1.8309868983211131</c:v>
                </c:pt>
                <c:pt idx="10">
                  <c:v>1.4635630171591814</c:v>
                </c:pt>
                <c:pt idx="11">
                  <c:v>1.2641132877307242</c:v>
                </c:pt>
                <c:pt idx="12">
                  <c:v>1.1088689889728596</c:v>
                </c:pt>
                <c:pt idx="13">
                  <c:v>1.1036647682351233</c:v>
                </c:pt>
                <c:pt idx="14">
                  <c:v>0.92968840388124796</c:v>
                </c:pt>
                <c:pt idx="15">
                  <c:v>0.81084229814235742</c:v>
                </c:pt>
                <c:pt idx="16">
                  <c:v>0.58307288676978519</c:v>
                </c:pt>
                <c:pt idx="17">
                  <c:v>0.54545736871950634</c:v>
                </c:pt>
              </c:numCache>
            </c:numRef>
          </c:xVal>
          <c:yVal>
            <c:numRef>
              <c:f>vG_crest!$BJ$28:$BJ$45</c:f>
              <c:numCache>
                <c:formatCode>General</c:formatCode>
                <c:ptCount val="18"/>
                <c:pt idx="0">
                  <c:v>1.0348784935596123</c:v>
                </c:pt>
                <c:pt idx="2">
                  <c:v>1.2035737926184451</c:v>
                </c:pt>
                <c:pt idx="3">
                  <c:v>0.83879632438869545</c:v>
                </c:pt>
                <c:pt idx="4">
                  <c:v>1.2570151203222579</c:v>
                </c:pt>
                <c:pt idx="5">
                  <c:v>1.1235341917842394</c:v>
                </c:pt>
                <c:pt idx="6">
                  <c:v>0.85946056213111732</c:v>
                </c:pt>
                <c:pt idx="7">
                  <c:v>1.1824837283707021</c:v>
                </c:pt>
                <c:pt idx="8">
                  <c:v>1.1007563228556465</c:v>
                </c:pt>
                <c:pt idx="9">
                  <c:v>1.2368060044980731</c:v>
                </c:pt>
                <c:pt idx="10">
                  <c:v>1.1956293243289673</c:v>
                </c:pt>
                <c:pt idx="11">
                  <c:v>1.1203878928738871</c:v>
                </c:pt>
                <c:pt idx="12">
                  <c:v>1.1560905857868777</c:v>
                </c:pt>
                <c:pt idx="13">
                  <c:v>1.1777292495354452</c:v>
                </c:pt>
                <c:pt idx="14">
                  <c:v>0.99130474700482185</c:v>
                </c:pt>
                <c:pt idx="15">
                  <c:v>0.95400122396554032</c:v>
                </c:pt>
              </c:numCache>
            </c:numRef>
          </c:yVal>
          <c:smooth val="0"/>
        </c:ser>
        <c:ser>
          <c:idx val="2"/>
          <c:order val="2"/>
          <c:tx>
            <c:v>C</c:v>
          </c:tx>
          <c:spPr>
            <a:ln w="28575">
              <a:noFill/>
            </a:ln>
          </c:spPr>
          <c:marker>
            <c:symbol val="triang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vG_crest!$BF$6:$BF$23</c:f>
              <c:numCache>
                <c:formatCode>General</c:formatCode>
                <c:ptCount val="18"/>
                <c:pt idx="0">
                  <c:v>0.8827779318336455</c:v>
                </c:pt>
                <c:pt idx="1">
                  <c:v>0.49363004030423568</c:v>
                </c:pt>
                <c:pt idx="2">
                  <c:v>1.2052251303768498</c:v>
                </c:pt>
                <c:pt idx="3">
                  <c:v>0.76261838178153774</c:v>
                </c:pt>
                <c:pt idx="4">
                  <c:v>1.6524487500909535</c:v>
                </c:pt>
                <c:pt idx="5">
                  <c:v>1.0820676534732001</c:v>
                </c:pt>
                <c:pt idx="6">
                  <c:v>0.68256951796765475</c:v>
                </c:pt>
                <c:pt idx="7">
                  <c:v>1.6239078601715928</c:v>
                </c:pt>
                <c:pt idx="8">
                  <c:v>1.1256829523233376</c:v>
                </c:pt>
                <c:pt idx="9">
                  <c:v>1.8309868983211131</c:v>
                </c:pt>
                <c:pt idx="10">
                  <c:v>1.4635630171591814</c:v>
                </c:pt>
                <c:pt idx="11">
                  <c:v>1.2641132877307242</c:v>
                </c:pt>
                <c:pt idx="12">
                  <c:v>1.1088689889728596</c:v>
                </c:pt>
                <c:pt idx="13">
                  <c:v>1.1036647682351233</c:v>
                </c:pt>
                <c:pt idx="14">
                  <c:v>0.92968840388124796</c:v>
                </c:pt>
                <c:pt idx="15">
                  <c:v>0.81084229814235742</c:v>
                </c:pt>
                <c:pt idx="16">
                  <c:v>0.58307288676978519</c:v>
                </c:pt>
                <c:pt idx="17">
                  <c:v>0.54545736871950634</c:v>
                </c:pt>
              </c:numCache>
            </c:numRef>
          </c:xVal>
          <c:yVal>
            <c:numRef>
              <c:f>vG_crest!$BJ$50:$BJ$67</c:f>
              <c:numCache>
                <c:formatCode>General</c:formatCode>
                <c:ptCount val="18"/>
                <c:pt idx="0">
                  <c:v>0.53005971621345993</c:v>
                </c:pt>
                <c:pt idx="2">
                  <c:v>0.95626410920369598</c:v>
                </c:pt>
                <c:pt idx="4">
                  <c:v>1.0937664033972896</c:v>
                </c:pt>
                <c:pt idx="5">
                  <c:v>0.77976626743234523</c:v>
                </c:pt>
                <c:pt idx="7">
                  <c:v>0.97429997337586027</c:v>
                </c:pt>
                <c:pt idx="8">
                  <c:v>0.63997460631142233</c:v>
                </c:pt>
                <c:pt idx="9">
                  <c:v>1.001223908403202</c:v>
                </c:pt>
                <c:pt idx="10">
                  <c:v>0.91719509811537236</c:v>
                </c:pt>
                <c:pt idx="11">
                  <c:v>0.84651529683804794</c:v>
                </c:pt>
                <c:pt idx="12">
                  <c:v>0.82210886100400193</c:v>
                </c:pt>
                <c:pt idx="13">
                  <c:v>0.78810453540341818</c:v>
                </c:pt>
                <c:pt idx="14">
                  <c:v>0.56767023973780406</c:v>
                </c:pt>
                <c:pt idx="15">
                  <c:v>0.48129791479342576</c:v>
                </c:pt>
              </c:numCache>
            </c:numRef>
          </c:yVal>
          <c:smooth val="0"/>
        </c:ser>
        <c:ser>
          <c:idx val="3"/>
          <c:order val="3"/>
          <c:tx>
            <c:v>D</c:v>
          </c:tx>
          <c:spPr>
            <a:ln w="28575">
              <a:noFill/>
            </a:ln>
          </c:spPr>
          <c:marker>
            <c:symbol val="circ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vG_crest!$BF$6:$BF$23</c:f>
              <c:numCache>
                <c:formatCode>General</c:formatCode>
                <c:ptCount val="18"/>
                <c:pt idx="0">
                  <c:v>0.8827779318336455</c:v>
                </c:pt>
                <c:pt idx="1">
                  <c:v>0.49363004030423568</c:v>
                </c:pt>
                <c:pt idx="2">
                  <c:v>1.2052251303768498</c:v>
                </c:pt>
                <c:pt idx="3">
                  <c:v>0.76261838178153774</c:v>
                </c:pt>
                <c:pt idx="4">
                  <c:v>1.6524487500909535</c:v>
                </c:pt>
                <c:pt idx="5">
                  <c:v>1.0820676534732001</c:v>
                </c:pt>
                <c:pt idx="6">
                  <c:v>0.68256951796765475</c:v>
                </c:pt>
                <c:pt idx="7">
                  <c:v>1.6239078601715928</c:v>
                </c:pt>
                <c:pt idx="8">
                  <c:v>1.1256829523233376</c:v>
                </c:pt>
                <c:pt idx="9">
                  <c:v>1.8309868983211131</c:v>
                </c:pt>
                <c:pt idx="10">
                  <c:v>1.4635630171591814</c:v>
                </c:pt>
                <c:pt idx="11">
                  <c:v>1.2641132877307242</c:v>
                </c:pt>
                <c:pt idx="12">
                  <c:v>1.1088689889728596</c:v>
                </c:pt>
                <c:pt idx="13">
                  <c:v>1.1036647682351233</c:v>
                </c:pt>
                <c:pt idx="14">
                  <c:v>0.92968840388124796</c:v>
                </c:pt>
                <c:pt idx="15">
                  <c:v>0.81084229814235742</c:v>
                </c:pt>
                <c:pt idx="16">
                  <c:v>0.58307288676978519</c:v>
                </c:pt>
                <c:pt idx="17">
                  <c:v>0.54545736871950634</c:v>
                </c:pt>
              </c:numCache>
            </c:numRef>
          </c:xVal>
          <c:yVal>
            <c:numRef>
              <c:f>vG_crest!$BJ$72:$BJ$89</c:f>
              <c:numCache>
                <c:formatCode>General</c:formatCode>
                <c:ptCount val="18"/>
                <c:pt idx="0">
                  <c:v>0.47957783847884461</c:v>
                </c:pt>
                <c:pt idx="2">
                  <c:v>0.97275142143134596</c:v>
                </c:pt>
                <c:pt idx="4">
                  <c:v>1.0284669166273019</c:v>
                </c:pt>
                <c:pt idx="5">
                  <c:v>0.76299710039078938</c:v>
                </c:pt>
                <c:pt idx="7">
                  <c:v>0.92433587217709834</c:v>
                </c:pt>
                <c:pt idx="8">
                  <c:v>0.63997460631142233</c:v>
                </c:pt>
                <c:pt idx="9">
                  <c:v>0.90026015293397166</c:v>
                </c:pt>
                <c:pt idx="10">
                  <c:v>0.90900585616791363</c:v>
                </c:pt>
                <c:pt idx="11">
                  <c:v>0.8714128055685787</c:v>
                </c:pt>
                <c:pt idx="12">
                  <c:v>0.79641795909762692</c:v>
                </c:pt>
                <c:pt idx="13">
                  <c:v>0.72611878542786845</c:v>
                </c:pt>
                <c:pt idx="14">
                  <c:v>0.55072485944712335</c:v>
                </c:pt>
                <c:pt idx="15">
                  <c:v>0.53286554852129275</c:v>
                </c:pt>
              </c:numCache>
            </c:numRef>
          </c:yVal>
          <c:smooth val="0"/>
        </c:ser>
        <c:ser>
          <c:idx val="5"/>
          <c:order val="4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vG_crest!$CA$63:$CA$64</c:f>
              <c:numCache>
                <c:formatCode>General</c:formatCode>
                <c:ptCount val="2"/>
                <c:pt idx="0">
                  <c:v>0</c:v>
                </c:pt>
                <c:pt idx="1">
                  <c:v>3.5</c:v>
                </c:pt>
              </c:numCache>
            </c:numRef>
          </c:xVal>
          <c:yVal>
            <c:numRef>
              <c:f>vG_crest!$CB$63:$CB$64</c:f>
              <c:numCache>
                <c:formatCode>General</c:formatCode>
                <c:ptCount val="2"/>
                <c:pt idx="0">
                  <c:v>0</c:v>
                </c:pt>
                <c:pt idx="1">
                  <c:v>3.5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670016"/>
        <c:axId val="133671936"/>
      </c:scatterChart>
      <c:valAx>
        <c:axId val="133670016"/>
        <c:scaling>
          <c:orientation val="minMax"/>
          <c:max val="2"/>
        </c:scaling>
        <c:delete val="0"/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itchFamily="34" charset="0"/>
                    <a:ea typeface="+mn-ea"/>
                    <a:cs typeface="Arial" pitchFamily="34" charset="0"/>
                  </a:defRPr>
                </a:pPr>
                <a:r>
                  <a:rPr lang="nl-NL" sz="1200" b="0" i="0" baseline="0">
                    <a:effectLst/>
                  </a:rPr>
                  <a:t>u</a:t>
                </a:r>
                <a:r>
                  <a:rPr lang="nl-NL" sz="1200" b="0" i="0" baseline="-25000">
                    <a:effectLst/>
                  </a:rPr>
                  <a:t>2% </a:t>
                </a:r>
                <a:r>
                  <a:rPr lang="nl-NL" sz="1200" b="0" i="0" baseline="0">
                    <a:effectLst/>
                  </a:rPr>
                  <a:t>/ (gH</a:t>
                </a:r>
                <a:r>
                  <a:rPr lang="nl-NL" sz="1200" b="0" i="0" baseline="-25000">
                    <a:effectLst/>
                  </a:rPr>
                  <a:t>m0</a:t>
                </a:r>
                <a:r>
                  <a:rPr lang="nl-NL" sz="1200" b="0" i="0" baseline="0">
                    <a:effectLst/>
                  </a:rPr>
                  <a:t>)</a:t>
                </a:r>
                <a:r>
                  <a:rPr lang="nl-NL" sz="1200" b="0" i="0" baseline="30000">
                    <a:effectLst/>
                  </a:rPr>
                  <a:t>0.5 </a:t>
                </a:r>
                <a:r>
                  <a:rPr lang="nl-NL" sz="1200" b="0" i="0" baseline="0">
                    <a:effectLst/>
                  </a:rPr>
                  <a:t>eq. Trung</a:t>
                </a:r>
                <a:endParaRPr lang="nl-NL" sz="12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33671936"/>
        <c:crosses val="autoZero"/>
        <c:crossBetween val="midCat"/>
        <c:majorUnit val="0.5"/>
      </c:valAx>
      <c:valAx>
        <c:axId val="133671936"/>
        <c:scaling>
          <c:orientation val="minMax"/>
          <c:max val="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nl-NL" sz="1200" b="0" i="0" baseline="0">
                    <a:effectLst/>
                  </a:rPr>
                  <a:t>u</a:t>
                </a:r>
                <a:r>
                  <a:rPr lang="nl-NL" sz="1200" b="0" i="0" baseline="-25000">
                    <a:effectLst/>
                  </a:rPr>
                  <a:t>2% </a:t>
                </a:r>
                <a:r>
                  <a:rPr lang="nl-NL" sz="1200" b="0" i="0" baseline="0">
                    <a:effectLst/>
                  </a:rPr>
                  <a:t>/ (gH</a:t>
                </a:r>
                <a:r>
                  <a:rPr lang="nl-NL" sz="1200" b="0" i="0" baseline="-25000">
                    <a:effectLst/>
                  </a:rPr>
                  <a:t>m0</a:t>
                </a:r>
                <a:r>
                  <a:rPr lang="nl-NL" sz="1200" b="0" i="0" baseline="0">
                    <a:effectLst/>
                  </a:rPr>
                  <a:t>)</a:t>
                </a:r>
                <a:r>
                  <a:rPr lang="nl-NL" sz="1200" b="0" i="0" baseline="30000">
                    <a:effectLst/>
                  </a:rPr>
                  <a:t>0.5 </a:t>
                </a:r>
                <a:r>
                  <a:rPr lang="nl-NL" sz="1200" b="0" i="0" baseline="0">
                    <a:effectLst/>
                  </a:rPr>
                  <a:t>mea. van Gent</a:t>
                </a:r>
                <a:endParaRPr lang="nl-NL" sz="12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33670016"/>
        <c:crosses val="autoZero"/>
        <c:crossBetween val="midCat"/>
        <c:majorUnit val="0.5"/>
      </c:valAx>
    </c:plotArea>
    <c:legend>
      <c:legendPos val="r"/>
      <c:legendEntry>
        <c:idx val="4"/>
        <c:delete val="1"/>
      </c:legendEntry>
      <c:overlay val="0"/>
    </c:legend>
    <c:plotVisOnly val="1"/>
    <c:dispBlanksAs val="gap"/>
    <c:showDLblsOverMax val="0"/>
  </c:chart>
  <c:txPr>
    <a:bodyPr/>
    <a:lstStyle/>
    <a:p>
      <a:pPr>
        <a:defRPr sz="1200" b="0">
          <a:latin typeface="Arial" pitchFamily="34" charset="0"/>
          <a:cs typeface="Arial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nl-NL" sz="1200" baseline="0"/>
              <a:t>Seaward vs landward-side</a:t>
            </a:r>
            <a:endParaRPr lang="nl-NL" sz="1200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</c:v>
          </c:tx>
          <c:spPr>
            <a:ln w="28575">
              <a:noFill/>
            </a:ln>
          </c:spPr>
          <c:marker>
            <c:symbol val="diamond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vG_crest!$AY$6:$AY$23</c:f>
              <c:numCache>
                <c:formatCode>General</c:formatCode>
                <c:ptCount val="18"/>
                <c:pt idx="0">
                  <c:v>0.84977827519935634</c:v>
                </c:pt>
                <c:pt idx="2">
                  <c:v>1.187086480390795</c:v>
                </c:pt>
                <c:pt idx="3">
                  <c:v>0.56767023973780406</c:v>
                </c:pt>
                <c:pt idx="4">
                  <c:v>1.4529135806322204</c:v>
                </c:pt>
                <c:pt idx="5">
                  <c:v>0.9558425213686812</c:v>
                </c:pt>
                <c:pt idx="6">
                  <c:v>0.46410870355080341</c:v>
                </c:pt>
                <c:pt idx="7">
                  <c:v>1.3073939813676074</c:v>
                </c:pt>
                <c:pt idx="8">
                  <c:v>1.0239593700982756</c:v>
                </c:pt>
                <c:pt idx="9">
                  <c:v>1.3966652839910212</c:v>
                </c:pt>
                <c:pt idx="10">
                  <c:v>1.1628723565391326</c:v>
                </c:pt>
                <c:pt idx="11">
                  <c:v>1.2033795886423229</c:v>
                </c:pt>
                <c:pt idx="12">
                  <c:v>1.1047087819741277</c:v>
                </c:pt>
                <c:pt idx="13">
                  <c:v>1.0183373210268887</c:v>
                </c:pt>
                <c:pt idx="14">
                  <c:v>0.85574170467937627</c:v>
                </c:pt>
                <c:pt idx="15">
                  <c:v>0.91102819585898442</c:v>
                </c:pt>
                <c:pt idx="16">
                  <c:v>0.50777073778219761</c:v>
                </c:pt>
                <c:pt idx="17">
                  <c:v>0.66559790064627178</c:v>
                </c:pt>
              </c:numCache>
            </c:numRef>
          </c:xVal>
          <c:yVal>
            <c:numRef>
              <c:f>vG_crest!$BJ$6:$BJ$23</c:f>
              <c:numCache>
                <c:formatCode>General</c:formatCode>
                <c:ptCount val="18"/>
                <c:pt idx="0">
                  <c:v>0.93391473809038184</c:v>
                </c:pt>
                <c:pt idx="2">
                  <c:v>1.1541118559354953</c:v>
                </c:pt>
                <c:pt idx="3">
                  <c:v>0.75406942293529189</c:v>
                </c:pt>
                <c:pt idx="4">
                  <c:v>1.2815024278610034</c:v>
                </c:pt>
                <c:pt idx="5">
                  <c:v>1.0229191895349043</c:v>
                </c:pt>
                <c:pt idx="6">
                  <c:v>0.68756844970489395</c:v>
                </c:pt>
                <c:pt idx="7">
                  <c:v>1.1991384287702895</c:v>
                </c:pt>
                <c:pt idx="8">
                  <c:v>1.0495583543507325</c:v>
                </c:pt>
                <c:pt idx="9">
                  <c:v>1.2452196507871756</c:v>
                </c:pt>
                <c:pt idx="10">
                  <c:v>1.1219261468018393</c:v>
                </c:pt>
                <c:pt idx="11">
                  <c:v>1.1286870624507306</c:v>
                </c:pt>
                <c:pt idx="12">
                  <c:v>1.0875815140365444</c:v>
                </c:pt>
                <c:pt idx="13">
                  <c:v>1.0803230710024383</c:v>
                </c:pt>
                <c:pt idx="14">
                  <c:v>0.9065778455514184</c:v>
                </c:pt>
                <c:pt idx="15">
                  <c:v>0.87664977337373973</c:v>
                </c:pt>
                <c:pt idx="16">
                  <c:v>0.54278940935338371</c:v>
                </c:pt>
                <c:pt idx="17">
                  <c:v>0.56665767217182594</c:v>
                </c:pt>
              </c:numCache>
            </c:numRef>
          </c:yVal>
          <c:smooth val="0"/>
        </c:ser>
        <c:ser>
          <c:idx val="1"/>
          <c:order val="1"/>
          <c:tx>
            <c:v>B</c:v>
          </c:tx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vG_crest!$AY$28:$AY$45</c:f>
              <c:numCache>
                <c:formatCode>General</c:formatCode>
                <c:ptCount val="18"/>
                <c:pt idx="0">
                  <c:v>1.0601194324269199</c:v>
                </c:pt>
                <c:pt idx="2">
                  <c:v>1.2612793854152198</c:v>
                </c:pt>
                <c:pt idx="3">
                  <c:v>0.83879632438869545</c:v>
                </c:pt>
                <c:pt idx="4">
                  <c:v>1.4202638372472265</c:v>
                </c:pt>
                <c:pt idx="5">
                  <c:v>1.1654571093881287</c:v>
                </c:pt>
                <c:pt idx="6">
                  <c:v>0.72194687219013853</c:v>
                </c:pt>
                <c:pt idx="7">
                  <c:v>1.3656854327661632</c:v>
                </c:pt>
                <c:pt idx="8">
                  <c:v>1.1263553071081034</c:v>
                </c:pt>
                <c:pt idx="9">
                  <c:v>1.4303198691474315</c:v>
                </c:pt>
                <c:pt idx="10">
                  <c:v>1.2693325018560957</c:v>
                </c:pt>
                <c:pt idx="11">
                  <c:v>1.2697729452570719</c:v>
                </c:pt>
                <c:pt idx="12">
                  <c:v>1.2331632915060029</c:v>
                </c:pt>
                <c:pt idx="13">
                  <c:v>1.1423088209779881</c:v>
                </c:pt>
                <c:pt idx="14">
                  <c:v>0.92352322584209912</c:v>
                </c:pt>
                <c:pt idx="15">
                  <c:v>0.92821740710160683</c:v>
                </c:pt>
                <c:pt idx="16">
                  <c:v>0.66535475985253489</c:v>
                </c:pt>
                <c:pt idx="17">
                  <c:v>0.63861420197142282</c:v>
                </c:pt>
              </c:numCache>
            </c:numRef>
          </c:xVal>
          <c:yVal>
            <c:numRef>
              <c:f>vG_crest!$BJ$28:$BJ$45</c:f>
              <c:numCache>
                <c:formatCode>General</c:formatCode>
                <c:ptCount val="18"/>
                <c:pt idx="0">
                  <c:v>1.0348784935596123</c:v>
                </c:pt>
                <c:pt idx="2">
                  <c:v>1.2035737926184451</c:v>
                </c:pt>
                <c:pt idx="3">
                  <c:v>0.83879632438869545</c:v>
                </c:pt>
                <c:pt idx="4">
                  <c:v>1.2570151203222579</c:v>
                </c:pt>
                <c:pt idx="5">
                  <c:v>1.1235341917842394</c:v>
                </c:pt>
                <c:pt idx="6">
                  <c:v>0.85946056213111732</c:v>
                </c:pt>
                <c:pt idx="7">
                  <c:v>1.1824837283707021</c:v>
                </c:pt>
                <c:pt idx="8">
                  <c:v>1.1007563228556465</c:v>
                </c:pt>
                <c:pt idx="9">
                  <c:v>1.2368060044980731</c:v>
                </c:pt>
                <c:pt idx="10">
                  <c:v>1.1956293243289673</c:v>
                </c:pt>
                <c:pt idx="11">
                  <c:v>1.1203878928738871</c:v>
                </c:pt>
                <c:pt idx="12">
                  <c:v>1.1560905857868777</c:v>
                </c:pt>
                <c:pt idx="13">
                  <c:v>1.1777292495354452</c:v>
                </c:pt>
                <c:pt idx="14">
                  <c:v>0.99130474700482185</c:v>
                </c:pt>
                <c:pt idx="15">
                  <c:v>0.95400122396554032</c:v>
                </c:pt>
              </c:numCache>
            </c:numRef>
          </c:yVal>
          <c:smooth val="0"/>
        </c:ser>
        <c:ser>
          <c:idx val="2"/>
          <c:order val="2"/>
          <c:tx>
            <c:v>C</c:v>
          </c:tx>
          <c:spPr>
            <a:ln w="28575">
              <a:noFill/>
            </a:ln>
          </c:spPr>
          <c:marker>
            <c:symbol val="triang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vG_crest!$AY$50:$AY$67</c:f>
              <c:numCache>
                <c:formatCode>General</c:formatCode>
                <c:ptCount val="18"/>
                <c:pt idx="0">
                  <c:v>0.94232838437948441</c:v>
                </c:pt>
                <c:pt idx="2">
                  <c:v>1.2942540098705198</c:v>
                </c:pt>
                <c:pt idx="3">
                  <c:v>0.79643287366199367</c:v>
                </c:pt>
                <c:pt idx="4">
                  <c:v>1.4937257598634626</c:v>
                </c:pt>
                <c:pt idx="5">
                  <c:v>1.1906108599504626</c:v>
                </c:pt>
                <c:pt idx="6">
                  <c:v>0.83367674526718383</c:v>
                </c:pt>
                <c:pt idx="7">
                  <c:v>1.3240486817671948</c:v>
                </c:pt>
                <c:pt idx="8">
                  <c:v>1.0239593700982756</c:v>
                </c:pt>
                <c:pt idx="9">
                  <c:v>1.3882516377019187</c:v>
                </c:pt>
                <c:pt idx="10">
                  <c:v>1.3102787115933889</c:v>
                </c:pt>
                <c:pt idx="11">
                  <c:v>1.2365762669496974</c:v>
                </c:pt>
                <c:pt idx="12">
                  <c:v>1.2074723895996278</c:v>
                </c:pt>
                <c:pt idx="13">
                  <c:v>1.1245986066992597</c:v>
                </c:pt>
                <c:pt idx="14">
                  <c:v>0.94046860613277983</c:v>
                </c:pt>
                <c:pt idx="15">
                  <c:v>0.97978504082947371</c:v>
                </c:pt>
                <c:pt idx="16">
                  <c:v>0.59531741671016281</c:v>
                </c:pt>
                <c:pt idx="17">
                  <c:v>0.62062506952152363</c:v>
                </c:pt>
              </c:numCache>
            </c:numRef>
          </c:xVal>
          <c:yVal>
            <c:numRef>
              <c:f>vG_crest!$BJ$50:$BJ$67</c:f>
              <c:numCache>
                <c:formatCode>General</c:formatCode>
                <c:ptCount val="18"/>
                <c:pt idx="0">
                  <c:v>0.53005971621345993</c:v>
                </c:pt>
                <c:pt idx="2">
                  <c:v>0.95626410920369598</c:v>
                </c:pt>
                <c:pt idx="4">
                  <c:v>1.0937664033972896</c:v>
                </c:pt>
                <c:pt idx="5">
                  <c:v>0.77976626743234523</c:v>
                </c:pt>
                <c:pt idx="7">
                  <c:v>0.97429997337586027</c:v>
                </c:pt>
                <c:pt idx="8">
                  <c:v>0.63997460631142233</c:v>
                </c:pt>
                <c:pt idx="9">
                  <c:v>1.001223908403202</c:v>
                </c:pt>
                <c:pt idx="10">
                  <c:v>0.91719509811537236</c:v>
                </c:pt>
                <c:pt idx="11">
                  <c:v>0.84651529683804794</c:v>
                </c:pt>
                <c:pt idx="12">
                  <c:v>0.82210886100400193</c:v>
                </c:pt>
                <c:pt idx="13">
                  <c:v>0.78810453540341818</c:v>
                </c:pt>
                <c:pt idx="14">
                  <c:v>0.56767023973780406</c:v>
                </c:pt>
                <c:pt idx="15">
                  <c:v>0.48129791479342576</c:v>
                </c:pt>
              </c:numCache>
            </c:numRef>
          </c:yVal>
          <c:smooth val="0"/>
        </c:ser>
        <c:ser>
          <c:idx val="3"/>
          <c:order val="3"/>
          <c:tx>
            <c:v>D</c:v>
          </c:tx>
          <c:spPr>
            <a:ln w="28575">
              <a:noFill/>
            </a:ln>
          </c:spPr>
          <c:marker>
            <c:symbol val="circ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vG_crest!$AY$72:$AY$89</c:f>
              <c:numCache>
                <c:formatCode>General</c:formatCode>
                <c:ptCount val="18"/>
                <c:pt idx="0">
                  <c:v>0.57212794765897268</c:v>
                </c:pt>
                <c:pt idx="2">
                  <c:v>1.1788428242769702</c:v>
                </c:pt>
                <c:pt idx="3">
                  <c:v>0.47447064813906015</c:v>
                </c:pt>
                <c:pt idx="4">
                  <c:v>1.2978272995535003</c:v>
                </c:pt>
                <c:pt idx="5">
                  <c:v>1.0145346060141265</c:v>
                </c:pt>
                <c:pt idx="6">
                  <c:v>0.48129791479342576</c:v>
                </c:pt>
                <c:pt idx="7">
                  <c:v>1.1991384287702895</c:v>
                </c:pt>
                <c:pt idx="8">
                  <c:v>0.81063450132780157</c:v>
                </c:pt>
                <c:pt idx="9">
                  <c:v>1.295701528521791</c:v>
                </c:pt>
                <c:pt idx="10">
                  <c:v>1.2120078082238848</c:v>
                </c:pt>
                <c:pt idx="11">
                  <c:v>1.0456953666822943</c:v>
                </c:pt>
                <c:pt idx="12">
                  <c:v>0.95912700450466903</c:v>
                </c:pt>
                <c:pt idx="13">
                  <c:v>0.88551071393642489</c:v>
                </c:pt>
                <c:pt idx="14">
                  <c:v>0.76254211308063224</c:v>
                </c:pt>
                <c:pt idx="15">
                  <c:v>0.58443318224915985</c:v>
                </c:pt>
              </c:numCache>
            </c:numRef>
          </c:xVal>
          <c:yVal>
            <c:numRef>
              <c:f>vG_crest!$BJ$72:$BJ$89</c:f>
              <c:numCache>
                <c:formatCode>General</c:formatCode>
                <c:ptCount val="18"/>
                <c:pt idx="0">
                  <c:v>0.47957783847884461</c:v>
                </c:pt>
                <c:pt idx="2">
                  <c:v>0.97275142143134596</c:v>
                </c:pt>
                <c:pt idx="4">
                  <c:v>1.0284669166273019</c:v>
                </c:pt>
                <c:pt idx="5">
                  <c:v>0.76299710039078938</c:v>
                </c:pt>
                <c:pt idx="7">
                  <c:v>0.92433587217709834</c:v>
                </c:pt>
                <c:pt idx="8">
                  <c:v>0.63997460631142233</c:v>
                </c:pt>
                <c:pt idx="9">
                  <c:v>0.90026015293397166</c:v>
                </c:pt>
                <c:pt idx="10">
                  <c:v>0.90900585616791363</c:v>
                </c:pt>
                <c:pt idx="11">
                  <c:v>0.8714128055685787</c:v>
                </c:pt>
                <c:pt idx="12">
                  <c:v>0.79641795909762692</c:v>
                </c:pt>
                <c:pt idx="13">
                  <c:v>0.72611878542786845</c:v>
                </c:pt>
                <c:pt idx="14">
                  <c:v>0.55072485944712335</c:v>
                </c:pt>
                <c:pt idx="15">
                  <c:v>0.53286554852129275</c:v>
                </c:pt>
              </c:numCache>
            </c:numRef>
          </c:yVal>
          <c:smooth val="0"/>
        </c:ser>
        <c:ser>
          <c:idx val="5"/>
          <c:order val="4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vG_crest!$CA$63:$CA$64</c:f>
              <c:numCache>
                <c:formatCode>General</c:formatCode>
                <c:ptCount val="2"/>
                <c:pt idx="0">
                  <c:v>0</c:v>
                </c:pt>
                <c:pt idx="1">
                  <c:v>3.5</c:v>
                </c:pt>
              </c:numCache>
            </c:numRef>
          </c:xVal>
          <c:yVal>
            <c:numRef>
              <c:f>vG_crest!$CB$63:$CB$64</c:f>
              <c:numCache>
                <c:formatCode>General</c:formatCode>
                <c:ptCount val="2"/>
                <c:pt idx="0">
                  <c:v>0</c:v>
                </c:pt>
                <c:pt idx="1">
                  <c:v>3.5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778432"/>
        <c:axId val="133788800"/>
      </c:scatterChart>
      <c:valAx>
        <c:axId val="133778432"/>
        <c:scaling>
          <c:orientation val="minMax"/>
          <c:max val="2"/>
        </c:scaling>
        <c:delete val="0"/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itchFamily="34" charset="0"/>
                    <a:ea typeface="+mn-ea"/>
                    <a:cs typeface="Arial" pitchFamily="34" charset="0"/>
                  </a:defRPr>
                </a:pPr>
                <a:r>
                  <a:rPr lang="nl-NL" sz="1200" b="0" i="0" baseline="0">
                    <a:effectLst/>
                  </a:rPr>
                  <a:t>u</a:t>
                </a:r>
                <a:r>
                  <a:rPr lang="nl-NL" sz="1200" b="0" i="0" baseline="-25000">
                    <a:effectLst/>
                  </a:rPr>
                  <a:t>2% </a:t>
                </a:r>
                <a:r>
                  <a:rPr lang="nl-NL" sz="1200" b="0" i="0" baseline="0">
                    <a:effectLst/>
                  </a:rPr>
                  <a:t>/ (gH</a:t>
                </a:r>
                <a:r>
                  <a:rPr lang="nl-NL" sz="1200" b="0" i="0" baseline="-25000">
                    <a:effectLst/>
                  </a:rPr>
                  <a:t>m0</a:t>
                </a:r>
                <a:r>
                  <a:rPr lang="nl-NL" sz="1200" b="0" i="0" baseline="0">
                    <a:effectLst/>
                  </a:rPr>
                  <a:t>)</a:t>
                </a:r>
                <a:r>
                  <a:rPr lang="nl-NL" sz="1200" b="0" i="0" baseline="30000">
                    <a:effectLst/>
                  </a:rPr>
                  <a:t>0.5 </a:t>
                </a:r>
                <a:r>
                  <a:rPr lang="nl-NL" sz="1200" b="0" i="0" baseline="0">
                    <a:effectLst/>
                  </a:rPr>
                  <a:t>at seaward-side edge</a:t>
                </a:r>
                <a:endParaRPr lang="nl-NL" sz="12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33788800"/>
        <c:crosses val="autoZero"/>
        <c:crossBetween val="midCat"/>
        <c:majorUnit val="0.5"/>
      </c:valAx>
      <c:valAx>
        <c:axId val="133788800"/>
        <c:scaling>
          <c:orientation val="minMax"/>
          <c:max val="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nl-NL" sz="1200" b="0" i="0" baseline="0">
                    <a:effectLst/>
                  </a:rPr>
                  <a:t>u</a:t>
                </a:r>
                <a:r>
                  <a:rPr lang="nl-NL" sz="1200" b="0" i="0" baseline="-25000">
                    <a:effectLst/>
                  </a:rPr>
                  <a:t>2% </a:t>
                </a:r>
                <a:r>
                  <a:rPr lang="nl-NL" sz="1200" b="0" i="0" baseline="0">
                    <a:effectLst/>
                  </a:rPr>
                  <a:t>/ (gH</a:t>
                </a:r>
                <a:r>
                  <a:rPr lang="nl-NL" sz="1200" b="0" i="0" baseline="-25000">
                    <a:effectLst/>
                  </a:rPr>
                  <a:t>m0</a:t>
                </a:r>
                <a:r>
                  <a:rPr lang="nl-NL" sz="1200" b="0" i="0" baseline="0">
                    <a:effectLst/>
                  </a:rPr>
                  <a:t>)</a:t>
                </a:r>
                <a:r>
                  <a:rPr lang="nl-NL" sz="1200" b="0" i="0" baseline="30000">
                    <a:effectLst/>
                  </a:rPr>
                  <a:t>0.5 </a:t>
                </a:r>
                <a:r>
                  <a:rPr lang="nl-NL" sz="1200" b="0" i="0" baseline="0">
                    <a:effectLst/>
                  </a:rPr>
                  <a:t>at landward-side edge</a:t>
                </a:r>
                <a:endParaRPr lang="nl-NL" sz="12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33778432"/>
        <c:crosses val="autoZero"/>
        <c:crossBetween val="midCat"/>
        <c:majorUnit val="0.5"/>
      </c:valAx>
    </c:plotArea>
    <c:legend>
      <c:legendPos val="r"/>
      <c:legendEntry>
        <c:idx val="4"/>
        <c:delete val="1"/>
      </c:legendEntry>
      <c:overlay val="0"/>
    </c:legend>
    <c:plotVisOnly val="1"/>
    <c:dispBlanksAs val="gap"/>
    <c:showDLblsOverMax val="0"/>
  </c:chart>
  <c:txPr>
    <a:bodyPr/>
    <a:lstStyle/>
    <a:p>
      <a:pPr>
        <a:defRPr sz="1200" b="0">
          <a:latin typeface="Arial" pitchFamily="34" charset="0"/>
          <a:cs typeface="Arial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nl-NL" sz="1200"/>
              <a:t>Seaward vs landward-side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</c:v>
          </c:tx>
          <c:spPr>
            <a:ln w="28575">
              <a:noFill/>
            </a:ln>
          </c:spPr>
          <c:marker>
            <c:symbol val="diamond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vG_crest!$AX$6:$AX$23</c:f>
              <c:numCache>
                <c:formatCode>General</c:formatCode>
                <c:ptCount val="18"/>
                <c:pt idx="0">
                  <c:v>5.7638888888888892E-2</c:v>
                </c:pt>
                <c:pt idx="1">
                  <c:v>1.9424460431654675E-2</c:v>
                </c:pt>
                <c:pt idx="2">
                  <c:v>0.1</c:v>
                </c:pt>
                <c:pt idx="3">
                  <c:v>4.2957746478873238E-2</c:v>
                </c:pt>
                <c:pt idx="4">
                  <c:v>0.17058823529411765</c:v>
                </c:pt>
                <c:pt idx="5">
                  <c:v>8.8965517241379313E-2</c:v>
                </c:pt>
                <c:pt idx="6">
                  <c:v>4.6376811594202899E-2</c:v>
                </c:pt>
                <c:pt idx="7">
                  <c:v>0.14013605442176871</c:v>
                </c:pt>
                <c:pt idx="8">
                  <c:v>9.0714285714285706E-2</c:v>
                </c:pt>
                <c:pt idx="9">
                  <c:v>0.17708333333333334</c:v>
                </c:pt>
                <c:pt idx="10">
                  <c:v>0.11447368421052631</c:v>
                </c:pt>
                <c:pt idx="11">
                  <c:v>9.8648648648648654E-2</c:v>
                </c:pt>
                <c:pt idx="12">
                  <c:v>9.2805755395683448E-2</c:v>
                </c:pt>
                <c:pt idx="13">
                  <c:v>8.6923076923076922E-2</c:v>
                </c:pt>
                <c:pt idx="14">
                  <c:v>6.1971830985915501E-2</c:v>
                </c:pt>
                <c:pt idx="15">
                  <c:v>6.1594202898550721E-2</c:v>
                </c:pt>
                <c:pt idx="16">
                  <c:v>3.0827067669172925E-2</c:v>
                </c:pt>
                <c:pt idx="17">
                  <c:v>3.1746031746031744E-2</c:v>
                </c:pt>
              </c:numCache>
            </c:numRef>
          </c:xVal>
          <c:yVal>
            <c:numRef>
              <c:f>vG_crest!$BI$6:$BI$23</c:f>
              <c:numCache>
                <c:formatCode>General</c:formatCode>
                <c:ptCount val="18"/>
                <c:pt idx="0">
                  <c:v>4.5138888888888888E-2</c:v>
                </c:pt>
                <c:pt idx="1">
                  <c:v>1.0791366906474819E-2</c:v>
                </c:pt>
                <c:pt idx="2">
                  <c:v>8.4000000000000005E-2</c:v>
                </c:pt>
                <c:pt idx="3">
                  <c:v>3.4507042253521136E-2</c:v>
                </c:pt>
                <c:pt idx="4">
                  <c:v>0.13660130718954247</c:v>
                </c:pt>
                <c:pt idx="5">
                  <c:v>6.5517241379310351E-2</c:v>
                </c:pt>
                <c:pt idx="6">
                  <c:v>3.2608695652173905E-2</c:v>
                </c:pt>
                <c:pt idx="7">
                  <c:v>0.10680272108843537</c:v>
                </c:pt>
                <c:pt idx="8">
                  <c:v>6.1428571428571423E-2</c:v>
                </c:pt>
                <c:pt idx="9">
                  <c:v>0.11111111111111112</c:v>
                </c:pt>
                <c:pt idx="10">
                  <c:v>9.2763157894736839E-2</c:v>
                </c:pt>
                <c:pt idx="11">
                  <c:v>7.9729729729729748E-2</c:v>
                </c:pt>
                <c:pt idx="12">
                  <c:v>6.9784172661870481E-2</c:v>
                </c:pt>
                <c:pt idx="13">
                  <c:v>6.23076923076923E-2</c:v>
                </c:pt>
                <c:pt idx="14">
                  <c:v>4.8591549295774659E-2</c:v>
                </c:pt>
                <c:pt idx="15">
                  <c:v>4.7826086956521734E-2</c:v>
                </c:pt>
                <c:pt idx="16">
                  <c:v>2.1804511278195486E-2</c:v>
                </c:pt>
                <c:pt idx="17">
                  <c:v>2.5396825396825397E-2</c:v>
                </c:pt>
              </c:numCache>
            </c:numRef>
          </c:yVal>
          <c:smooth val="0"/>
        </c:ser>
        <c:ser>
          <c:idx val="1"/>
          <c:order val="1"/>
          <c:tx>
            <c:v>B</c:v>
          </c:tx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vG_crest!$AX$28:$AX$45</c:f>
              <c:numCache>
                <c:formatCode>General</c:formatCode>
                <c:ptCount val="18"/>
                <c:pt idx="0">
                  <c:v>5.1388888888888894E-2</c:v>
                </c:pt>
                <c:pt idx="2">
                  <c:v>9.5333333333333339E-2</c:v>
                </c:pt>
                <c:pt idx="3">
                  <c:v>4.0845070422535212E-2</c:v>
                </c:pt>
                <c:pt idx="4">
                  <c:v>0.13856209150326798</c:v>
                </c:pt>
                <c:pt idx="5">
                  <c:v>8.3448275862068974E-2</c:v>
                </c:pt>
                <c:pt idx="6">
                  <c:v>4.6376811594202899E-2</c:v>
                </c:pt>
                <c:pt idx="7">
                  <c:v>0.13877551020408163</c:v>
                </c:pt>
                <c:pt idx="8">
                  <c:v>8.3571428571428547E-2</c:v>
                </c:pt>
                <c:pt idx="9">
                  <c:v>0.1590277777777778</c:v>
                </c:pt>
                <c:pt idx="10">
                  <c:v>0.10526315789473685</c:v>
                </c:pt>
                <c:pt idx="11">
                  <c:v>9.45945945945946E-2</c:v>
                </c:pt>
                <c:pt idx="12">
                  <c:v>8.4172661870503582E-2</c:v>
                </c:pt>
                <c:pt idx="13">
                  <c:v>7.7692307692307686E-2</c:v>
                </c:pt>
                <c:pt idx="14">
                  <c:v>5.3521126760563385E-2</c:v>
                </c:pt>
                <c:pt idx="15">
                  <c:v>5.5072463768115934E-2</c:v>
                </c:pt>
                <c:pt idx="16">
                  <c:v>2.4812030075187969E-2</c:v>
                </c:pt>
                <c:pt idx="17">
                  <c:v>1.984126984126984E-2</c:v>
                </c:pt>
              </c:numCache>
            </c:numRef>
          </c:xVal>
          <c:yVal>
            <c:numRef>
              <c:f>vG_crest!$BI$28:$BI$45</c:f>
              <c:numCache>
                <c:formatCode>General</c:formatCode>
                <c:ptCount val="18"/>
                <c:pt idx="0">
                  <c:v>3.8194444444444448E-2</c:v>
                </c:pt>
                <c:pt idx="2">
                  <c:v>7.3333333333333334E-2</c:v>
                </c:pt>
                <c:pt idx="3">
                  <c:v>2.5352112676056339E-2</c:v>
                </c:pt>
                <c:pt idx="4">
                  <c:v>0.10718954248366012</c:v>
                </c:pt>
                <c:pt idx="5">
                  <c:v>5.862068965517242E-2</c:v>
                </c:pt>
                <c:pt idx="6">
                  <c:v>2.8260869565217388E-2</c:v>
                </c:pt>
                <c:pt idx="7">
                  <c:v>9.6598639455782315E-2</c:v>
                </c:pt>
                <c:pt idx="8">
                  <c:v>4.9999999999999996E-2</c:v>
                </c:pt>
                <c:pt idx="9">
                  <c:v>0.10833333333333334</c:v>
                </c:pt>
                <c:pt idx="10">
                  <c:v>7.4342105263157904E-2</c:v>
                </c:pt>
                <c:pt idx="11">
                  <c:v>6.5540540540540537E-2</c:v>
                </c:pt>
                <c:pt idx="12">
                  <c:v>5.8273381294964018E-2</c:v>
                </c:pt>
                <c:pt idx="13">
                  <c:v>5.6153846153846151E-2</c:v>
                </c:pt>
                <c:pt idx="14">
                  <c:v>3.5211267605633804E-2</c:v>
                </c:pt>
                <c:pt idx="15">
                  <c:v>3.6231884057971009E-2</c:v>
                </c:pt>
                <c:pt idx="16">
                  <c:v>1.4285714285714285E-2</c:v>
                </c:pt>
                <c:pt idx="17">
                  <c:v>1.1904761904761904E-2</c:v>
                </c:pt>
              </c:numCache>
            </c:numRef>
          </c:yVal>
          <c:smooth val="0"/>
        </c:ser>
        <c:ser>
          <c:idx val="2"/>
          <c:order val="2"/>
          <c:tx>
            <c:v>C</c:v>
          </c:tx>
          <c:spPr>
            <a:ln w="28575">
              <a:noFill/>
            </a:ln>
          </c:spPr>
          <c:marker>
            <c:symbol val="triang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vG_crest!$AX$50:$AX$67</c:f>
              <c:numCache>
                <c:formatCode>General</c:formatCode>
                <c:ptCount val="18"/>
                <c:pt idx="0">
                  <c:v>4.9305555555555554E-2</c:v>
                </c:pt>
                <c:pt idx="2">
                  <c:v>9.2666666666666675E-2</c:v>
                </c:pt>
                <c:pt idx="3">
                  <c:v>4.0140845070422537E-2</c:v>
                </c:pt>
                <c:pt idx="4">
                  <c:v>0.13660130718954247</c:v>
                </c:pt>
                <c:pt idx="5">
                  <c:v>8.2758620689655185E-2</c:v>
                </c:pt>
                <c:pt idx="6">
                  <c:v>3.8405797101449271E-2</c:v>
                </c:pt>
                <c:pt idx="7">
                  <c:v>0.1380952380952381</c:v>
                </c:pt>
                <c:pt idx="8">
                  <c:v>9.2142857142857137E-2</c:v>
                </c:pt>
                <c:pt idx="9">
                  <c:v>0.15277777777777779</c:v>
                </c:pt>
                <c:pt idx="10">
                  <c:v>0.10723684210526317</c:v>
                </c:pt>
                <c:pt idx="11">
                  <c:v>8.7837837837837843E-2</c:v>
                </c:pt>
                <c:pt idx="12">
                  <c:v>8.776978417266186E-2</c:v>
                </c:pt>
                <c:pt idx="13">
                  <c:v>7.9999999999999988E-2</c:v>
                </c:pt>
                <c:pt idx="14">
                  <c:v>5.6338028169014093E-2</c:v>
                </c:pt>
                <c:pt idx="15">
                  <c:v>5.2898550724637679E-2</c:v>
                </c:pt>
                <c:pt idx="16">
                  <c:v>2.2556390977443608E-2</c:v>
                </c:pt>
                <c:pt idx="17">
                  <c:v>1.984126984126984E-2</c:v>
                </c:pt>
              </c:numCache>
            </c:numRef>
          </c:xVal>
          <c:yVal>
            <c:numRef>
              <c:f>vG_crest!$BI$50:$BI$67</c:f>
              <c:numCache>
                <c:formatCode>General</c:formatCode>
                <c:ptCount val="18"/>
                <c:pt idx="0">
                  <c:v>4.5138888888888888E-2</c:v>
                </c:pt>
                <c:pt idx="2">
                  <c:v>7.0000000000000007E-2</c:v>
                </c:pt>
                <c:pt idx="3">
                  <c:v>2.95774647887324E-2</c:v>
                </c:pt>
                <c:pt idx="4">
                  <c:v>9.2810457516339859E-2</c:v>
                </c:pt>
                <c:pt idx="5">
                  <c:v>6.4137931034482773E-2</c:v>
                </c:pt>
                <c:pt idx="6">
                  <c:v>3.0434782608695653E-2</c:v>
                </c:pt>
                <c:pt idx="7">
                  <c:v>8.3673469387755106E-2</c:v>
                </c:pt>
                <c:pt idx="8">
                  <c:v>5.6428571428571432E-2</c:v>
                </c:pt>
                <c:pt idx="9">
                  <c:v>0.10347222222222223</c:v>
                </c:pt>
                <c:pt idx="10">
                  <c:v>7.8289473684210534E-2</c:v>
                </c:pt>
                <c:pt idx="11">
                  <c:v>7.1621621621621626E-2</c:v>
                </c:pt>
                <c:pt idx="12">
                  <c:v>7.2661870503597112E-2</c:v>
                </c:pt>
                <c:pt idx="13">
                  <c:v>5.8461538461538461E-2</c:v>
                </c:pt>
                <c:pt idx="14">
                  <c:v>4.4366197183098595E-2</c:v>
                </c:pt>
                <c:pt idx="15">
                  <c:v>4.2028985507246368E-2</c:v>
                </c:pt>
                <c:pt idx="16">
                  <c:v>1.7293233082706767E-2</c:v>
                </c:pt>
                <c:pt idx="17">
                  <c:v>1.8253968253968255E-2</c:v>
                </c:pt>
              </c:numCache>
            </c:numRef>
          </c:yVal>
          <c:smooth val="0"/>
        </c:ser>
        <c:ser>
          <c:idx val="3"/>
          <c:order val="3"/>
          <c:tx>
            <c:v>D</c:v>
          </c:tx>
          <c:spPr>
            <a:ln w="28575">
              <a:noFill/>
            </a:ln>
          </c:spPr>
          <c:marker>
            <c:symbol val="circ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vG_crest!$AX$72:$AX$89</c:f>
              <c:numCache>
                <c:formatCode>General</c:formatCode>
                <c:ptCount val="18"/>
                <c:pt idx="0">
                  <c:v>4.4444444444444453E-2</c:v>
                </c:pt>
                <c:pt idx="2">
                  <c:v>9.0666666666666659E-2</c:v>
                </c:pt>
                <c:pt idx="3">
                  <c:v>3.5211267605633804E-2</c:v>
                </c:pt>
                <c:pt idx="4">
                  <c:v>0.13594771241830064</c:v>
                </c:pt>
                <c:pt idx="5">
                  <c:v>7.8620689655172424E-2</c:v>
                </c:pt>
                <c:pt idx="6">
                  <c:v>3.695652173913043E-2</c:v>
                </c:pt>
                <c:pt idx="7">
                  <c:v>0.12585034013605442</c:v>
                </c:pt>
                <c:pt idx="8">
                  <c:v>7.6428571428571415E-2</c:v>
                </c:pt>
                <c:pt idx="9">
                  <c:v>0.14722222222222223</c:v>
                </c:pt>
                <c:pt idx="10">
                  <c:v>0.10197368421052631</c:v>
                </c:pt>
                <c:pt idx="11">
                  <c:v>8.6486486486486491E-2</c:v>
                </c:pt>
                <c:pt idx="12">
                  <c:v>7.7697841726618699E-2</c:v>
                </c:pt>
                <c:pt idx="13">
                  <c:v>7.9999999999999988E-2</c:v>
                </c:pt>
                <c:pt idx="14">
                  <c:v>5.6338028169014093E-2</c:v>
                </c:pt>
                <c:pt idx="15">
                  <c:v>4.8550724637681154E-2</c:v>
                </c:pt>
                <c:pt idx="16">
                  <c:v>1.5789473684210527E-2</c:v>
                </c:pt>
                <c:pt idx="17">
                  <c:v>2.3015873015873014E-2</c:v>
                </c:pt>
              </c:numCache>
            </c:numRef>
          </c:xVal>
          <c:yVal>
            <c:numRef>
              <c:f>vG_crest!$BI$72:$BI$89</c:f>
              <c:numCache>
                <c:formatCode>General</c:formatCode>
                <c:ptCount val="18"/>
                <c:pt idx="0">
                  <c:v>3.6805555555555557E-2</c:v>
                </c:pt>
                <c:pt idx="2">
                  <c:v>6.1333333333333337E-2</c:v>
                </c:pt>
                <c:pt idx="3">
                  <c:v>2.6760563380281693E-2</c:v>
                </c:pt>
                <c:pt idx="4">
                  <c:v>8.4967320261437912E-2</c:v>
                </c:pt>
                <c:pt idx="5">
                  <c:v>5.5172413793103454E-2</c:v>
                </c:pt>
                <c:pt idx="6">
                  <c:v>2.681159420289855E-2</c:v>
                </c:pt>
                <c:pt idx="7">
                  <c:v>7.1428571428571438E-2</c:v>
                </c:pt>
                <c:pt idx="8">
                  <c:v>4.8571428571428564E-2</c:v>
                </c:pt>
                <c:pt idx="9">
                  <c:v>8.8888888888888906E-2</c:v>
                </c:pt>
                <c:pt idx="10">
                  <c:v>6.7105263157894737E-2</c:v>
                </c:pt>
                <c:pt idx="11">
                  <c:v>6.0135135135135138E-2</c:v>
                </c:pt>
                <c:pt idx="12">
                  <c:v>5.6834532374100723E-2</c:v>
                </c:pt>
                <c:pt idx="13">
                  <c:v>5.153846153846154E-2</c:v>
                </c:pt>
                <c:pt idx="14">
                  <c:v>4.0140845070422537E-2</c:v>
                </c:pt>
                <c:pt idx="15">
                  <c:v>3.768115942028985E-2</c:v>
                </c:pt>
                <c:pt idx="16">
                  <c:v>9.0225563909774424E-3</c:v>
                </c:pt>
                <c:pt idx="17">
                  <c:v>1.0317460317460317E-2</c:v>
                </c:pt>
              </c:numCache>
            </c:numRef>
          </c:yVal>
          <c:smooth val="0"/>
        </c:ser>
        <c:ser>
          <c:idx val="5"/>
          <c:order val="4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vG_crest!$CA$63:$CA$64</c:f>
              <c:numCache>
                <c:formatCode>General</c:formatCode>
                <c:ptCount val="2"/>
                <c:pt idx="0">
                  <c:v>0</c:v>
                </c:pt>
                <c:pt idx="1">
                  <c:v>3.5</c:v>
                </c:pt>
              </c:numCache>
            </c:numRef>
          </c:xVal>
          <c:yVal>
            <c:numRef>
              <c:f>vG_crest!$CB$63:$CB$64</c:f>
              <c:numCache>
                <c:formatCode>General</c:formatCode>
                <c:ptCount val="2"/>
                <c:pt idx="0">
                  <c:v>0</c:v>
                </c:pt>
                <c:pt idx="1">
                  <c:v>3.5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829760"/>
        <c:axId val="133831680"/>
      </c:scatterChart>
      <c:valAx>
        <c:axId val="133829760"/>
        <c:scaling>
          <c:orientation val="minMax"/>
          <c:max val="0.2"/>
          <c:min val="0"/>
        </c:scaling>
        <c:delete val="0"/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itchFamily="34" charset="0"/>
                    <a:ea typeface="+mn-ea"/>
                    <a:cs typeface="Arial" pitchFamily="34" charset="0"/>
                  </a:defRPr>
                </a:pPr>
                <a:r>
                  <a:rPr lang="nl-NL" sz="1200" b="0" i="0" baseline="0">
                    <a:effectLst/>
                  </a:rPr>
                  <a:t>h</a:t>
                </a:r>
                <a:r>
                  <a:rPr lang="nl-NL" sz="1200" b="0" i="0" baseline="-25000">
                    <a:effectLst/>
                  </a:rPr>
                  <a:t>2%</a:t>
                </a:r>
                <a:r>
                  <a:rPr lang="nl-NL" sz="1200" b="0" i="0" baseline="0">
                    <a:effectLst/>
                  </a:rPr>
                  <a:t> / H</a:t>
                </a:r>
                <a:r>
                  <a:rPr lang="nl-NL" sz="1200" b="0" i="0" baseline="-25000">
                    <a:effectLst/>
                  </a:rPr>
                  <a:t>m0 </a:t>
                </a:r>
                <a:r>
                  <a:rPr lang="nl-NL" sz="1200" b="0" i="0" baseline="0">
                    <a:effectLst/>
                  </a:rPr>
                  <a:t>at seaward-side edge</a:t>
                </a:r>
                <a:endParaRPr lang="nl-NL" sz="1200" baseline="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33831680"/>
        <c:crosses val="autoZero"/>
        <c:crossBetween val="midCat"/>
        <c:majorUnit val="5.000000000000001E-2"/>
      </c:valAx>
      <c:valAx>
        <c:axId val="133831680"/>
        <c:scaling>
          <c:orientation val="minMax"/>
          <c:max val="0.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nl-NL" sz="1200" b="0" i="0" baseline="0">
                    <a:effectLst/>
                  </a:rPr>
                  <a:t>h</a:t>
                </a:r>
                <a:r>
                  <a:rPr lang="nl-NL" sz="1200" b="0" i="0" baseline="-25000">
                    <a:effectLst/>
                  </a:rPr>
                  <a:t>2% </a:t>
                </a:r>
                <a:r>
                  <a:rPr lang="nl-NL" sz="1200" b="0" i="0" baseline="0">
                    <a:effectLst/>
                  </a:rPr>
                  <a:t>/ H</a:t>
                </a:r>
                <a:r>
                  <a:rPr lang="nl-NL" sz="1200" b="0" i="0" baseline="-25000">
                    <a:effectLst/>
                  </a:rPr>
                  <a:t>m0 </a:t>
                </a:r>
                <a:r>
                  <a:rPr lang="nl-NL" sz="1200" b="0" i="0" baseline="0">
                    <a:effectLst/>
                  </a:rPr>
                  <a:t>at landward-side edge</a:t>
                </a:r>
                <a:endParaRPr lang="nl-NL" sz="1200" baseline="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33829760"/>
        <c:crosses val="autoZero"/>
        <c:crossBetween val="midCat"/>
        <c:majorUnit val="5.000000000000001E-2"/>
      </c:valAx>
    </c:plotArea>
    <c:legend>
      <c:legendPos val="r"/>
      <c:legendEntry>
        <c:idx val="4"/>
        <c:delete val="1"/>
      </c:legendEntry>
      <c:overlay val="0"/>
    </c:legend>
    <c:plotVisOnly val="1"/>
    <c:dispBlanksAs val="gap"/>
    <c:showDLblsOverMax val="0"/>
  </c:chart>
  <c:txPr>
    <a:bodyPr/>
    <a:lstStyle/>
    <a:p>
      <a:pPr>
        <a:defRPr sz="1200" b="0">
          <a:latin typeface="Arial" pitchFamily="34" charset="0"/>
          <a:cs typeface="Arial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nl-NL" sz="1200"/>
              <a:t>Seaward-side</a:t>
            </a:r>
            <a:r>
              <a:rPr lang="nl-NL" sz="1200" baseline="0"/>
              <a:t> crest edge</a:t>
            </a:r>
            <a:endParaRPr lang="nl-NL" sz="12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6873962664779263"/>
          <c:y val="0.12108796212516587"/>
          <c:w val="0.71107469993217143"/>
          <c:h val="0.70361936631596456"/>
        </c:manualLayout>
      </c:layout>
      <c:scatterChart>
        <c:scatterStyle val="lineMarker"/>
        <c:varyColors val="0"/>
        <c:ser>
          <c:idx val="0"/>
          <c:order val="0"/>
          <c:tx>
            <c:v>A</c:v>
          </c:tx>
          <c:spPr>
            <a:ln w="28575">
              <a:noFill/>
            </a:ln>
          </c:spPr>
          <c:marker>
            <c:symbol val="diamond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vG_crest!$BC$6:$BC$23</c:f>
              <c:numCache>
                <c:formatCode>General</c:formatCode>
                <c:ptCount val="18"/>
                <c:pt idx="0">
                  <c:v>0.95835872103367525</c:v>
                </c:pt>
                <c:pt idx="1">
                  <c:v>0.66392964555807998</c:v>
                </c:pt>
                <c:pt idx="2">
                  <c:v>1.0990578642173288</c:v>
                </c:pt>
                <c:pt idx="3">
                  <c:v>0.86959689841637455</c:v>
                </c:pt>
                <c:pt idx="4">
                  <c:v>1.2299305309118733</c:v>
                </c:pt>
                <c:pt idx="5">
                  <c:v>1.0215679912631859</c:v>
                </c:pt>
                <c:pt idx="6">
                  <c:v>0.80363566382946316</c:v>
                </c:pt>
                <c:pt idx="7">
                  <c:v>1.1715464485935712</c:v>
                </c:pt>
                <c:pt idx="8">
                  <c:v>1.004319769290914</c:v>
                </c:pt>
                <c:pt idx="9">
                  <c:v>1.1529888539948958</c:v>
                </c:pt>
                <c:pt idx="10">
                  <c:v>1.1696003193272897</c:v>
                </c:pt>
                <c:pt idx="11">
                  <c:v>1.1050117526287624</c:v>
                </c:pt>
                <c:pt idx="12">
                  <c:v>1.0511553387899735</c:v>
                </c:pt>
                <c:pt idx="13">
                  <c:v>1.0585301758618331</c:v>
                </c:pt>
                <c:pt idx="14">
                  <c:v>0.95033710580549224</c:v>
                </c:pt>
                <c:pt idx="15">
                  <c:v>0.89356246006053242</c:v>
                </c:pt>
                <c:pt idx="16">
                  <c:v>0.73862369945344486</c:v>
                </c:pt>
                <c:pt idx="17">
                  <c:v>0.70968901281728813</c:v>
                </c:pt>
              </c:numCache>
            </c:numRef>
          </c:xVal>
          <c:yVal>
            <c:numRef>
              <c:f>vG_crest!$AY$6:$AY$23</c:f>
              <c:numCache>
                <c:formatCode>General</c:formatCode>
                <c:ptCount val="18"/>
                <c:pt idx="0">
                  <c:v>0.84977827519935634</c:v>
                </c:pt>
                <c:pt idx="2">
                  <c:v>1.187086480390795</c:v>
                </c:pt>
                <c:pt idx="3">
                  <c:v>0.56767023973780406</c:v>
                </c:pt>
                <c:pt idx="4">
                  <c:v>1.4529135806322204</c:v>
                </c:pt>
                <c:pt idx="5">
                  <c:v>0.9558425213686812</c:v>
                </c:pt>
                <c:pt idx="6">
                  <c:v>0.46410870355080341</c:v>
                </c:pt>
                <c:pt idx="7">
                  <c:v>1.3073939813676074</c:v>
                </c:pt>
                <c:pt idx="8">
                  <c:v>1.0239593700982756</c:v>
                </c:pt>
                <c:pt idx="9">
                  <c:v>1.3966652839910212</c:v>
                </c:pt>
                <c:pt idx="10">
                  <c:v>1.1628723565391326</c:v>
                </c:pt>
                <c:pt idx="11">
                  <c:v>1.2033795886423229</c:v>
                </c:pt>
                <c:pt idx="12">
                  <c:v>1.1047087819741277</c:v>
                </c:pt>
                <c:pt idx="13">
                  <c:v>1.0183373210268887</c:v>
                </c:pt>
                <c:pt idx="14">
                  <c:v>0.85574170467937627</c:v>
                </c:pt>
                <c:pt idx="15">
                  <c:v>0.91102819585898442</c:v>
                </c:pt>
                <c:pt idx="16">
                  <c:v>0.50777073778219761</c:v>
                </c:pt>
                <c:pt idx="17">
                  <c:v>0.66559790064627178</c:v>
                </c:pt>
              </c:numCache>
            </c:numRef>
          </c:yVal>
          <c:smooth val="0"/>
        </c:ser>
        <c:ser>
          <c:idx val="1"/>
          <c:order val="1"/>
          <c:tx>
            <c:v>B</c:v>
          </c:tx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vG_crest!$BC$6:$BC$23</c:f>
              <c:numCache>
                <c:formatCode>General</c:formatCode>
                <c:ptCount val="18"/>
                <c:pt idx="0">
                  <c:v>0.95835872103367525</c:v>
                </c:pt>
                <c:pt idx="1">
                  <c:v>0.66392964555807998</c:v>
                </c:pt>
                <c:pt idx="2">
                  <c:v>1.0990578642173288</c:v>
                </c:pt>
                <c:pt idx="3">
                  <c:v>0.86959689841637455</c:v>
                </c:pt>
                <c:pt idx="4">
                  <c:v>1.2299305309118733</c:v>
                </c:pt>
                <c:pt idx="5">
                  <c:v>1.0215679912631859</c:v>
                </c:pt>
                <c:pt idx="6">
                  <c:v>0.80363566382946316</c:v>
                </c:pt>
                <c:pt idx="7">
                  <c:v>1.1715464485935712</c:v>
                </c:pt>
                <c:pt idx="8">
                  <c:v>1.004319769290914</c:v>
                </c:pt>
                <c:pt idx="9">
                  <c:v>1.1529888539948958</c:v>
                </c:pt>
                <c:pt idx="10">
                  <c:v>1.1696003193272897</c:v>
                </c:pt>
                <c:pt idx="11">
                  <c:v>1.1050117526287624</c:v>
                </c:pt>
                <c:pt idx="12">
                  <c:v>1.0511553387899735</c:v>
                </c:pt>
                <c:pt idx="13">
                  <c:v>1.0585301758618331</c:v>
                </c:pt>
                <c:pt idx="14">
                  <c:v>0.95033710580549224</c:v>
                </c:pt>
                <c:pt idx="15">
                  <c:v>0.89356246006053242</c:v>
                </c:pt>
                <c:pt idx="16">
                  <c:v>0.73862369945344486</c:v>
                </c:pt>
                <c:pt idx="17">
                  <c:v>0.70968901281728813</c:v>
                </c:pt>
              </c:numCache>
            </c:numRef>
          </c:xVal>
          <c:yVal>
            <c:numRef>
              <c:f>vG_crest!$AY$28:$AY$45</c:f>
              <c:numCache>
                <c:formatCode>General</c:formatCode>
                <c:ptCount val="18"/>
                <c:pt idx="0">
                  <c:v>1.0601194324269199</c:v>
                </c:pt>
                <c:pt idx="2">
                  <c:v>1.2612793854152198</c:v>
                </c:pt>
                <c:pt idx="3">
                  <c:v>0.83879632438869545</c:v>
                </c:pt>
                <c:pt idx="4">
                  <c:v>1.4202638372472265</c:v>
                </c:pt>
                <c:pt idx="5">
                  <c:v>1.1654571093881287</c:v>
                </c:pt>
                <c:pt idx="6">
                  <c:v>0.72194687219013853</c:v>
                </c:pt>
                <c:pt idx="7">
                  <c:v>1.3656854327661632</c:v>
                </c:pt>
                <c:pt idx="8">
                  <c:v>1.1263553071081034</c:v>
                </c:pt>
                <c:pt idx="9">
                  <c:v>1.4303198691474315</c:v>
                </c:pt>
                <c:pt idx="10">
                  <c:v>1.2693325018560957</c:v>
                </c:pt>
                <c:pt idx="11">
                  <c:v>1.2697729452570719</c:v>
                </c:pt>
                <c:pt idx="12">
                  <c:v>1.2331632915060029</c:v>
                </c:pt>
                <c:pt idx="13">
                  <c:v>1.1423088209779881</c:v>
                </c:pt>
                <c:pt idx="14">
                  <c:v>0.92352322584209912</c:v>
                </c:pt>
                <c:pt idx="15">
                  <c:v>0.92821740710160683</c:v>
                </c:pt>
                <c:pt idx="16">
                  <c:v>0.66535475985253489</c:v>
                </c:pt>
                <c:pt idx="17">
                  <c:v>0.63861420197142282</c:v>
                </c:pt>
              </c:numCache>
            </c:numRef>
          </c:yVal>
          <c:smooth val="0"/>
        </c:ser>
        <c:ser>
          <c:idx val="2"/>
          <c:order val="2"/>
          <c:tx>
            <c:v>C</c:v>
          </c:tx>
          <c:spPr>
            <a:ln w="28575">
              <a:noFill/>
            </a:ln>
          </c:spPr>
          <c:marker>
            <c:symbol val="triang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vG_crest!$BC$6:$BC$23</c:f>
              <c:numCache>
                <c:formatCode>General</c:formatCode>
                <c:ptCount val="18"/>
                <c:pt idx="0">
                  <c:v>0.95835872103367525</c:v>
                </c:pt>
                <c:pt idx="1">
                  <c:v>0.66392964555807998</c:v>
                </c:pt>
                <c:pt idx="2">
                  <c:v>1.0990578642173288</c:v>
                </c:pt>
                <c:pt idx="3">
                  <c:v>0.86959689841637455</c:v>
                </c:pt>
                <c:pt idx="4">
                  <c:v>1.2299305309118733</c:v>
                </c:pt>
                <c:pt idx="5">
                  <c:v>1.0215679912631859</c:v>
                </c:pt>
                <c:pt idx="6">
                  <c:v>0.80363566382946316</c:v>
                </c:pt>
                <c:pt idx="7">
                  <c:v>1.1715464485935712</c:v>
                </c:pt>
                <c:pt idx="8">
                  <c:v>1.004319769290914</c:v>
                </c:pt>
                <c:pt idx="9">
                  <c:v>1.1529888539948958</c:v>
                </c:pt>
                <c:pt idx="10">
                  <c:v>1.1696003193272897</c:v>
                </c:pt>
                <c:pt idx="11">
                  <c:v>1.1050117526287624</c:v>
                </c:pt>
                <c:pt idx="12">
                  <c:v>1.0511553387899735</c:v>
                </c:pt>
                <c:pt idx="13">
                  <c:v>1.0585301758618331</c:v>
                </c:pt>
                <c:pt idx="14">
                  <c:v>0.95033710580549224</c:v>
                </c:pt>
                <c:pt idx="15">
                  <c:v>0.89356246006053242</c:v>
                </c:pt>
                <c:pt idx="16">
                  <c:v>0.73862369945344486</c:v>
                </c:pt>
                <c:pt idx="17">
                  <c:v>0.70968901281728813</c:v>
                </c:pt>
              </c:numCache>
            </c:numRef>
          </c:xVal>
          <c:yVal>
            <c:numRef>
              <c:f>vG_crest!$AY$50:$AY$67</c:f>
              <c:numCache>
                <c:formatCode>General</c:formatCode>
                <c:ptCount val="18"/>
                <c:pt idx="0">
                  <c:v>0.94232838437948441</c:v>
                </c:pt>
                <c:pt idx="2">
                  <c:v>1.2942540098705198</c:v>
                </c:pt>
                <c:pt idx="3">
                  <c:v>0.79643287366199367</c:v>
                </c:pt>
                <c:pt idx="4">
                  <c:v>1.4937257598634626</c:v>
                </c:pt>
                <c:pt idx="5">
                  <c:v>1.1906108599504626</c:v>
                </c:pt>
                <c:pt idx="6">
                  <c:v>0.83367674526718383</c:v>
                </c:pt>
                <c:pt idx="7">
                  <c:v>1.3240486817671948</c:v>
                </c:pt>
                <c:pt idx="8">
                  <c:v>1.0239593700982756</c:v>
                </c:pt>
                <c:pt idx="9">
                  <c:v>1.3882516377019187</c:v>
                </c:pt>
                <c:pt idx="10">
                  <c:v>1.3102787115933889</c:v>
                </c:pt>
                <c:pt idx="11">
                  <c:v>1.2365762669496974</c:v>
                </c:pt>
                <c:pt idx="12">
                  <c:v>1.2074723895996278</c:v>
                </c:pt>
                <c:pt idx="13">
                  <c:v>1.1245986066992597</c:v>
                </c:pt>
                <c:pt idx="14">
                  <c:v>0.94046860613277983</c:v>
                </c:pt>
                <c:pt idx="15">
                  <c:v>0.97978504082947371</c:v>
                </c:pt>
                <c:pt idx="16">
                  <c:v>0.59531741671016281</c:v>
                </c:pt>
                <c:pt idx="17">
                  <c:v>0.62062506952152363</c:v>
                </c:pt>
              </c:numCache>
            </c:numRef>
          </c:yVal>
          <c:smooth val="0"/>
        </c:ser>
        <c:ser>
          <c:idx val="3"/>
          <c:order val="3"/>
          <c:tx>
            <c:v>D</c:v>
          </c:tx>
          <c:spPr>
            <a:ln w="28575">
              <a:noFill/>
            </a:ln>
          </c:spPr>
          <c:marker>
            <c:symbol val="circ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vG_crest!$BC$6:$BC$23</c:f>
              <c:numCache>
                <c:formatCode>General</c:formatCode>
                <c:ptCount val="18"/>
                <c:pt idx="0">
                  <c:v>0.95835872103367525</c:v>
                </c:pt>
                <c:pt idx="1">
                  <c:v>0.66392964555807998</c:v>
                </c:pt>
                <c:pt idx="2">
                  <c:v>1.0990578642173288</c:v>
                </c:pt>
                <c:pt idx="3">
                  <c:v>0.86959689841637455</c:v>
                </c:pt>
                <c:pt idx="4">
                  <c:v>1.2299305309118733</c:v>
                </c:pt>
                <c:pt idx="5">
                  <c:v>1.0215679912631859</c:v>
                </c:pt>
                <c:pt idx="6">
                  <c:v>0.80363566382946316</c:v>
                </c:pt>
                <c:pt idx="7">
                  <c:v>1.1715464485935712</c:v>
                </c:pt>
                <c:pt idx="8">
                  <c:v>1.004319769290914</c:v>
                </c:pt>
                <c:pt idx="9">
                  <c:v>1.1529888539948958</c:v>
                </c:pt>
                <c:pt idx="10">
                  <c:v>1.1696003193272897</c:v>
                </c:pt>
                <c:pt idx="11">
                  <c:v>1.1050117526287624</c:v>
                </c:pt>
                <c:pt idx="12">
                  <c:v>1.0511553387899735</c:v>
                </c:pt>
                <c:pt idx="13">
                  <c:v>1.0585301758618331</c:v>
                </c:pt>
                <c:pt idx="14">
                  <c:v>0.95033710580549224</c:v>
                </c:pt>
                <c:pt idx="15">
                  <c:v>0.89356246006053242</c:v>
                </c:pt>
                <c:pt idx="16">
                  <c:v>0.73862369945344486</c:v>
                </c:pt>
                <c:pt idx="17">
                  <c:v>0.70968901281728813</c:v>
                </c:pt>
              </c:numCache>
            </c:numRef>
          </c:xVal>
          <c:yVal>
            <c:numRef>
              <c:f>vG_crest!$AY$72:$AY$89</c:f>
              <c:numCache>
                <c:formatCode>General</c:formatCode>
                <c:ptCount val="18"/>
                <c:pt idx="0">
                  <c:v>0.57212794765897268</c:v>
                </c:pt>
                <c:pt idx="2">
                  <c:v>1.1788428242769702</c:v>
                </c:pt>
                <c:pt idx="3">
                  <c:v>0.47447064813906015</c:v>
                </c:pt>
                <c:pt idx="4">
                  <c:v>1.2978272995535003</c:v>
                </c:pt>
                <c:pt idx="5">
                  <c:v>1.0145346060141265</c:v>
                </c:pt>
                <c:pt idx="6">
                  <c:v>0.48129791479342576</c:v>
                </c:pt>
                <c:pt idx="7">
                  <c:v>1.1991384287702895</c:v>
                </c:pt>
                <c:pt idx="8">
                  <c:v>0.81063450132780157</c:v>
                </c:pt>
                <c:pt idx="9">
                  <c:v>1.295701528521791</c:v>
                </c:pt>
                <c:pt idx="10">
                  <c:v>1.2120078082238848</c:v>
                </c:pt>
                <c:pt idx="11">
                  <c:v>1.0456953666822943</c:v>
                </c:pt>
                <c:pt idx="12">
                  <c:v>0.95912700450466903</c:v>
                </c:pt>
                <c:pt idx="13">
                  <c:v>0.88551071393642489</c:v>
                </c:pt>
                <c:pt idx="14">
                  <c:v>0.76254211308063224</c:v>
                </c:pt>
                <c:pt idx="15">
                  <c:v>0.58443318224915985</c:v>
                </c:pt>
              </c:numCache>
            </c:numRef>
          </c:yVal>
          <c:smooth val="0"/>
        </c:ser>
        <c:ser>
          <c:idx val="5"/>
          <c:order val="4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vG_crest!$CP$2:$CP$3</c:f>
              <c:numCache>
                <c:formatCode>General</c:formatCode>
                <c:ptCount val="2"/>
                <c:pt idx="0">
                  <c:v>0</c:v>
                </c:pt>
                <c:pt idx="1">
                  <c:v>2.5</c:v>
                </c:pt>
              </c:numCache>
            </c:numRef>
          </c:xVal>
          <c:yVal>
            <c:numRef>
              <c:f>vG_crest!$CQ$2:$CQ$3</c:f>
              <c:numCache>
                <c:formatCode>General</c:formatCode>
                <c:ptCount val="2"/>
                <c:pt idx="0">
                  <c:v>0</c:v>
                </c:pt>
                <c:pt idx="1">
                  <c:v>2.5</c:v>
                </c:pt>
              </c:numCache>
            </c:numRef>
          </c:yVal>
          <c:smooth val="0"/>
        </c:ser>
        <c:ser>
          <c:idx val="4"/>
          <c:order val="5"/>
          <c:tx>
            <c:v>Flowdike</c:v>
          </c:tx>
          <c:spPr>
            <a:ln w="28575">
              <a:noFill/>
            </a:ln>
          </c:spPr>
          <c:marker>
            <c:symbol val="dot"/>
            <c:size val="7"/>
            <c:spPr>
              <a:noFill/>
              <a:ln>
                <a:solidFill>
                  <a:srgbClr val="000000"/>
                </a:solidFill>
              </a:ln>
            </c:spPr>
          </c:marker>
          <c:xVal>
            <c:numRef>
              <c:f>FlowDike_1_3!$C$34:$C$48</c:f>
              <c:numCache>
                <c:formatCode>General</c:formatCode>
                <c:ptCount val="15"/>
              </c:numCache>
            </c:numRef>
          </c:xVal>
          <c:yVal>
            <c:numRef>
              <c:f>FlowDike_1_3!$D$34:$D$48</c:f>
              <c:numCache>
                <c:formatCode>General</c:formatCode>
                <c:ptCount val="15"/>
              </c:numCache>
            </c:numRef>
          </c:yVal>
          <c:smooth val="0"/>
        </c:ser>
        <c:ser>
          <c:idx val="6"/>
          <c:order val="6"/>
          <c:tx>
            <c:v>Schuttrumpf</c:v>
          </c:tx>
          <c:spPr>
            <a:ln w="28575">
              <a:noFill/>
            </a:ln>
          </c:spPr>
          <c:marker>
            <c:symbol val="dash"/>
            <c:size val="7"/>
            <c:spPr>
              <a:noFill/>
              <a:ln>
                <a:solidFill>
                  <a:srgbClr val="000000"/>
                </a:solidFill>
              </a:ln>
            </c:spPr>
          </c:marker>
          <c:xVal>
            <c:strRef>
              <c:f>FlowDike_1_3!$C$50:$C$54</c:f>
              <c:strCache>
                <c:ptCount val="5"/>
                <c:pt idx="0">
                  <c:v>mea.</c:v>
                </c:pt>
                <c:pt idx="1">
                  <c:v>gen.</c:v>
                </c:pt>
                <c:pt idx="2">
                  <c:v>com.</c:v>
                </c:pt>
                <c:pt idx="3">
                  <c:v>Flow dike 07</c:v>
                </c:pt>
                <c:pt idx="4">
                  <c:v>Flow dike 06</c:v>
                </c:pt>
              </c:strCache>
            </c:strRef>
          </c:xVal>
          <c:yVal>
            <c:numRef>
              <c:f>FlowDike_1_3!$D$50:$D$54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yVal>
          <c:smooth val="0"/>
        </c:ser>
        <c:ser>
          <c:idx val="7"/>
          <c:order val="7"/>
          <c:tx>
            <c:v>Trung</c:v>
          </c:tx>
          <c:spPr>
            <a:ln w="28575">
              <a:noFill/>
            </a:ln>
          </c:spPr>
          <c:marker>
            <c:symbol val="plus"/>
            <c:size val="5"/>
            <c:spPr>
              <a:noFill/>
              <a:ln>
                <a:solidFill>
                  <a:srgbClr val="000000"/>
                </a:solidFill>
              </a:ln>
            </c:spPr>
          </c:marker>
          <c:xVal>
            <c:numRef>
              <c:f>vG_crest!$BC$6:$BC$23</c:f>
              <c:numCache>
                <c:formatCode>General</c:formatCode>
                <c:ptCount val="18"/>
                <c:pt idx="0">
                  <c:v>0.95835872103367525</c:v>
                </c:pt>
                <c:pt idx="1">
                  <c:v>0.66392964555807998</c:v>
                </c:pt>
                <c:pt idx="2">
                  <c:v>1.0990578642173288</c:v>
                </c:pt>
                <c:pt idx="3">
                  <c:v>0.86959689841637455</c:v>
                </c:pt>
                <c:pt idx="4">
                  <c:v>1.2299305309118733</c:v>
                </c:pt>
                <c:pt idx="5">
                  <c:v>1.0215679912631859</c:v>
                </c:pt>
                <c:pt idx="6">
                  <c:v>0.80363566382946316</c:v>
                </c:pt>
                <c:pt idx="7">
                  <c:v>1.1715464485935712</c:v>
                </c:pt>
                <c:pt idx="8">
                  <c:v>1.004319769290914</c:v>
                </c:pt>
                <c:pt idx="9">
                  <c:v>1.1529888539948958</c:v>
                </c:pt>
                <c:pt idx="10">
                  <c:v>1.1696003193272897</c:v>
                </c:pt>
                <c:pt idx="11">
                  <c:v>1.1050117526287624</c:v>
                </c:pt>
                <c:pt idx="12">
                  <c:v>1.0511553387899735</c:v>
                </c:pt>
                <c:pt idx="13">
                  <c:v>1.0585301758618331</c:v>
                </c:pt>
                <c:pt idx="14">
                  <c:v>0.95033710580549224</c:v>
                </c:pt>
                <c:pt idx="15">
                  <c:v>0.89356246006053242</c:v>
                </c:pt>
                <c:pt idx="16">
                  <c:v>0.73862369945344486</c:v>
                </c:pt>
                <c:pt idx="17">
                  <c:v>0.70968901281728813</c:v>
                </c:pt>
              </c:numCache>
            </c:numRef>
          </c:xVal>
          <c:yVal>
            <c:numRef>
              <c:f>vG_crest!$BF$28:$BF$45</c:f>
              <c:numCache>
                <c:formatCode>General</c:formatCode>
                <c:ptCount val="18"/>
                <c:pt idx="0">
                  <c:v>0.67091122819357063</c:v>
                </c:pt>
                <c:pt idx="1">
                  <c:v>0.37515883063121913</c:v>
                </c:pt>
                <c:pt idx="2">
                  <c:v>0.91597109908640584</c:v>
                </c:pt>
                <c:pt idx="3">
                  <c:v>0.57958997015396874</c:v>
                </c:pt>
                <c:pt idx="4">
                  <c:v>1.2558610500691247</c:v>
                </c:pt>
                <c:pt idx="5">
                  <c:v>0.82237141663963209</c:v>
                </c:pt>
                <c:pt idx="6">
                  <c:v>0.51875283365541758</c:v>
                </c:pt>
                <c:pt idx="7">
                  <c:v>1.2341699737304106</c:v>
                </c:pt>
                <c:pt idx="8">
                  <c:v>0.85551904376573662</c:v>
                </c:pt>
                <c:pt idx="9">
                  <c:v>1.3915500427240459</c:v>
                </c:pt>
                <c:pt idx="10">
                  <c:v>1.1123078930409778</c:v>
                </c:pt>
                <c:pt idx="11">
                  <c:v>0.96072609867535042</c:v>
                </c:pt>
                <c:pt idx="12">
                  <c:v>0.84274043161937329</c:v>
                </c:pt>
                <c:pt idx="13">
                  <c:v>0.8387852238586937</c:v>
                </c:pt>
                <c:pt idx="14">
                  <c:v>0.70656318694974851</c:v>
                </c:pt>
                <c:pt idx="15">
                  <c:v>0.6162401465881916</c:v>
                </c:pt>
                <c:pt idx="16">
                  <c:v>0.44313539394503676</c:v>
                </c:pt>
                <c:pt idx="17">
                  <c:v>0.4145476002268248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895296"/>
        <c:axId val="133897600"/>
      </c:scatterChart>
      <c:valAx>
        <c:axId val="133895296"/>
        <c:scaling>
          <c:orientation val="minMax"/>
          <c:max val="2.5"/>
        </c:scaling>
        <c:delete val="0"/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itchFamily="34" charset="0"/>
                    <a:ea typeface="+mn-ea"/>
                    <a:cs typeface="Arial" pitchFamily="34" charset="0"/>
                  </a:defRPr>
                </a:pPr>
                <a:r>
                  <a:rPr lang="nl-NL" sz="1200" b="0" i="0" baseline="0">
                    <a:effectLst/>
                  </a:rPr>
                  <a:t>((R</a:t>
                </a:r>
                <a:r>
                  <a:rPr lang="nl-NL" sz="1200" b="0" i="0" baseline="-25000">
                    <a:effectLst/>
                  </a:rPr>
                  <a:t>u2%</a:t>
                </a:r>
                <a:r>
                  <a:rPr lang="nl-NL" sz="1200" b="0" i="0" baseline="0">
                    <a:effectLst/>
                  </a:rPr>
                  <a:t> - R</a:t>
                </a:r>
                <a:r>
                  <a:rPr lang="nl-NL" sz="1200" b="0" i="0" baseline="-25000">
                    <a:effectLst/>
                  </a:rPr>
                  <a:t>c</a:t>
                </a:r>
                <a:r>
                  <a:rPr lang="nl-NL" sz="1200" b="0" i="0" baseline="0">
                    <a:effectLst/>
                  </a:rPr>
                  <a:t>) / H</a:t>
                </a:r>
                <a:r>
                  <a:rPr lang="nl-NL" sz="1200" b="0" i="0" baseline="-25000">
                    <a:effectLst/>
                  </a:rPr>
                  <a:t>m0</a:t>
                </a:r>
                <a:r>
                  <a:rPr lang="nl-NL" sz="1200" b="0" i="0" baseline="0">
                    <a:effectLst/>
                  </a:rPr>
                  <a:t>)</a:t>
                </a:r>
                <a:r>
                  <a:rPr lang="nl-NL" sz="1200" b="0" i="0" baseline="30000">
                    <a:effectLst/>
                  </a:rPr>
                  <a:t>0.5</a:t>
                </a:r>
                <a:endParaRPr lang="nl-NL" sz="12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33897600"/>
        <c:crosses val="autoZero"/>
        <c:crossBetween val="midCat"/>
        <c:majorUnit val="0.5"/>
      </c:valAx>
      <c:valAx>
        <c:axId val="133897600"/>
        <c:scaling>
          <c:orientation val="minMax"/>
          <c:max val="2.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nl-NL" sz="1200" b="0" i="0" baseline="0">
                    <a:effectLst/>
                  </a:rPr>
                  <a:t>u</a:t>
                </a:r>
                <a:r>
                  <a:rPr lang="nl-NL" sz="1200" b="0" i="0" baseline="-25000">
                    <a:effectLst/>
                  </a:rPr>
                  <a:t>2% </a:t>
                </a:r>
                <a:r>
                  <a:rPr lang="nl-NL" sz="1200" b="0" i="0" baseline="0">
                    <a:effectLst/>
                  </a:rPr>
                  <a:t>/ (gH</a:t>
                </a:r>
                <a:r>
                  <a:rPr lang="nl-NL" sz="1200" b="0" i="0" baseline="-25000">
                    <a:effectLst/>
                  </a:rPr>
                  <a:t>m0</a:t>
                </a:r>
                <a:r>
                  <a:rPr lang="nl-NL" sz="1200" b="0" i="0" baseline="0">
                    <a:effectLst/>
                  </a:rPr>
                  <a:t>)</a:t>
                </a:r>
                <a:r>
                  <a:rPr lang="nl-NL" sz="1200" b="0" i="0" baseline="30000">
                    <a:effectLst/>
                  </a:rPr>
                  <a:t>0.5  </a:t>
                </a:r>
                <a:r>
                  <a:rPr lang="nl-NL" sz="1200" b="0" i="0" baseline="0">
                    <a:effectLst/>
                  </a:rPr>
                  <a:t>all tests</a:t>
                </a:r>
                <a:endParaRPr lang="nl-NL" sz="1200" baseline="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33895296"/>
        <c:crosses val="autoZero"/>
        <c:crossBetween val="midCat"/>
        <c:majorUnit val="0.5"/>
      </c:valAx>
    </c:plotArea>
    <c:legend>
      <c:legendPos val="r"/>
      <c:legendEntry>
        <c:idx val="4"/>
        <c:delete val="1"/>
      </c:legendEntry>
      <c:layout>
        <c:manualLayout>
          <c:xMode val="edge"/>
          <c:yMode val="edge"/>
          <c:x val="0.63514771889468868"/>
          <c:y val="0.34061325027952749"/>
          <c:w val="0.24799834852104161"/>
          <c:h val="0.47344316246908069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200" b="0">
          <a:latin typeface="Arial" pitchFamily="34" charset="0"/>
          <a:cs typeface="Arial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nl-NL" sz="1200"/>
              <a:t>Seaward-side</a:t>
            </a:r>
            <a:r>
              <a:rPr lang="nl-NL" sz="1200" baseline="0"/>
              <a:t> crest edge</a:t>
            </a:r>
            <a:endParaRPr lang="nl-NL" sz="12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6873962664779263"/>
          <c:y val="0.12108796212516587"/>
          <c:w val="0.71107469993217143"/>
          <c:h val="0.70361936631596456"/>
        </c:manualLayout>
      </c:layout>
      <c:scatterChart>
        <c:scatterStyle val="lineMarker"/>
        <c:varyColors val="0"/>
        <c:ser>
          <c:idx val="0"/>
          <c:order val="0"/>
          <c:tx>
            <c:v>Trung</c:v>
          </c:tx>
          <c:spPr>
            <a:ln w="28575">
              <a:noFill/>
            </a:ln>
          </c:spPr>
          <c:marker>
            <c:symbol val="diamond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vG_crest!$BC$6:$BC$23</c:f>
              <c:numCache>
                <c:formatCode>General</c:formatCode>
                <c:ptCount val="18"/>
                <c:pt idx="0">
                  <c:v>0.95835872103367525</c:v>
                </c:pt>
                <c:pt idx="1">
                  <c:v>0.66392964555807998</c:v>
                </c:pt>
                <c:pt idx="2">
                  <c:v>1.0990578642173288</c:v>
                </c:pt>
                <c:pt idx="3">
                  <c:v>0.86959689841637455</c:v>
                </c:pt>
                <c:pt idx="4">
                  <c:v>1.2299305309118733</c:v>
                </c:pt>
                <c:pt idx="5">
                  <c:v>1.0215679912631859</c:v>
                </c:pt>
                <c:pt idx="6">
                  <c:v>0.80363566382946316</c:v>
                </c:pt>
                <c:pt idx="7">
                  <c:v>1.1715464485935712</c:v>
                </c:pt>
                <c:pt idx="8">
                  <c:v>1.004319769290914</c:v>
                </c:pt>
                <c:pt idx="9">
                  <c:v>1.1529888539948958</c:v>
                </c:pt>
                <c:pt idx="10">
                  <c:v>1.1696003193272897</c:v>
                </c:pt>
                <c:pt idx="11">
                  <c:v>1.1050117526287624</c:v>
                </c:pt>
                <c:pt idx="12">
                  <c:v>1.0511553387899735</c:v>
                </c:pt>
                <c:pt idx="13">
                  <c:v>1.0585301758618331</c:v>
                </c:pt>
                <c:pt idx="14">
                  <c:v>0.95033710580549224</c:v>
                </c:pt>
                <c:pt idx="15">
                  <c:v>0.89356246006053242</c:v>
                </c:pt>
                <c:pt idx="16">
                  <c:v>0.73862369945344486</c:v>
                </c:pt>
                <c:pt idx="17">
                  <c:v>0.70968901281728813</c:v>
                </c:pt>
              </c:numCache>
            </c:numRef>
          </c:xVal>
          <c:yVal>
            <c:numRef>
              <c:f>vG_crest!$BF$28:$BF$45</c:f>
              <c:numCache>
                <c:formatCode>General</c:formatCode>
                <c:ptCount val="18"/>
                <c:pt idx="0">
                  <c:v>0.67091122819357063</c:v>
                </c:pt>
                <c:pt idx="1">
                  <c:v>0.37515883063121913</c:v>
                </c:pt>
                <c:pt idx="2">
                  <c:v>0.91597109908640584</c:v>
                </c:pt>
                <c:pt idx="3">
                  <c:v>0.57958997015396874</c:v>
                </c:pt>
                <c:pt idx="4">
                  <c:v>1.2558610500691247</c:v>
                </c:pt>
                <c:pt idx="5">
                  <c:v>0.82237141663963209</c:v>
                </c:pt>
                <c:pt idx="6">
                  <c:v>0.51875283365541758</c:v>
                </c:pt>
                <c:pt idx="7">
                  <c:v>1.2341699737304106</c:v>
                </c:pt>
                <c:pt idx="8">
                  <c:v>0.85551904376573662</c:v>
                </c:pt>
                <c:pt idx="9">
                  <c:v>1.3915500427240459</c:v>
                </c:pt>
                <c:pt idx="10">
                  <c:v>1.1123078930409778</c:v>
                </c:pt>
                <c:pt idx="11">
                  <c:v>0.96072609867535042</c:v>
                </c:pt>
                <c:pt idx="12">
                  <c:v>0.84274043161937329</c:v>
                </c:pt>
                <c:pt idx="13">
                  <c:v>0.8387852238586937</c:v>
                </c:pt>
                <c:pt idx="14">
                  <c:v>0.70656318694974851</c:v>
                </c:pt>
                <c:pt idx="15">
                  <c:v>0.6162401465881916</c:v>
                </c:pt>
                <c:pt idx="16">
                  <c:v>0.44313539394503676</c:v>
                </c:pt>
                <c:pt idx="17">
                  <c:v>0.4145476002268248</c:v>
                </c:pt>
              </c:numCache>
            </c:numRef>
          </c:yVal>
          <c:smooth val="0"/>
        </c:ser>
        <c:ser>
          <c:idx val="4"/>
          <c:order val="1"/>
          <c:tx>
            <c:v>Flowdike</c:v>
          </c:tx>
          <c:spPr>
            <a:ln w="28575">
              <a:noFill/>
            </a:ln>
          </c:spPr>
          <c:marker>
            <c:symbol val="dot"/>
            <c:size val="7"/>
            <c:spPr>
              <a:noFill/>
              <a:ln>
                <a:solidFill>
                  <a:srgbClr val="000000"/>
                </a:solidFill>
              </a:ln>
            </c:spPr>
          </c:marker>
          <c:xVal>
            <c:numRef>
              <c:f>FlowDike_1_3!$C$34:$C$48</c:f>
              <c:numCache>
                <c:formatCode>General</c:formatCode>
                <c:ptCount val="15"/>
              </c:numCache>
            </c:numRef>
          </c:xVal>
          <c:yVal>
            <c:numRef>
              <c:f>FlowDike_1_3!$D$34:$D$48</c:f>
              <c:numCache>
                <c:formatCode>General</c:formatCode>
                <c:ptCount val="15"/>
              </c:numCache>
            </c:numRef>
          </c:yVal>
          <c:smooth val="0"/>
        </c:ser>
        <c:ser>
          <c:idx val="6"/>
          <c:order val="2"/>
          <c:tx>
            <c:v>Schuttrumpf</c:v>
          </c:tx>
          <c:spPr>
            <a:ln w="28575">
              <a:noFill/>
            </a:ln>
          </c:spPr>
          <c:marker>
            <c:symbol val="dash"/>
            <c:size val="7"/>
            <c:spPr>
              <a:noFill/>
              <a:ln>
                <a:solidFill>
                  <a:srgbClr val="000000"/>
                </a:solidFill>
              </a:ln>
            </c:spPr>
          </c:marker>
          <c:xVal>
            <c:strRef>
              <c:f>FlowDike_1_3!$C$50:$C$54</c:f>
              <c:strCache>
                <c:ptCount val="5"/>
                <c:pt idx="0">
                  <c:v>mea.</c:v>
                </c:pt>
                <c:pt idx="1">
                  <c:v>gen.</c:v>
                </c:pt>
                <c:pt idx="2">
                  <c:v>com.</c:v>
                </c:pt>
                <c:pt idx="3">
                  <c:v>Flow dike 07</c:v>
                </c:pt>
                <c:pt idx="4">
                  <c:v>Flow dike 06</c:v>
                </c:pt>
              </c:strCache>
            </c:strRef>
          </c:xVal>
          <c:yVal>
            <c:numRef>
              <c:f>FlowDike_1_3!$D$50:$D$54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yVal>
          <c:smooth val="0"/>
        </c:ser>
        <c:ser>
          <c:idx val="1"/>
          <c:order val="3"/>
          <c:spPr>
            <a:ln w="19050">
              <a:solidFill>
                <a:srgbClr val="000000"/>
              </a:solidFill>
            </a:ln>
          </c:spPr>
          <c:marker>
            <c:symbol val="none"/>
          </c:marker>
          <c:xVal>
            <c:numRef>
              <c:f>vG_crest!$CY$2:$CY$3</c:f>
              <c:numCache>
                <c:formatCode>General</c:formatCode>
                <c:ptCount val="2"/>
                <c:pt idx="0">
                  <c:v>0</c:v>
                </c:pt>
                <c:pt idx="1">
                  <c:v>2.5</c:v>
                </c:pt>
              </c:numCache>
            </c:numRef>
          </c:xVal>
          <c:yVal>
            <c:numRef>
              <c:f>vG_crest!$CZ$2:$CZ$3</c:f>
              <c:numCache>
                <c:formatCode>General</c:formatCode>
                <c:ptCount val="2"/>
                <c:pt idx="0">
                  <c:v>0</c:v>
                </c:pt>
                <c:pt idx="1">
                  <c:v>2.5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933696"/>
        <c:axId val="133944064"/>
      </c:scatterChart>
      <c:valAx>
        <c:axId val="133933696"/>
        <c:scaling>
          <c:orientation val="minMax"/>
          <c:max val="2.5"/>
        </c:scaling>
        <c:delete val="0"/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itchFamily="34" charset="0"/>
                    <a:ea typeface="+mn-ea"/>
                    <a:cs typeface="Arial" pitchFamily="34" charset="0"/>
                  </a:defRPr>
                </a:pPr>
                <a:r>
                  <a:rPr lang="nl-NL" sz="1200" b="0" i="0" baseline="0">
                    <a:effectLst/>
                  </a:rPr>
                  <a:t>((R</a:t>
                </a:r>
                <a:r>
                  <a:rPr lang="nl-NL" sz="1200" b="0" i="0" baseline="-25000">
                    <a:effectLst/>
                  </a:rPr>
                  <a:t>u2%</a:t>
                </a:r>
                <a:r>
                  <a:rPr lang="nl-NL" sz="1200" b="0" i="0" baseline="0">
                    <a:effectLst/>
                  </a:rPr>
                  <a:t> - R</a:t>
                </a:r>
                <a:r>
                  <a:rPr lang="nl-NL" sz="1200" b="0" i="0" baseline="-25000">
                    <a:effectLst/>
                  </a:rPr>
                  <a:t>c</a:t>
                </a:r>
                <a:r>
                  <a:rPr lang="nl-NL" sz="1200" b="0" i="0" baseline="0">
                    <a:effectLst/>
                  </a:rPr>
                  <a:t>) / H</a:t>
                </a:r>
                <a:r>
                  <a:rPr lang="nl-NL" sz="1200" b="0" i="0" baseline="-25000">
                    <a:effectLst/>
                  </a:rPr>
                  <a:t>m0</a:t>
                </a:r>
                <a:r>
                  <a:rPr lang="nl-NL" sz="1200" b="0" i="0" baseline="0">
                    <a:effectLst/>
                  </a:rPr>
                  <a:t>)</a:t>
                </a:r>
                <a:r>
                  <a:rPr lang="nl-NL" sz="1200" b="0" i="0" baseline="30000">
                    <a:effectLst/>
                  </a:rPr>
                  <a:t>0.5</a:t>
                </a:r>
                <a:endParaRPr lang="nl-NL" sz="12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33944064"/>
        <c:crosses val="autoZero"/>
        <c:crossBetween val="midCat"/>
        <c:majorUnit val="0.5"/>
      </c:valAx>
      <c:valAx>
        <c:axId val="133944064"/>
        <c:scaling>
          <c:orientation val="minMax"/>
          <c:max val="2.5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nl-NL" sz="1200" b="0" i="0" baseline="0">
                    <a:effectLst/>
                  </a:rPr>
                  <a:t>u</a:t>
                </a:r>
                <a:r>
                  <a:rPr lang="nl-NL" sz="1200" b="0" i="0" baseline="-25000">
                    <a:effectLst/>
                  </a:rPr>
                  <a:t>2% </a:t>
                </a:r>
                <a:r>
                  <a:rPr lang="nl-NL" sz="1200" b="0" i="0" baseline="0">
                    <a:effectLst/>
                  </a:rPr>
                  <a:t>/ (gH</a:t>
                </a:r>
                <a:r>
                  <a:rPr lang="nl-NL" sz="1200" b="0" i="0" baseline="-25000">
                    <a:effectLst/>
                  </a:rPr>
                  <a:t>m0</a:t>
                </a:r>
                <a:r>
                  <a:rPr lang="nl-NL" sz="1200" b="0" i="0" baseline="0">
                    <a:effectLst/>
                  </a:rPr>
                  <a:t>)</a:t>
                </a:r>
                <a:r>
                  <a:rPr lang="nl-NL" sz="1200" b="0" i="0" baseline="30000">
                    <a:effectLst/>
                  </a:rPr>
                  <a:t>0.5  </a:t>
                </a:r>
                <a:endParaRPr lang="nl-NL" sz="1200" baseline="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33933696"/>
        <c:crosses val="autoZero"/>
        <c:crossBetween val="midCat"/>
        <c:majorUnit val="0.5"/>
      </c:valAx>
    </c:plotArea>
    <c:legend>
      <c:legendPos val="r"/>
      <c:legendEntry>
        <c:idx val="3"/>
        <c:delete val="1"/>
      </c:legendEntry>
      <c:layout>
        <c:manualLayout>
          <c:xMode val="edge"/>
          <c:yMode val="edge"/>
          <c:x val="0.58421138930667371"/>
          <c:y val="0.62482369807329796"/>
          <c:w val="0.28395340470081687"/>
          <c:h val="0.19528216734848255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200" b="0">
          <a:latin typeface="Arial" pitchFamily="34" charset="0"/>
          <a:cs typeface="Arial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nl-NL" sz="1200" baseline="0"/>
              <a:t>Flow velocity on dike crest</a:t>
            </a:r>
            <a:endParaRPr lang="nl-NL" sz="12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4580414341411208"/>
          <c:y val="0.14561214658294294"/>
          <c:w val="0.81706311953724231"/>
          <c:h val="0.64359281039237182"/>
        </c:manualLayout>
      </c:layout>
      <c:scatterChart>
        <c:scatterStyle val="lineMarker"/>
        <c:varyColors val="0"/>
        <c:ser>
          <c:idx val="1"/>
          <c:order val="0"/>
          <c:tx>
            <c:v>A, B Trung</c:v>
          </c:tx>
          <c:spPr>
            <a:ln w="28575">
              <a:noFill/>
            </a:ln>
          </c:spPr>
          <c:marker>
            <c:symbol val="diamond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vG_crest!$BO$6:$BO$23</c:f>
              <c:numCache>
                <c:formatCode>General</c:formatCode>
                <c:ptCount val="18"/>
                <c:pt idx="0">
                  <c:v>4.4324415148581431E-2</c:v>
                </c:pt>
                <c:pt idx="2">
                  <c:v>4.1353809329610129E-2</c:v>
                </c:pt>
                <c:pt idx="3">
                  <c:v>5.1968663953669648E-2</c:v>
                </c:pt>
                <c:pt idx="4">
                  <c:v>3.9979263999063798E-2</c:v>
                </c:pt>
                <c:pt idx="5">
                  <c:v>5.1968663953669648E-2</c:v>
                </c:pt>
                <c:pt idx="6">
                  <c:v>6.6299653112882537E-2</c:v>
                </c:pt>
                <c:pt idx="7">
                  <c:v>5.003810928882825E-2</c:v>
                </c:pt>
                <c:pt idx="8">
                  <c:v>6.4432151189276365E-2</c:v>
                </c:pt>
                <c:pt idx="9">
                  <c:v>6.4432151189276365E-2</c:v>
                </c:pt>
                <c:pt idx="10">
                  <c:v>4.4324415148581431E-2</c:v>
                </c:pt>
                <c:pt idx="11">
                  <c:v>4.9418448277227078E-2</c:v>
                </c:pt>
                <c:pt idx="12">
                  <c:v>5.4721500183433872E-2</c:v>
                </c:pt>
                <c:pt idx="13">
                  <c:v>5.5443888408673966E-2</c:v>
                </c:pt>
                <c:pt idx="14">
                  <c:v>5.6932248790844589E-2</c:v>
                </c:pt>
                <c:pt idx="15">
                  <c:v>6.2642456735977486E-2</c:v>
                </c:pt>
                <c:pt idx="16">
                  <c:v>7.2416507309288433E-2</c:v>
                </c:pt>
                <c:pt idx="17">
                  <c:v>7.5797372650532741E-2</c:v>
                </c:pt>
              </c:numCache>
            </c:numRef>
          </c:xVal>
          <c:yVal>
            <c:numRef>
              <c:f>vG_crest!$BP$6:$BP$23</c:f>
              <c:numCache>
                <c:formatCode>General</c:formatCode>
                <c:ptCount val="18"/>
                <c:pt idx="0">
                  <c:v>1.0305555555555557</c:v>
                </c:pt>
                <c:pt idx="2">
                  <c:v>1.0333333333333334</c:v>
                </c:pt>
                <c:pt idx="3">
                  <c:v>1.0295774647887326</c:v>
                </c:pt>
                <c:pt idx="4">
                  <c:v>1.0346405228758171</c:v>
                </c:pt>
                <c:pt idx="5">
                  <c:v>1.0310344827586209</c:v>
                </c:pt>
                <c:pt idx="6">
                  <c:v>1.027536231884058</c:v>
                </c:pt>
                <c:pt idx="7">
                  <c:v>1.0319727891156463</c:v>
                </c:pt>
                <c:pt idx="8">
                  <c:v>1.0285714285714287</c:v>
                </c:pt>
                <c:pt idx="9">
                  <c:v>1.0305555555555557</c:v>
                </c:pt>
                <c:pt idx="10">
                  <c:v>1.0342105263157895</c:v>
                </c:pt>
                <c:pt idx="11">
                  <c:v>1.0324324324324325</c:v>
                </c:pt>
                <c:pt idx="12">
                  <c:v>1.0280575539568346</c:v>
                </c:pt>
                <c:pt idx="13">
                  <c:v>1.0230769230769232</c:v>
                </c:pt>
                <c:pt idx="14">
                  <c:v>1.0295774647887326</c:v>
                </c:pt>
                <c:pt idx="15">
                  <c:v>1.027536231884058</c:v>
                </c:pt>
                <c:pt idx="16">
                  <c:v>1.024812030075188</c:v>
                </c:pt>
                <c:pt idx="17">
                  <c:v>1.0206349206349208</c:v>
                </c:pt>
              </c:numCache>
            </c:numRef>
          </c:yVal>
          <c:smooth val="0"/>
        </c:ser>
        <c:ser>
          <c:idx val="0"/>
          <c:order val="1"/>
          <c:tx>
            <c:v>C, D Trung</c:v>
          </c:tx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vG_crest!$BO$50:$BO$67</c:f>
              <c:numCache>
                <c:formatCode>General</c:formatCode>
                <c:ptCount val="18"/>
                <c:pt idx="0">
                  <c:v>0.24378428331719787</c:v>
                </c:pt>
                <c:pt idx="2">
                  <c:v>0.22744595131285569</c:v>
                </c:pt>
                <c:pt idx="3">
                  <c:v>0.2858276517451831</c:v>
                </c:pt>
                <c:pt idx="4">
                  <c:v>0.21988595199485092</c:v>
                </c:pt>
                <c:pt idx="5">
                  <c:v>0.2858276517451831</c:v>
                </c:pt>
                <c:pt idx="6">
                  <c:v>0.36464809212085397</c:v>
                </c:pt>
                <c:pt idx="7">
                  <c:v>0.27520960108855536</c:v>
                </c:pt>
                <c:pt idx="8">
                  <c:v>0.35437683154102001</c:v>
                </c:pt>
                <c:pt idx="9">
                  <c:v>0.35437683154102001</c:v>
                </c:pt>
                <c:pt idx="10">
                  <c:v>0.24378428331719787</c:v>
                </c:pt>
                <c:pt idx="11">
                  <c:v>0.27180146552474893</c:v>
                </c:pt>
                <c:pt idx="12">
                  <c:v>0.3009682510088863</c:v>
                </c:pt>
                <c:pt idx="13">
                  <c:v>0.30494138624770684</c:v>
                </c:pt>
                <c:pt idx="14">
                  <c:v>0.31312736834964527</c:v>
                </c:pt>
                <c:pt idx="15">
                  <c:v>0.34453351204787619</c:v>
                </c:pt>
                <c:pt idx="16">
                  <c:v>0.39829079020108638</c:v>
                </c:pt>
                <c:pt idx="17">
                  <c:v>0.41688554957793006</c:v>
                </c:pt>
              </c:numCache>
            </c:numRef>
          </c:xVal>
          <c:yVal>
            <c:numRef>
              <c:f>vG_crest!$BP$50:$BP$67</c:f>
              <c:numCache>
                <c:formatCode>General</c:formatCode>
                <c:ptCount val="18"/>
                <c:pt idx="0">
                  <c:v>0.71805555555555556</c:v>
                </c:pt>
                <c:pt idx="2">
                  <c:v>0.73333333333333339</c:v>
                </c:pt>
                <c:pt idx="4">
                  <c:v>0.7405228758169935</c:v>
                </c:pt>
                <c:pt idx="5">
                  <c:v>0.72068965517241379</c:v>
                </c:pt>
                <c:pt idx="7">
                  <c:v>0.72585034013605443</c:v>
                </c:pt>
                <c:pt idx="8">
                  <c:v>0.7071428571428573</c:v>
                </c:pt>
                <c:pt idx="9">
                  <c:v>0.71805555555555556</c:v>
                </c:pt>
                <c:pt idx="10">
                  <c:v>0.73815789473684212</c:v>
                </c:pt>
                <c:pt idx="11">
                  <c:v>0.72837837837837838</c:v>
                </c:pt>
                <c:pt idx="12">
                  <c:v>0.70431654676259003</c:v>
                </c:pt>
                <c:pt idx="13">
                  <c:v>0.67692307692307696</c:v>
                </c:pt>
                <c:pt idx="14">
                  <c:v>0.71267605633802811</c:v>
                </c:pt>
                <c:pt idx="15">
                  <c:v>0.70144927536231894</c:v>
                </c:pt>
              </c:numCache>
            </c:numRef>
          </c:yVal>
          <c:smooth val="0"/>
        </c:ser>
        <c:ser>
          <c:idx val="2"/>
          <c:order val="2"/>
          <c:tx>
            <c:v>Flowdike</c:v>
          </c:tx>
          <c:spPr>
            <a:ln w="28575">
              <a:noFill/>
            </a:ln>
          </c:spPr>
          <c:marker>
            <c:symbol val="triang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FlowDike_1_3!$G$34:$G$39</c:f>
              <c:numCache>
                <c:formatCode>General</c:formatCode>
                <c:ptCount val="6"/>
              </c:numCache>
            </c:numRef>
          </c:xVal>
          <c:yVal>
            <c:numRef>
              <c:f>FlowDike_1_3!$H$34:$H$39</c:f>
              <c:numCache>
                <c:formatCode>0.000</c:formatCode>
                <c:ptCount val="6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105728"/>
        <c:axId val="134108288"/>
      </c:scatterChart>
      <c:valAx>
        <c:axId val="134105728"/>
        <c:scaling>
          <c:orientation val="minMax"/>
          <c:max val="0.4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x</a:t>
                </a:r>
                <a:r>
                  <a:rPr lang="nl-NL" baseline="-25000"/>
                  <a:t>B </a:t>
                </a:r>
                <a:r>
                  <a:rPr lang="nl-NL"/>
                  <a:t>/ L</a:t>
                </a:r>
                <a:r>
                  <a:rPr lang="nl-NL" baseline="-25000"/>
                  <a:t>m-1,</a:t>
                </a:r>
                <a:r>
                  <a:rPr lang="nl-NL" baseline="0"/>
                  <a:t> </a:t>
                </a:r>
                <a:r>
                  <a:rPr lang="nl-NL" baseline="-25000"/>
                  <a:t>0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34108288"/>
        <c:crosses val="autoZero"/>
        <c:crossBetween val="midCat"/>
      </c:valAx>
      <c:valAx>
        <c:axId val="13410828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u</a:t>
                </a:r>
                <a:r>
                  <a:rPr lang="nl-NL" baseline="-25000"/>
                  <a:t>xB, 2%</a:t>
                </a:r>
                <a:r>
                  <a:rPr lang="nl-NL"/>
                  <a:t> / </a:t>
                </a:r>
                <a:r>
                  <a:rPr lang="nl-NL" sz="1200" b="0" i="0" u="none" strike="noStrike" baseline="0">
                    <a:effectLst/>
                  </a:rPr>
                  <a:t>u</a:t>
                </a:r>
                <a:r>
                  <a:rPr lang="nl-NL" sz="1200" b="0" i="0" u="none" strike="noStrike" baseline="-25000">
                    <a:effectLst/>
                  </a:rPr>
                  <a:t>A, 2%</a:t>
                </a:r>
                <a:endParaRPr lang="nl-NL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3410572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5209214382182799"/>
          <c:y val="0.49784245323764909"/>
          <c:w val="0.19871691766684507"/>
          <c:h val="0.24399880394697498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200" b="0">
          <a:latin typeface="Arial" pitchFamily="34" charset="0"/>
          <a:cs typeface="Arial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vG_crest!$E$6:$E$23</c:f>
              <c:numCache>
                <c:formatCode>0.000</c:formatCode>
                <c:ptCount val="18"/>
                <c:pt idx="0">
                  <c:v>0.14399999999999999</c:v>
                </c:pt>
                <c:pt idx="1">
                  <c:v>0.13900000000000001</c:v>
                </c:pt>
                <c:pt idx="2">
                  <c:v>0.15</c:v>
                </c:pt>
                <c:pt idx="3">
                  <c:v>0.14199999999999999</c:v>
                </c:pt>
                <c:pt idx="4">
                  <c:v>0.153</c:v>
                </c:pt>
                <c:pt idx="5">
                  <c:v>0.14499999999999999</c:v>
                </c:pt>
                <c:pt idx="6">
                  <c:v>0.13800000000000001</c:v>
                </c:pt>
                <c:pt idx="7">
                  <c:v>0.14699999999999999</c:v>
                </c:pt>
                <c:pt idx="8">
                  <c:v>0.14000000000000001</c:v>
                </c:pt>
                <c:pt idx="9">
                  <c:v>0.14399999999999999</c:v>
                </c:pt>
                <c:pt idx="10">
                  <c:v>0.152</c:v>
                </c:pt>
                <c:pt idx="11">
                  <c:v>0.14799999999999999</c:v>
                </c:pt>
                <c:pt idx="12">
                  <c:v>0.13900000000000001</c:v>
                </c:pt>
                <c:pt idx="13">
                  <c:v>0.13</c:v>
                </c:pt>
                <c:pt idx="14">
                  <c:v>0.14199999999999999</c:v>
                </c:pt>
                <c:pt idx="15">
                  <c:v>0.13800000000000001</c:v>
                </c:pt>
                <c:pt idx="16">
                  <c:v>0.13300000000000001</c:v>
                </c:pt>
                <c:pt idx="17">
                  <c:v>0.126</c:v>
                </c:pt>
              </c:numCache>
            </c:numRef>
          </c:xVal>
          <c:yVal>
            <c:numRef>
              <c:f>vG_crest!$AX$6:$AX$23</c:f>
              <c:numCache>
                <c:formatCode>General</c:formatCode>
                <c:ptCount val="18"/>
                <c:pt idx="0">
                  <c:v>5.7638888888888892E-2</c:v>
                </c:pt>
                <c:pt idx="1">
                  <c:v>1.9424460431654675E-2</c:v>
                </c:pt>
                <c:pt idx="2">
                  <c:v>0.1</c:v>
                </c:pt>
                <c:pt idx="3">
                  <c:v>4.2957746478873238E-2</c:v>
                </c:pt>
                <c:pt idx="4">
                  <c:v>0.17058823529411765</c:v>
                </c:pt>
                <c:pt idx="5">
                  <c:v>8.8965517241379313E-2</c:v>
                </c:pt>
                <c:pt idx="6">
                  <c:v>4.6376811594202899E-2</c:v>
                </c:pt>
                <c:pt idx="7">
                  <c:v>0.14013605442176871</c:v>
                </c:pt>
                <c:pt idx="8">
                  <c:v>9.0714285714285706E-2</c:v>
                </c:pt>
                <c:pt idx="9">
                  <c:v>0.17708333333333334</c:v>
                </c:pt>
                <c:pt idx="10">
                  <c:v>0.11447368421052631</c:v>
                </c:pt>
                <c:pt idx="11">
                  <c:v>9.8648648648648654E-2</c:v>
                </c:pt>
                <c:pt idx="12">
                  <c:v>9.2805755395683448E-2</c:v>
                </c:pt>
                <c:pt idx="13">
                  <c:v>8.6923076923076922E-2</c:v>
                </c:pt>
                <c:pt idx="14">
                  <c:v>6.1971830985915501E-2</c:v>
                </c:pt>
                <c:pt idx="15">
                  <c:v>6.1594202898550721E-2</c:v>
                </c:pt>
                <c:pt idx="16">
                  <c:v>3.0827067669172925E-2</c:v>
                </c:pt>
                <c:pt idx="17">
                  <c:v>3.1746031746031744E-2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213824"/>
        <c:axId val="93212032"/>
      </c:scatterChart>
      <c:valAx>
        <c:axId val="93213824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93212032"/>
        <c:crosses val="autoZero"/>
        <c:crossBetween val="midCat"/>
      </c:valAx>
      <c:valAx>
        <c:axId val="93212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32138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/>
            </a:pPr>
            <a:r>
              <a:rPr lang="en-US" sz="1400" b="0"/>
              <a:t>thickness - seaward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Schuttrumpf 1:6</c:v>
          </c:tx>
          <c:spPr>
            <a:ln w="28575">
              <a:noFill/>
            </a:ln>
          </c:spPr>
          <c:xVal>
            <c:numRef>
              <c:f>Schuttrumpf!$O$38:$O$42</c:f>
              <c:numCache>
                <c:formatCode>0.000</c:formatCode>
                <c:ptCount val="5"/>
                <c:pt idx="0">
                  <c:v>0.12826633127611028</c:v>
                </c:pt>
                <c:pt idx="1">
                  <c:v>3.5878388380307082E-2</c:v>
                </c:pt>
                <c:pt idx="2">
                  <c:v>2.8391146242115178E-2</c:v>
                </c:pt>
                <c:pt idx="3">
                  <c:v>1.7214238005561815E-2</c:v>
                </c:pt>
                <c:pt idx="4">
                  <c:v>3.7685516338968147E-2</c:v>
                </c:pt>
              </c:numCache>
            </c:numRef>
          </c:xVal>
          <c:yVal>
            <c:numRef>
              <c:f>Schuttrumpf!$O$30:$O$34</c:f>
              <c:numCache>
                <c:formatCode>0.000</c:formatCode>
                <c:ptCount val="5"/>
                <c:pt idx="0">
                  <c:v>0.246</c:v>
                </c:pt>
                <c:pt idx="1">
                  <c:v>0.20100000000000001</c:v>
                </c:pt>
                <c:pt idx="2">
                  <c:v>0.224</c:v>
                </c:pt>
                <c:pt idx="3">
                  <c:v>0.115</c:v>
                </c:pt>
                <c:pt idx="4">
                  <c:v>0.17100000000000001</c:v>
                </c:pt>
              </c:numCache>
            </c:numRef>
          </c:yVal>
          <c:smooth val="0"/>
        </c:ser>
        <c:ser>
          <c:idx val="1"/>
          <c:order val="1"/>
          <c:tx>
            <c:v>FD 1:3 Rc 0.2m</c:v>
          </c:tx>
          <c:spPr>
            <a:ln w="28575">
              <a:noFill/>
            </a:ln>
          </c:spPr>
          <c:xVal>
            <c:numRef>
              <c:f>FlowDike_1_3!$AY$42:$AY$47</c:f>
              <c:numCache>
                <c:formatCode>0.000</c:formatCode>
                <c:ptCount val="6"/>
                <c:pt idx="0">
                  <c:v>5.1801919732374337E-2</c:v>
                </c:pt>
                <c:pt idx="1">
                  <c:v>0</c:v>
                </c:pt>
                <c:pt idx="2">
                  <c:v>0.10250653762839056</c:v>
                </c:pt>
                <c:pt idx="3">
                  <c:v>3.7559797892688977E-2</c:v>
                </c:pt>
                <c:pt idx="4">
                  <c:v>0.20016282963946233</c:v>
                </c:pt>
                <c:pt idx="5">
                  <c:v>8.4676163990392017E-2</c:v>
                </c:pt>
              </c:numCache>
            </c:numRef>
          </c:xVal>
          <c:yVal>
            <c:numRef>
              <c:f>FlowDike_1_3!$AY$19:$AY$24</c:f>
              <c:numCache>
                <c:formatCode>0.000</c:formatCode>
                <c:ptCount val="6"/>
                <c:pt idx="0">
                  <c:v>0</c:v>
                </c:pt>
                <c:pt idx="1">
                  <c:v>5.5913664890286915E-2</c:v>
                </c:pt>
                <c:pt idx="2">
                  <c:v>0.19408746202995708</c:v>
                </c:pt>
                <c:pt idx="3">
                  <c:v>0.11307681786138905</c:v>
                </c:pt>
                <c:pt idx="4">
                  <c:v>0.32912064419582415</c:v>
                </c:pt>
                <c:pt idx="5">
                  <c:v>0.18812013033007507</c:v>
                </c:pt>
              </c:numCache>
            </c:numRef>
          </c:yVal>
          <c:smooth val="0"/>
        </c:ser>
        <c:ser>
          <c:idx val="2"/>
          <c:order val="2"/>
          <c:tx>
            <c:v>FD 1:3 Rc 0.1m</c:v>
          </c:tx>
          <c:spPr>
            <a:ln w="28575">
              <a:noFill/>
            </a:ln>
          </c:spPr>
          <c:xVal>
            <c:numRef>
              <c:f>FlowDike_1_3!$BA$42:$BA$47</c:f>
              <c:numCache>
                <c:formatCode>0.000</c:formatCode>
                <c:ptCount val="6"/>
                <c:pt idx="0">
                  <c:v>0.19933140241014946</c:v>
                </c:pt>
                <c:pt idx="1">
                  <c:v>7.9604580986365275E-2</c:v>
                </c:pt>
                <c:pt idx="2">
                  <c:v>0.35300113489248047</c:v>
                </c:pt>
                <c:pt idx="3">
                  <c:v>0.14872423340160165</c:v>
                </c:pt>
                <c:pt idx="4">
                  <c:v>0.55721374214210595</c:v>
                </c:pt>
                <c:pt idx="5">
                  <c:v>0.27908510601102671</c:v>
                </c:pt>
              </c:numCache>
            </c:numRef>
          </c:xVal>
          <c:yVal>
            <c:numRef>
              <c:f>FlowDike_1_3!$BA$19:$BA$24</c:f>
              <c:numCache>
                <c:formatCode>0.000</c:formatCode>
                <c:ptCount val="6"/>
                <c:pt idx="0">
                  <c:v>0.37088389682226114</c:v>
                </c:pt>
                <c:pt idx="1">
                  <c:v>0</c:v>
                </c:pt>
                <c:pt idx="2">
                  <c:v>0.38362888029356346</c:v>
                </c:pt>
                <c:pt idx="3">
                  <c:v>0.28941487288319118</c:v>
                </c:pt>
                <c:pt idx="4">
                  <c:v>0.45313855299601435</c:v>
                </c:pt>
                <c:pt idx="5">
                  <c:v>0.33296382890936599</c:v>
                </c:pt>
              </c:numCache>
            </c:numRef>
          </c:yVal>
          <c:smooth val="0"/>
        </c:ser>
        <c:ser>
          <c:idx val="3"/>
          <c:order val="3"/>
          <c:tx>
            <c:v>FD 1:6 Rc 0.1m</c:v>
          </c:tx>
          <c:spPr>
            <a:ln w="28575">
              <a:noFill/>
            </a:ln>
          </c:spPr>
          <c:xVal>
            <c:numRef>
              <c:f>FlowDike_1_6!$BJ$69:$BJ$74</c:f>
              <c:numCache>
                <c:formatCode>0.000</c:formatCode>
                <c:ptCount val="6"/>
                <c:pt idx="0">
                  <c:v>4.1332977466057894E-2</c:v>
                </c:pt>
                <c:pt idx="1">
                  <c:v>0</c:v>
                </c:pt>
                <c:pt idx="2">
                  <c:v>7.9376072281836851E-2</c:v>
                </c:pt>
                <c:pt idx="3">
                  <c:v>2.8594391952146862E-2</c:v>
                </c:pt>
                <c:pt idx="4">
                  <c:v>0.1619360662709938</c:v>
                </c:pt>
                <c:pt idx="5">
                  <c:v>6.5623884499006677E-2</c:v>
                </c:pt>
              </c:numCache>
            </c:numRef>
          </c:xVal>
          <c:yVal>
            <c:numRef>
              <c:f>FlowDike_1_6!$BJ$29:$BJ$34</c:f>
              <c:numCache>
                <c:formatCode>General</c:formatCode>
                <c:ptCount val="6"/>
                <c:pt idx="0" formatCode="0.000">
                  <c:v>0.1207648845686513</c:v>
                </c:pt>
                <c:pt idx="1">
                  <c:v>0</c:v>
                </c:pt>
                <c:pt idx="2" formatCode="0.000">
                  <c:v>0.20051243406179353</c:v>
                </c:pt>
                <c:pt idx="3" formatCode="0.000">
                  <c:v>0.11448779251304858</c:v>
                </c:pt>
                <c:pt idx="4" formatCode="0.000">
                  <c:v>0.26578368886576481</c:v>
                </c:pt>
                <c:pt idx="5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v>FD 1:6 Rc 0.05m</c:v>
          </c:tx>
          <c:spPr>
            <a:ln w="28575">
              <a:noFill/>
            </a:ln>
          </c:spPr>
          <c:xVal>
            <c:numRef>
              <c:f>FlowDike_1_6!$BJ$78:$BJ$83</c:f>
              <c:numCache>
                <c:formatCode>0.000</c:formatCode>
                <c:ptCount val="6"/>
                <c:pt idx="0">
                  <c:v>0.42484182982533902</c:v>
                </c:pt>
                <c:pt idx="1">
                  <c:v>0.68097904967822986</c:v>
                </c:pt>
                <c:pt idx="2">
                  <c:v>0.45755846279723611</c:v>
                </c:pt>
                <c:pt idx="3">
                  <c:v>0.29947735160568739</c:v>
                </c:pt>
                <c:pt idx="4">
                  <c:v>0.54840930767455065</c:v>
                </c:pt>
                <c:pt idx="5">
                  <c:v>0.32363520097532844</c:v>
                </c:pt>
              </c:numCache>
            </c:numRef>
          </c:xVal>
          <c:yVal>
            <c:numRef>
              <c:f>FlowDike_1_6!$BJ$38:$BJ$43</c:f>
              <c:numCache>
                <c:formatCode>0.000</c:formatCode>
                <c:ptCount val="6"/>
                <c:pt idx="0">
                  <c:v>0.34936780903703873</c:v>
                </c:pt>
                <c:pt idx="1">
                  <c:v>0.22118991537991797</c:v>
                </c:pt>
                <c:pt idx="2">
                  <c:v>0.2834814269350352</c:v>
                </c:pt>
                <c:pt idx="3">
                  <c:v>0.23467699316628704</c:v>
                </c:pt>
                <c:pt idx="4">
                  <c:v>0.32473751436965131</c:v>
                </c:pt>
                <c:pt idx="5">
                  <c:v>0.25798393402999931</c:v>
                </c:pt>
              </c:numCache>
            </c:numRef>
          </c:yVal>
          <c:smooth val="0"/>
        </c:ser>
        <c:ser>
          <c:idx val="5"/>
          <c:order val="5"/>
          <c:spPr>
            <a:ln w="63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Schuttrumpf!$E$52:$E$53</c:f>
              <c:numCache>
                <c:formatCode>General</c:formatCode>
                <c:ptCount val="2"/>
                <c:pt idx="0">
                  <c:v>0</c:v>
                </c:pt>
                <c:pt idx="1">
                  <c:v>3</c:v>
                </c:pt>
              </c:numCache>
            </c:numRef>
          </c:xVal>
          <c:yVal>
            <c:numRef>
              <c:f>Schuttrumpf!$F$52:$F$53</c:f>
              <c:numCache>
                <c:formatCode>General</c:formatCode>
                <c:ptCount val="2"/>
                <c:pt idx="0">
                  <c:v>0</c:v>
                </c:pt>
                <c:pt idx="1">
                  <c:v>3</c:v>
                </c:pt>
              </c:numCache>
            </c:numRef>
          </c:yVal>
          <c:smooth val="0"/>
        </c:ser>
        <c:ser>
          <c:idx val="6"/>
          <c:order val="6"/>
          <c:spPr>
            <a:ln w="635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Schuttrumpf!$E$56:$E$57</c:f>
              <c:numCache>
                <c:formatCode>General</c:formatCode>
                <c:ptCount val="2"/>
                <c:pt idx="0">
                  <c:v>0.18</c:v>
                </c:pt>
                <c:pt idx="1">
                  <c:v>0.18</c:v>
                </c:pt>
              </c:numCache>
            </c:numRef>
          </c:xVal>
          <c:yVal>
            <c:numRef>
              <c:f>Schuttrumpf!$F$56:$F$57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0"/>
        </c:ser>
        <c:ser>
          <c:idx val="7"/>
          <c:order val="7"/>
          <c:spPr>
            <a:ln w="3175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Schuttrumpf!$D$64:$D$70</c:f>
              <c:numCache>
                <c:formatCode>General</c:formatCode>
                <c:ptCount val="7"/>
                <c:pt idx="0">
                  <c:v>0</c:v>
                </c:pt>
                <c:pt idx="1">
                  <c:v>0.1</c:v>
                </c:pt>
                <c:pt idx="2">
                  <c:v>0.30000000000000004</c:v>
                </c:pt>
                <c:pt idx="3">
                  <c:v>0.5</c:v>
                </c:pt>
                <c:pt idx="4">
                  <c:v>0.7</c:v>
                </c:pt>
                <c:pt idx="5">
                  <c:v>0.89999999999999991</c:v>
                </c:pt>
                <c:pt idx="6">
                  <c:v>1.0999999999999999</c:v>
                </c:pt>
              </c:numCache>
            </c:numRef>
          </c:xVal>
          <c:yVal>
            <c:numRef>
              <c:f>Schuttrumpf!$E$64:$E$70</c:f>
              <c:numCache>
                <c:formatCode>General</c:formatCode>
                <c:ptCount val="7"/>
                <c:pt idx="0">
                  <c:v>0</c:v>
                </c:pt>
                <c:pt idx="1">
                  <c:v>0.11148000000000001</c:v>
                </c:pt>
                <c:pt idx="2">
                  <c:v>0.33444000000000007</c:v>
                </c:pt>
                <c:pt idx="3">
                  <c:v>0.55740000000000001</c:v>
                </c:pt>
                <c:pt idx="4">
                  <c:v>0.78035999999999994</c:v>
                </c:pt>
                <c:pt idx="5">
                  <c:v>1.00332</c:v>
                </c:pt>
                <c:pt idx="6">
                  <c:v>1.2262799999999998</c:v>
                </c:pt>
              </c:numCache>
            </c:numRef>
          </c:yVal>
          <c:smooth val="0"/>
        </c:ser>
        <c:ser>
          <c:idx val="8"/>
          <c:order val="8"/>
          <c:spPr>
            <a:ln w="3175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Schuttrumpf!$D$64:$D$70</c:f>
              <c:numCache>
                <c:formatCode>General</c:formatCode>
                <c:ptCount val="7"/>
                <c:pt idx="0">
                  <c:v>0</c:v>
                </c:pt>
                <c:pt idx="1">
                  <c:v>0.1</c:v>
                </c:pt>
                <c:pt idx="2">
                  <c:v>0.30000000000000004</c:v>
                </c:pt>
                <c:pt idx="3">
                  <c:v>0.5</c:v>
                </c:pt>
                <c:pt idx="4">
                  <c:v>0.7</c:v>
                </c:pt>
                <c:pt idx="5">
                  <c:v>0.89999999999999991</c:v>
                </c:pt>
                <c:pt idx="6">
                  <c:v>1.0999999999999999</c:v>
                </c:pt>
              </c:numCache>
            </c:numRef>
          </c:xVal>
          <c:yVal>
            <c:numRef>
              <c:f>Schuttrumpf!$F$64:$F$70</c:f>
              <c:numCache>
                <c:formatCode>General</c:formatCode>
                <c:ptCount val="7"/>
                <c:pt idx="0">
                  <c:v>0</c:v>
                </c:pt>
                <c:pt idx="1">
                  <c:v>8.8520000000000001E-2</c:v>
                </c:pt>
                <c:pt idx="2">
                  <c:v>0.26556000000000002</c:v>
                </c:pt>
                <c:pt idx="3">
                  <c:v>0.44259999999999999</c:v>
                </c:pt>
                <c:pt idx="4">
                  <c:v>0.61963999999999997</c:v>
                </c:pt>
                <c:pt idx="5">
                  <c:v>0.79667999999999994</c:v>
                </c:pt>
                <c:pt idx="6">
                  <c:v>0.97371999999999992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267648"/>
        <c:axId val="134269568"/>
      </c:scatterChart>
      <c:valAx>
        <c:axId val="134267648"/>
        <c:scaling>
          <c:orientation val="minMax"/>
          <c:max val="1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nl-NL" b="0"/>
                  <a:t>h</a:t>
                </a:r>
                <a:r>
                  <a:rPr lang="nl-NL" b="0" baseline="-25000"/>
                  <a:t>A, 2%</a:t>
                </a:r>
                <a:r>
                  <a:rPr lang="nl-NL" b="0"/>
                  <a:t>/H</a:t>
                </a:r>
                <a:r>
                  <a:rPr lang="nl-NL" b="0" baseline="-25000"/>
                  <a:t>m0</a:t>
                </a:r>
                <a:r>
                  <a:rPr lang="nl-NL" b="0"/>
                  <a:t> com.</a:t>
                </a:r>
              </a:p>
            </c:rich>
          </c:tx>
          <c:overlay val="0"/>
        </c:title>
        <c:numFmt formatCode="0.000" sourceLinked="1"/>
        <c:majorTickMark val="none"/>
        <c:minorTickMark val="none"/>
        <c:tickLblPos val="nextTo"/>
        <c:crossAx val="134269568"/>
        <c:crosses val="autoZero"/>
        <c:crossBetween val="midCat"/>
      </c:valAx>
      <c:valAx>
        <c:axId val="134269568"/>
        <c:scaling>
          <c:orientation val="minMax"/>
          <c:max val="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b="0"/>
                </a:pPr>
                <a:r>
                  <a:rPr lang="nl-NL" b="0"/>
                  <a:t>h</a:t>
                </a:r>
                <a:r>
                  <a:rPr lang="nl-NL" b="0" baseline="-25000"/>
                  <a:t>A, 2%</a:t>
                </a:r>
                <a:r>
                  <a:rPr lang="nl-NL" b="0"/>
                  <a:t>/H</a:t>
                </a:r>
                <a:r>
                  <a:rPr lang="nl-NL" b="0" baseline="-25000"/>
                  <a:t>m0</a:t>
                </a:r>
                <a:r>
                  <a:rPr lang="nl-NL" b="0" baseline="0"/>
                  <a:t> mea.</a:t>
                </a:r>
                <a:endParaRPr lang="nl-NL" b="0"/>
              </a:p>
            </c:rich>
          </c:tx>
          <c:overlay val="0"/>
        </c:title>
        <c:numFmt formatCode="0.0" sourceLinked="0"/>
        <c:majorTickMark val="none"/>
        <c:minorTickMark val="none"/>
        <c:tickLblPos val="nextTo"/>
        <c:crossAx val="134267648"/>
        <c:crosses val="autoZero"/>
        <c:crossBetween val="midCat"/>
        <c:majorUnit val="0.2"/>
      </c:valAx>
    </c:plotArea>
    <c:legend>
      <c:legendPos val="r"/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overlay val="0"/>
      <c:spPr>
        <a:solidFill>
          <a:schemeClr val="bg1"/>
        </a:solidFill>
      </c:spPr>
    </c:legend>
    <c:plotVisOnly val="1"/>
    <c:dispBlanksAs val="gap"/>
    <c:showDLblsOverMax val="0"/>
  </c:chart>
  <c:txPr>
    <a:bodyPr/>
    <a:lstStyle/>
    <a:p>
      <a:pPr>
        <a:defRPr sz="1200">
          <a:latin typeface="Arial" panose="020B0604020202020204" pitchFamily="34" charset="0"/>
          <a:cs typeface="Arial" panose="020B06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nl-NL" sz="1200" baseline="0"/>
              <a:t>Flow velocity on landward-side slope</a:t>
            </a:r>
            <a:endParaRPr lang="nl-NL" sz="1200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B</c:v>
          </c:tx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vG_landward!$AW$27:$AW$44</c:f>
              <c:numCache>
                <c:formatCode>General</c:formatCode>
                <c:ptCount val="18"/>
                <c:pt idx="0">
                  <c:v>1.0096300084799066</c:v>
                </c:pt>
                <c:pt idx="2">
                  <c:v>1.3203306129757626</c:v>
                </c:pt>
                <c:pt idx="3">
                  <c:v>0.87521890289461879</c:v>
                </c:pt>
                <c:pt idx="4">
                  <c:v>1.748237647084089</c:v>
                </c:pt>
                <c:pt idx="5">
                  <c:v>1.1848393699183337</c:v>
                </c:pt>
                <c:pt idx="6">
                  <c:v>0.78262877507157047</c:v>
                </c:pt>
                <c:pt idx="7">
                  <c:v>1.7057519608284339</c:v>
                </c:pt>
                <c:pt idx="8">
                  <c:v>1.2168248364881087</c:v>
                </c:pt>
                <c:pt idx="9">
                  <c:v>1.8817965130013794</c:v>
                </c:pt>
                <c:pt idx="10">
                  <c:v>1.5607719848735435</c:v>
                </c:pt>
                <c:pt idx="11">
                  <c:v>1.3643254221040313</c:v>
                </c:pt>
                <c:pt idx="12">
                  <c:v>1.2170420276209246</c:v>
                </c:pt>
                <c:pt idx="13">
                  <c:v>1.2229359295962932</c:v>
                </c:pt>
                <c:pt idx="14">
                  <c:v>1.0323984155179085</c:v>
                </c:pt>
                <c:pt idx="15">
                  <c:v>0.91331168773905724</c:v>
                </c:pt>
              </c:numCache>
            </c:numRef>
          </c:xVal>
          <c:yVal>
            <c:numRef>
              <c:f>vG_landward!$AJ$27:$AJ$44</c:f>
              <c:numCache>
                <c:formatCode>General</c:formatCode>
                <c:ptCount val="18"/>
                <c:pt idx="0">
                  <c:v>1.3966652839910212</c:v>
                </c:pt>
                <c:pt idx="2">
                  <c:v>1.7558987522447176</c:v>
                </c:pt>
                <c:pt idx="4">
                  <c:v>1.754923706943412</c:v>
                </c:pt>
                <c:pt idx="5">
                  <c:v>1.5511479513439126</c:v>
                </c:pt>
                <c:pt idx="7">
                  <c:v>1.7404161917568786</c:v>
                </c:pt>
                <c:pt idx="8">
                  <c:v>1.5871370236523274</c:v>
                </c:pt>
                <c:pt idx="9">
                  <c:v>1.7752793670006355</c:v>
                </c:pt>
                <c:pt idx="10">
                  <c:v>1.6951730831239469</c:v>
                </c:pt>
                <c:pt idx="11">
                  <c:v>1.6266372370613469</c:v>
                </c:pt>
                <c:pt idx="12">
                  <c:v>1.6613449899455872</c:v>
                </c:pt>
                <c:pt idx="13">
                  <c:v>1.6470499279217505</c:v>
                </c:pt>
                <c:pt idx="14">
                  <c:v>1.4488300148532012</c:v>
                </c:pt>
                <c:pt idx="15">
                  <c:v>1.3579476881671655</c:v>
                </c:pt>
              </c:numCache>
            </c:numRef>
          </c:yVal>
          <c:smooth val="0"/>
        </c:ser>
        <c:ser>
          <c:idx val="3"/>
          <c:order val="1"/>
          <c:tx>
            <c:v>D</c:v>
          </c:tx>
          <c:spPr>
            <a:ln w="28575">
              <a:noFill/>
            </a:ln>
          </c:spPr>
          <c:marker>
            <c:symbol val="circ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vG_landward!$AW$71:$AW$88</c:f>
              <c:numCache>
                <c:formatCode>General</c:formatCode>
                <c:ptCount val="18"/>
                <c:pt idx="0">
                  <c:v>0.70347535631281899</c:v>
                </c:pt>
                <c:pt idx="2">
                  <c:v>0.93700882211183145</c:v>
                </c:pt>
                <c:pt idx="4">
                  <c:v>1.2512654795617641</c:v>
                </c:pt>
                <c:pt idx="5">
                  <c:v>0.82819875689943712</c:v>
                </c:pt>
                <c:pt idx="7">
                  <c:v>1.1997609375108367</c:v>
                </c:pt>
                <c:pt idx="8">
                  <c:v>0.83656707508557471</c:v>
                </c:pt>
                <c:pt idx="9">
                  <c:v>1.3111708857435485</c:v>
                </c:pt>
                <c:pt idx="10">
                  <c:v>1.1139861113410408</c:v>
                </c:pt>
                <c:pt idx="11">
                  <c:v>0.96252801376187525</c:v>
                </c:pt>
                <c:pt idx="12">
                  <c:v>0.8337887648991501</c:v>
                </c:pt>
                <c:pt idx="13">
                  <c:v>0.80916061507123138</c:v>
                </c:pt>
                <c:pt idx="14">
                  <c:v>0.71462872537901712</c:v>
                </c:pt>
                <c:pt idx="15">
                  <c:v>0.6234737050292013</c:v>
                </c:pt>
              </c:numCache>
            </c:numRef>
          </c:xVal>
          <c:yVal>
            <c:numRef>
              <c:f>vG_landward!$AJ$71:$AJ$88</c:f>
              <c:numCache>
                <c:formatCode>General</c:formatCode>
                <c:ptCount val="18"/>
                <c:pt idx="0">
                  <c:v>1.0180512009814071</c:v>
                </c:pt>
                <c:pt idx="2">
                  <c:v>1.5827819738543933</c:v>
                </c:pt>
                <c:pt idx="4">
                  <c:v>1.6161622975571888</c:v>
                </c:pt>
                <c:pt idx="5">
                  <c:v>1.4589175326153556</c:v>
                </c:pt>
                <c:pt idx="7">
                  <c:v>1.5322324367620368</c:v>
                </c:pt>
                <c:pt idx="8">
                  <c:v>1.2884822073736637</c:v>
                </c:pt>
                <c:pt idx="9">
                  <c:v>1.5901791486403796</c:v>
                </c:pt>
                <c:pt idx="10">
                  <c:v>1.5231990022273147</c:v>
                </c:pt>
                <c:pt idx="11">
                  <c:v>1.4855513542550056</c:v>
                </c:pt>
                <c:pt idx="12">
                  <c:v>1.4729450426321702</c:v>
                </c:pt>
                <c:pt idx="13">
                  <c:v>1.41681714229828</c:v>
                </c:pt>
                <c:pt idx="14">
                  <c:v>1.1607585499116293</c:v>
                </c:pt>
                <c:pt idx="15">
                  <c:v>1.1688663644983197</c:v>
                </c:pt>
              </c:numCache>
            </c:numRef>
          </c:yVal>
          <c:smooth val="0"/>
        </c:ser>
        <c:ser>
          <c:idx val="4"/>
          <c:order val="2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vG_landward!$BH$49:$BH$50</c:f>
              <c:numCache>
                <c:formatCode>General</c:formatCode>
                <c:ptCount val="2"/>
                <c:pt idx="0">
                  <c:v>0</c:v>
                </c:pt>
                <c:pt idx="1">
                  <c:v>4</c:v>
                </c:pt>
              </c:numCache>
            </c:numRef>
          </c:xVal>
          <c:yVal>
            <c:numRef>
              <c:f>vG_landward!$BI$49:$BI$50</c:f>
              <c:numCache>
                <c:formatCode>General</c:formatCode>
                <c:ptCount val="2"/>
                <c:pt idx="0">
                  <c:v>0</c:v>
                </c:pt>
                <c:pt idx="1">
                  <c:v>4</c:v>
                </c:pt>
              </c:numCache>
            </c:numRef>
          </c:yVal>
          <c:smooth val="0"/>
        </c:ser>
        <c:ser>
          <c:idx val="0"/>
          <c:order val="3"/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vG_landward!$AX$27:$AX$44</c:f>
              <c:numCache>
                <c:formatCode>General</c:formatCode>
                <c:ptCount val="18"/>
                <c:pt idx="0">
                  <c:v>1.2336603358053295</c:v>
                </c:pt>
                <c:pt idx="2">
                  <c:v>1.603258601470569</c:v>
                </c:pt>
                <c:pt idx="3">
                  <c:v>1.0717500936643685</c:v>
                </c:pt>
                <c:pt idx="4">
                  <c:v>2.1165461401495569</c:v>
                </c:pt>
                <c:pt idx="5">
                  <c:v>1.446200995635613</c:v>
                </c:pt>
                <c:pt idx="6">
                  <c:v>0.9626814073733122</c:v>
                </c:pt>
                <c:pt idx="7">
                  <c:v>2.0776455569392844</c:v>
                </c:pt>
                <c:pt idx="8">
                  <c:v>1.4933759356899514</c:v>
                </c:pt>
                <c:pt idx="9">
                  <c:v>2.2993549108567146</c:v>
                </c:pt>
                <c:pt idx="10">
                  <c:v>1.8914440155670911</c:v>
                </c:pt>
                <c:pt idx="11">
                  <c:v>1.6600607014618416</c:v>
                </c:pt>
                <c:pt idx="12">
                  <c:v>1.4953290766196117</c:v>
                </c:pt>
                <c:pt idx="13">
                  <c:v>1.5188075254663642</c:v>
                </c:pt>
                <c:pt idx="14">
                  <c:v>1.2642244070264208</c:v>
                </c:pt>
                <c:pt idx="15">
                  <c:v>1.1234294073109263</c:v>
                </c:pt>
              </c:numCache>
            </c:numRef>
          </c:xVal>
          <c:yVal>
            <c:numRef>
              <c:f>vG_landward!$AL$27:$AL$44</c:f>
              <c:numCache>
                <c:formatCode>General</c:formatCode>
                <c:ptCount val="18"/>
                <c:pt idx="0">
                  <c:v>1.3041151748108935</c:v>
                </c:pt>
                <c:pt idx="2">
                  <c:v>1.9455028428626919</c:v>
                </c:pt>
                <c:pt idx="3">
                  <c:v>1.0082501272955027</c:v>
                </c:pt>
                <c:pt idx="4">
                  <c:v>2.1059084483320945</c:v>
                </c:pt>
                <c:pt idx="5">
                  <c:v>1.6266092030309136</c:v>
                </c:pt>
                <c:pt idx="7">
                  <c:v>1.9819093475508953</c:v>
                </c:pt>
                <c:pt idx="8">
                  <c:v>1.5700710341506894</c:v>
                </c:pt>
                <c:pt idx="9">
                  <c:v>2.0529296945410191</c:v>
                </c:pt>
                <c:pt idx="10">
                  <c:v>1.8835256479154965</c:v>
                </c:pt>
                <c:pt idx="11">
                  <c:v>1.7594239502908446</c:v>
                </c:pt>
                <c:pt idx="12">
                  <c:v>1.7041631597895457</c:v>
                </c:pt>
                <c:pt idx="13">
                  <c:v>1.6647601422004787</c:v>
                </c:pt>
                <c:pt idx="14">
                  <c:v>1.3217396626730959</c:v>
                </c:pt>
                <c:pt idx="15">
                  <c:v>1.3235692656819207</c:v>
                </c:pt>
              </c:numCache>
            </c:numRef>
          </c:yVal>
          <c:smooth val="0"/>
        </c:ser>
        <c:ser>
          <c:idx val="2"/>
          <c:order val="4"/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vG_landward!$AY$27:$AY$44</c:f>
              <c:numCache>
                <c:formatCode>General</c:formatCode>
                <c:ptCount val="18"/>
                <c:pt idx="0">
                  <c:v>1.4576906631307529</c:v>
                </c:pt>
                <c:pt idx="2">
                  <c:v>1.8861865899653751</c:v>
                </c:pt>
                <c:pt idx="3">
                  <c:v>1.2682812844341183</c:v>
                </c:pt>
                <c:pt idx="4">
                  <c:v>2.4848546332150252</c:v>
                </c:pt>
                <c:pt idx="5">
                  <c:v>1.7075626213528925</c:v>
                </c:pt>
                <c:pt idx="6">
                  <c:v>1.142734039675054</c:v>
                </c:pt>
                <c:pt idx="7">
                  <c:v>2.4495391530501349</c:v>
                </c:pt>
                <c:pt idx="8">
                  <c:v>1.7699270348917944</c:v>
                </c:pt>
                <c:pt idx="9">
                  <c:v>2.7169133087120509</c:v>
                </c:pt>
                <c:pt idx="10">
                  <c:v>2.2221160462606382</c:v>
                </c:pt>
                <c:pt idx="11">
                  <c:v>1.9557959808196521</c:v>
                </c:pt>
                <c:pt idx="12">
                  <c:v>1.7736161256182987</c:v>
                </c:pt>
                <c:pt idx="13">
                  <c:v>1.8146791213364348</c:v>
                </c:pt>
                <c:pt idx="14">
                  <c:v>1.4960503985349332</c:v>
                </c:pt>
                <c:pt idx="15">
                  <c:v>1.3335471268827954</c:v>
                </c:pt>
              </c:numCache>
            </c:numRef>
          </c:xVal>
          <c:yVal>
            <c:numRef>
              <c:f>vG_landward!$AN$27:$AN$44</c:f>
              <c:numCache>
                <c:formatCode>General</c:formatCode>
                <c:ptCount val="18"/>
                <c:pt idx="0">
                  <c:v>1.2368060044980731</c:v>
                </c:pt>
                <c:pt idx="2">
                  <c:v>1.8960409061797421</c:v>
                </c:pt>
                <c:pt idx="4">
                  <c:v>2.097746012485846</c:v>
                </c:pt>
                <c:pt idx="5">
                  <c:v>1.7356087888010263</c:v>
                </c:pt>
                <c:pt idx="7">
                  <c:v>2.0235460985498639</c:v>
                </c:pt>
                <c:pt idx="8">
                  <c:v>1.5444720498982325</c:v>
                </c:pt>
                <c:pt idx="9">
                  <c:v>2.0697569871192245</c:v>
                </c:pt>
                <c:pt idx="10">
                  <c:v>1.9162826157053312</c:v>
                </c:pt>
                <c:pt idx="11">
                  <c:v>1.7345264415603137</c:v>
                </c:pt>
                <c:pt idx="12">
                  <c:v>1.7641085975710875</c:v>
                </c:pt>
                <c:pt idx="13">
                  <c:v>1.6824703564792074</c:v>
                </c:pt>
                <c:pt idx="14">
                  <c:v>1.4234119444171802</c:v>
                </c:pt>
                <c:pt idx="15">
                  <c:v>1.3149746600606096</c:v>
                </c:pt>
              </c:numCache>
            </c:numRef>
          </c:yVal>
          <c:smooth val="0"/>
        </c:ser>
        <c:ser>
          <c:idx val="5"/>
          <c:order val="5"/>
          <c:spPr>
            <a:ln w="28575">
              <a:noFill/>
            </a:ln>
          </c:spPr>
          <c:marker>
            <c:symbol val="circ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vG_landward!$AX$71:$AX$88</c:f>
              <c:numCache>
                <c:formatCode>General</c:formatCode>
                <c:ptCount val="18"/>
                <c:pt idx="0">
                  <c:v>0.85957195904495332</c:v>
                </c:pt>
                <c:pt idx="2">
                  <c:v>1.1377964268500811</c:v>
                </c:pt>
                <c:pt idx="4">
                  <c:v>1.5148747800312368</c:v>
                </c:pt>
                <c:pt idx="5">
                  <c:v>1.0108896591566658</c:v>
                </c:pt>
                <c:pt idx="7">
                  <c:v>1.4613367233053507</c:v>
                </c:pt>
                <c:pt idx="8">
                  <c:v>1.0266959557868416</c:v>
                </c:pt>
                <c:pt idx="9">
                  <c:v>1.6021111710416731</c:v>
                </c:pt>
                <c:pt idx="10">
                  <c:v>1.3500001179810919</c:v>
                </c:pt>
                <c:pt idx="11">
                  <c:v>1.1711684791726866</c:v>
                </c:pt>
                <c:pt idx="12">
                  <c:v>1.0244416837023094</c:v>
                </c:pt>
                <c:pt idx="13">
                  <c:v>1.0049252800078197</c:v>
                </c:pt>
                <c:pt idx="14">
                  <c:v>0.87509924754496404</c:v>
                </c:pt>
                <c:pt idx="15">
                  <c:v>0.7669109071064717</c:v>
                </c:pt>
              </c:numCache>
            </c:numRef>
          </c:xVal>
          <c:yVal>
            <c:numRef>
              <c:f>vG_landward!$AL$71:$AL$88</c:f>
              <c:numCache>
                <c:formatCode>General</c:formatCode>
                <c:ptCount val="18"/>
                <c:pt idx="0">
                  <c:v>1.0601194324269199</c:v>
                </c:pt>
                <c:pt idx="2">
                  <c:v>1.7723860644723677</c:v>
                </c:pt>
                <c:pt idx="4">
                  <c:v>1.7957358861746544</c:v>
                </c:pt>
                <c:pt idx="5">
                  <c:v>1.4253791985322439</c:v>
                </c:pt>
                <c:pt idx="7">
                  <c:v>1.6571426897589419</c:v>
                </c:pt>
                <c:pt idx="8">
                  <c:v>1.2714162178720256</c:v>
                </c:pt>
                <c:pt idx="9">
                  <c:v>1.766865720711533</c:v>
                </c:pt>
                <c:pt idx="10">
                  <c:v>1.6951730831239469</c:v>
                </c:pt>
                <c:pt idx="11">
                  <c:v>1.6266372370613469</c:v>
                </c:pt>
                <c:pt idx="12">
                  <c:v>1.4900723105697535</c:v>
                </c:pt>
                <c:pt idx="13">
                  <c:v>1.4433824637163726</c:v>
                </c:pt>
                <c:pt idx="14">
                  <c:v>1.084504338603566</c:v>
                </c:pt>
                <c:pt idx="15">
                  <c:v>1.1001095195278303</c:v>
                </c:pt>
              </c:numCache>
            </c:numRef>
          </c:yVal>
          <c:smooth val="0"/>
        </c:ser>
        <c:ser>
          <c:idx val="6"/>
          <c:order val="6"/>
          <c:spPr>
            <a:ln w="28575">
              <a:noFill/>
            </a:ln>
          </c:spPr>
          <c:marker>
            <c:symbol val="circ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vG_landward!$AY$71:$AY$88</c:f>
              <c:numCache>
                <c:formatCode>General</c:formatCode>
                <c:ptCount val="18"/>
                <c:pt idx="0">
                  <c:v>1.0156685617770878</c:v>
                </c:pt>
                <c:pt idx="2">
                  <c:v>1.3385840315883306</c:v>
                </c:pt>
                <c:pt idx="4">
                  <c:v>1.7784840805007096</c:v>
                </c:pt>
                <c:pt idx="5">
                  <c:v>1.1935805614138946</c:v>
                </c:pt>
                <c:pt idx="7">
                  <c:v>1.7229125090998645</c:v>
                </c:pt>
                <c:pt idx="8">
                  <c:v>1.2168248364881087</c:v>
                </c:pt>
                <c:pt idx="9">
                  <c:v>1.893051456339798</c:v>
                </c:pt>
                <c:pt idx="10">
                  <c:v>1.5860141246211428</c:v>
                </c:pt>
                <c:pt idx="11">
                  <c:v>1.3798089445834978</c:v>
                </c:pt>
                <c:pt idx="12">
                  <c:v>1.2150946025054687</c:v>
                </c:pt>
                <c:pt idx="13">
                  <c:v>1.2006899449444079</c:v>
                </c:pt>
                <c:pt idx="14">
                  <c:v>1.035569769710911</c:v>
                </c:pt>
                <c:pt idx="15">
                  <c:v>0.91034810918374198</c:v>
                </c:pt>
              </c:numCache>
            </c:numRef>
          </c:xVal>
          <c:yVal>
            <c:numRef>
              <c:f>vG_landward!$AN$71:$AN$87</c:f>
              <c:numCache>
                <c:formatCode>General</c:formatCode>
                <c:ptCount val="17"/>
                <c:pt idx="0">
                  <c:v>1.6520780078434549</c:v>
                </c:pt>
                <c:pt idx="2">
                  <c:v>2.7172409536145303</c:v>
                </c:pt>
                <c:pt idx="4">
                  <c:v>2.7932838223138012</c:v>
                </c:pt>
                <c:pt idx="5">
                  <c:v>2.170650450901757</c:v>
                </c:pt>
                <c:pt idx="7">
                  <c:v>2.5098019776468421</c:v>
                </c:pt>
                <c:pt idx="8">
                  <c:v>1.9336704734778365</c:v>
                </c:pt>
                <c:pt idx="9">
                  <c:v>2.6385706312319934</c:v>
                </c:pt>
                <c:pt idx="10">
                  <c:v>2.5887621999712529</c:v>
                </c:pt>
                <c:pt idx="11">
                  <c:v>2.4098796650455392</c:v>
                </c:pt>
                <c:pt idx="12">
                  <c:v>2.2070069866223805</c:v>
                </c:pt>
                <c:pt idx="13">
                  <c:v>1.9988465098651271</c:v>
                </c:pt>
                <c:pt idx="14">
                  <c:v>1.6169598751978973</c:v>
                </c:pt>
                <c:pt idx="15">
                  <c:v>1.594023112128554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902912"/>
        <c:axId val="126650624"/>
      </c:scatterChart>
      <c:valAx>
        <c:axId val="90902912"/>
        <c:scaling>
          <c:orientation val="minMax"/>
          <c:max val="4"/>
        </c:scaling>
        <c:delete val="0"/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itchFamily="34" charset="0"/>
                    <a:ea typeface="+mn-ea"/>
                    <a:cs typeface="Arial" pitchFamily="34" charset="0"/>
                  </a:defRPr>
                </a:pPr>
                <a:r>
                  <a:rPr lang="nl-NL" sz="1200" b="0" i="0" baseline="0">
                    <a:effectLst/>
                  </a:rPr>
                  <a:t>u</a:t>
                </a:r>
                <a:r>
                  <a:rPr lang="nl-NL" sz="1200" b="0" i="0" baseline="-25000">
                    <a:effectLst/>
                  </a:rPr>
                  <a:t>2% </a:t>
                </a:r>
                <a:r>
                  <a:rPr lang="nl-NL" sz="1200" b="0" i="0" baseline="0">
                    <a:effectLst/>
                  </a:rPr>
                  <a:t>/ (gH</a:t>
                </a:r>
                <a:r>
                  <a:rPr lang="nl-NL" sz="1200" b="0" i="0" baseline="-25000">
                    <a:effectLst/>
                  </a:rPr>
                  <a:t>m0</a:t>
                </a:r>
                <a:r>
                  <a:rPr lang="nl-NL" sz="1200" b="0" i="0" baseline="0">
                    <a:effectLst/>
                  </a:rPr>
                  <a:t>)</a:t>
                </a:r>
                <a:r>
                  <a:rPr lang="nl-NL" sz="1200" b="0" i="0" baseline="30000">
                    <a:effectLst/>
                  </a:rPr>
                  <a:t>0.5 </a:t>
                </a:r>
                <a:r>
                  <a:rPr lang="nl-NL" sz="1200" b="0" i="0" baseline="0">
                    <a:effectLst/>
                  </a:rPr>
                  <a:t>eq. Trung</a:t>
                </a:r>
                <a:endParaRPr lang="nl-NL" sz="12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26650624"/>
        <c:crosses val="autoZero"/>
        <c:crossBetween val="midCat"/>
        <c:majorUnit val="1"/>
      </c:valAx>
      <c:valAx>
        <c:axId val="126650624"/>
        <c:scaling>
          <c:orientation val="minMax"/>
          <c:max val="4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nl-NL" sz="1200" b="0" i="0" baseline="0">
                    <a:effectLst/>
                  </a:rPr>
                  <a:t>u</a:t>
                </a:r>
                <a:r>
                  <a:rPr lang="nl-NL" sz="1200" b="0" i="0" baseline="-25000">
                    <a:effectLst/>
                  </a:rPr>
                  <a:t>2% </a:t>
                </a:r>
                <a:r>
                  <a:rPr lang="nl-NL" sz="1200" b="0" i="0" baseline="0">
                    <a:effectLst/>
                  </a:rPr>
                  <a:t>/ (gH</a:t>
                </a:r>
                <a:r>
                  <a:rPr lang="nl-NL" sz="1200" b="0" i="0" baseline="-25000">
                    <a:effectLst/>
                  </a:rPr>
                  <a:t>m0</a:t>
                </a:r>
                <a:r>
                  <a:rPr lang="nl-NL" sz="1200" b="0" i="0" baseline="0">
                    <a:effectLst/>
                  </a:rPr>
                  <a:t>)</a:t>
                </a:r>
                <a:r>
                  <a:rPr lang="nl-NL" sz="1200" b="0" i="0" baseline="30000">
                    <a:effectLst/>
                  </a:rPr>
                  <a:t>0.5 </a:t>
                </a:r>
                <a:r>
                  <a:rPr lang="nl-NL" sz="1200" b="0" i="0" baseline="0">
                    <a:effectLst/>
                  </a:rPr>
                  <a:t>mea. van Gent</a:t>
                </a:r>
                <a:endParaRPr lang="nl-NL" sz="1200">
                  <a:effectLst/>
                </a:endParaRP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90902912"/>
        <c:crosses val="autoZero"/>
        <c:crossBetween val="midCat"/>
        <c:majorUnit val="1"/>
      </c:valAx>
    </c:plotArea>
    <c:legend>
      <c:legendPos val="r"/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overlay val="0"/>
    </c:legend>
    <c:plotVisOnly val="1"/>
    <c:dispBlanksAs val="gap"/>
    <c:showDLblsOverMax val="0"/>
  </c:chart>
  <c:txPr>
    <a:bodyPr/>
    <a:lstStyle/>
    <a:p>
      <a:pPr>
        <a:defRPr sz="1200" b="0">
          <a:latin typeface="Arial" pitchFamily="34" charset="0"/>
          <a:cs typeface="Arial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/>
            </a:pPr>
            <a:r>
              <a:rPr lang="en-US" sz="1400" b="0"/>
              <a:t>velocity - seaward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Schuttrumpf 1:6</c:v>
          </c:tx>
          <c:spPr>
            <a:ln w="28575">
              <a:noFill/>
            </a:ln>
          </c:spPr>
          <c:xVal>
            <c:numRef>
              <c:f>Schuttrumpf!$S$38:$S$42</c:f>
              <c:numCache>
                <c:formatCode>0.000</c:formatCode>
                <c:ptCount val="5"/>
                <c:pt idx="0">
                  <c:v>2.0792225684829493</c:v>
                </c:pt>
                <c:pt idx="1">
                  <c:v>0.52082195495812655</c:v>
                </c:pt>
                <c:pt idx="2">
                  <c:v>0.54567774782370904</c:v>
                </c:pt>
                <c:pt idx="3">
                  <c:v>0.18403756546392858</c:v>
                </c:pt>
                <c:pt idx="4">
                  <c:v>0.61807307490508157</c:v>
                </c:pt>
              </c:numCache>
            </c:numRef>
          </c:xVal>
          <c:yVal>
            <c:numRef>
              <c:f>Schuttrumpf!$S$30:$S$34</c:f>
              <c:numCache>
                <c:formatCode>0.000</c:formatCode>
                <c:ptCount val="5"/>
                <c:pt idx="0">
                  <c:v>0.95299999999999996</c:v>
                </c:pt>
                <c:pt idx="1">
                  <c:v>1.036</c:v>
                </c:pt>
                <c:pt idx="2">
                  <c:v>0.72699999999999998</c:v>
                </c:pt>
                <c:pt idx="3">
                  <c:v>0.81499999999999995</c:v>
                </c:pt>
                <c:pt idx="4">
                  <c:v>0.89200000000000002</c:v>
                </c:pt>
              </c:numCache>
            </c:numRef>
          </c:yVal>
          <c:smooth val="0"/>
        </c:ser>
        <c:ser>
          <c:idx val="1"/>
          <c:order val="1"/>
          <c:tx>
            <c:v>FD 1:3 Rc 0.2m</c:v>
          </c:tx>
          <c:spPr>
            <a:ln w="28575">
              <a:noFill/>
            </a:ln>
          </c:spPr>
          <c:xVal>
            <c:numRef>
              <c:f>FlowDike_1_3!$AT$42:$AT$47</c:f>
              <c:numCache>
                <c:formatCode>0.000</c:formatCode>
                <c:ptCount val="6"/>
                <c:pt idx="0">
                  <c:v>0.42942333489078632</c:v>
                </c:pt>
                <c:pt idx="1">
                  <c:v>0</c:v>
                </c:pt>
                <c:pt idx="2">
                  <c:v>0.95725830945418089</c:v>
                </c:pt>
                <c:pt idx="3">
                  <c:v>0.32664102175163462</c:v>
                </c:pt>
                <c:pt idx="4">
                  <c:v>1.5963866994211444</c:v>
                </c:pt>
                <c:pt idx="5">
                  <c:v>0.79264979487861942</c:v>
                </c:pt>
              </c:numCache>
            </c:numRef>
          </c:xVal>
          <c:yVal>
            <c:numRef>
              <c:f>FlowDike_1_3!$AT$19:$AT$24</c:f>
              <c:numCache>
                <c:formatCode>0.000</c:formatCode>
                <c:ptCount val="6"/>
                <c:pt idx="0">
                  <c:v>0.9872855966113121</c:v>
                </c:pt>
                <c:pt idx="1">
                  <c:v>0.71899977304153928</c:v>
                </c:pt>
                <c:pt idx="2">
                  <c:v>1.2020125770786754</c:v>
                </c:pt>
                <c:pt idx="3">
                  <c:v>0.9203818341417821</c:v>
                </c:pt>
                <c:pt idx="4">
                  <c:v>1.3020924613998015</c:v>
                </c:pt>
                <c:pt idx="5">
                  <c:v>1.1332541419730839</c:v>
                </c:pt>
              </c:numCache>
            </c:numRef>
          </c:yVal>
          <c:smooth val="0"/>
        </c:ser>
        <c:ser>
          <c:idx val="2"/>
          <c:order val="2"/>
          <c:tx>
            <c:v>FD 1:6 Rc 0.1m</c:v>
          </c:tx>
          <c:spPr>
            <a:ln w="28575">
              <a:noFill/>
            </a:ln>
          </c:spPr>
          <c:xVal>
            <c:numRef>
              <c:f>FlowDike_1_6!$BC$69:$BC$74</c:f>
              <c:numCache>
                <c:formatCode>0.000</c:formatCode>
                <c:ptCount val="6"/>
                <c:pt idx="0">
                  <c:v>0.57955167595520707</c:v>
                </c:pt>
                <c:pt idx="1">
                  <c:v>0</c:v>
                </c:pt>
                <c:pt idx="2">
                  <c:v>1.2548384574061977</c:v>
                </c:pt>
                <c:pt idx="3">
                  <c:v>0.40906255936131097</c:v>
                </c:pt>
                <c:pt idx="4">
                  <c:v>2.087482716896027</c:v>
                </c:pt>
                <c:pt idx="5">
                  <c:v>1.0290149084917743</c:v>
                </c:pt>
              </c:numCache>
            </c:numRef>
          </c:xVal>
          <c:yVal>
            <c:numRef>
              <c:f>FlowDike_1_6!$BC$29:$BC$34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 formatCode="0.000">
                  <c:v>0.23895492809059701</c:v>
                </c:pt>
                <c:pt idx="3" formatCode="0.000">
                  <c:v>1.2471809417150002E-2</c:v>
                </c:pt>
                <c:pt idx="4" formatCode="0.000">
                  <c:v>0.65040963229055493</c:v>
                </c:pt>
                <c:pt idx="5" formatCode="0.000">
                  <c:v>0.32740913827569845</c:v>
                </c:pt>
              </c:numCache>
            </c:numRef>
          </c:yVal>
          <c:smooth val="0"/>
        </c:ser>
        <c:ser>
          <c:idx val="3"/>
          <c:order val="3"/>
          <c:tx>
            <c:v>FD 1:6 Rc 0.05m</c:v>
          </c:tx>
          <c:spPr>
            <a:ln w="28575">
              <a:noFill/>
            </a:ln>
          </c:spPr>
          <c:xVal>
            <c:numRef>
              <c:f>FlowDike_1_6!$BC$78:$BC$83</c:f>
              <c:numCache>
                <c:formatCode>0.000</c:formatCode>
                <c:ptCount val="6"/>
                <c:pt idx="0">
                  <c:v>2.6658960582107123</c:v>
                </c:pt>
                <c:pt idx="1">
                  <c:v>1.2789927989113867</c:v>
                </c:pt>
                <c:pt idx="2">
                  <c:v>3.2803057764329968</c:v>
                </c:pt>
                <c:pt idx="3">
                  <c:v>1.8052085449315969</c:v>
                </c:pt>
                <c:pt idx="4">
                  <c:v>3.8285465471058284</c:v>
                </c:pt>
                <c:pt idx="5">
                  <c:v>2.2652860244478492</c:v>
                </c:pt>
              </c:numCache>
            </c:numRef>
          </c:xVal>
          <c:yVal>
            <c:numRef>
              <c:f>FlowDike_1_6!$BC$38:$BC$43</c:f>
              <c:numCache>
                <c:formatCode>0.000</c:formatCode>
                <c:ptCount val="6"/>
                <c:pt idx="0">
                  <c:v>0.53794190399029496</c:v>
                </c:pt>
                <c:pt idx="1">
                  <c:v>0.29743257787795208</c:v>
                </c:pt>
                <c:pt idx="2">
                  <c:v>0.6766097800907831</c:v>
                </c:pt>
                <c:pt idx="3">
                  <c:v>0.52508947360098912</c:v>
                </c:pt>
                <c:pt idx="4">
                  <c:v>0.78348517332140333</c:v>
                </c:pt>
                <c:pt idx="5">
                  <c:v>0.62392336651702207</c:v>
                </c:pt>
              </c:numCache>
            </c:numRef>
          </c:yVal>
          <c:smooth val="0"/>
        </c:ser>
        <c:ser>
          <c:idx val="4"/>
          <c:order val="4"/>
          <c:spPr>
            <a:ln w="63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Schuttrumpf!$E$52:$E$53</c:f>
              <c:numCache>
                <c:formatCode>General</c:formatCode>
                <c:ptCount val="2"/>
                <c:pt idx="0">
                  <c:v>0</c:v>
                </c:pt>
                <c:pt idx="1">
                  <c:v>3</c:v>
                </c:pt>
              </c:numCache>
            </c:numRef>
          </c:xVal>
          <c:yVal>
            <c:numRef>
              <c:f>Schuttrumpf!$F$52:$F$53</c:f>
              <c:numCache>
                <c:formatCode>General</c:formatCode>
                <c:ptCount val="2"/>
                <c:pt idx="0">
                  <c:v>0</c:v>
                </c:pt>
                <c:pt idx="1">
                  <c:v>3</c:v>
                </c:pt>
              </c:numCache>
            </c:numRef>
          </c:yVal>
          <c:smooth val="0"/>
        </c:ser>
        <c:ser>
          <c:idx val="5"/>
          <c:order val="5"/>
          <c:spPr>
            <a:ln w="635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Schuttrumpf!$E$59:$E$60</c:f>
              <c:numCache>
                <c:formatCode>General</c:formatCode>
                <c:ptCount val="2"/>
                <c:pt idx="0">
                  <c:v>1.49</c:v>
                </c:pt>
                <c:pt idx="1">
                  <c:v>1.49</c:v>
                </c:pt>
              </c:numCache>
            </c:numRef>
          </c:xVal>
          <c:yVal>
            <c:numRef>
              <c:f>Schuttrumpf!$F$59:$F$60</c:f>
              <c:numCache>
                <c:formatCode>General</c:formatCode>
                <c:ptCount val="2"/>
                <c:pt idx="0">
                  <c:v>0</c:v>
                </c:pt>
                <c:pt idx="1">
                  <c:v>3</c:v>
                </c:pt>
              </c:numCache>
            </c:numRef>
          </c:yVal>
          <c:smooth val="0"/>
        </c:ser>
        <c:ser>
          <c:idx val="6"/>
          <c:order val="6"/>
          <c:spPr>
            <a:ln w="3175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Schuttrumpf!$D$64:$D$80</c:f>
              <c:numCache>
                <c:formatCode>General</c:formatCode>
                <c:ptCount val="17"/>
                <c:pt idx="0">
                  <c:v>0</c:v>
                </c:pt>
                <c:pt idx="1">
                  <c:v>0.1</c:v>
                </c:pt>
                <c:pt idx="2">
                  <c:v>0.30000000000000004</c:v>
                </c:pt>
                <c:pt idx="3">
                  <c:v>0.5</c:v>
                </c:pt>
                <c:pt idx="4">
                  <c:v>0.7</c:v>
                </c:pt>
                <c:pt idx="5">
                  <c:v>0.89999999999999991</c:v>
                </c:pt>
                <c:pt idx="6">
                  <c:v>1.0999999999999999</c:v>
                </c:pt>
                <c:pt idx="7">
                  <c:v>1.2999999999999998</c:v>
                </c:pt>
                <c:pt idx="8">
                  <c:v>1.4999999999999998</c:v>
                </c:pt>
                <c:pt idx="9">
                  <c:v>1.6999999999999997</c:v>
                </c:pt>
                <c:pt idx="10">
                  <c:v>1.8999999999999997</c:v>
                </c:pt>
                <c:pt idx="11">
                  <c:v>2.0999999999999996</c:v>
                </c:pt>
                <c:pt idx="12">
                  <c:v>2.2999999999999998</c:v>
                </c:pt>
                <c:pt idx="13">
                  <c:v>2.5</c:v>
                </c:pt>
                <c:pt idx="14">
                  <c:v>2.7</c:v>
                </c:pt>
                <c:pt idx="15">
                  <c:v>2.9000000000000004</c:v>
                </c:pt>
                <c:pt idx="16">
                  <c:v>3.1000000000000005</c:v>
                </c:pt>
              </c:numCache>
            </c:numRef>
          </c:xVal>
          <c:yVal>
            <c:numRef>
              <c:f>Schuttrumpf!$E$64:$E$80</c:f>
              <c:numCache>
                <c:formatCode>General</c:formatCode>
                <c:ptCount val="17"/>
                <c:pt idx="0">
                  <c:v>0</c:v>
                </c:pt>
                <c:pt idx="1">
                  <c:v>0.11148000000000001</c:v>
                </c:pt>
                <c:pt idx="2">
                  <c:v>0.33444000000000007</c:v>
                </c:pt>
                <c:pt idx="3">
                  <c:v>0.55740000000000001</c:v>
                </c:pt>
                <c:pt idx="4">
                  <c:v>0.78035999999999994</c:v>
                </c:pt>
                <c:pt idx="5">
                  <c:v>1.00332</c:v>
                </c:pt>
                <c:pt idx="6">
                  <c:v>1.2262799999999998</c:v>
                </c:pt>
                <c:pt idx="7">
                  <c:v>1.4492399999999999</c:v>
                </c:pt>
                <c:pt idx="8">
                  <c:v>1.6721999999999997</c:v>
                </c:pt>
                <c:pt idx="9">
                  <c:v>1.8951599999999997</c:v>
                </c:pt>
                <c:pt idx="10">
                  <c:v>2.1181199999999998</c:v>
                </c:pt>
                <c:pt idx="11">
                  <c:v>2.3410799999999998</c:v>
                </c:pt>
                <c:pt idx="12">
                  <c:v>2.5640399999999999</c:v>
                </c:pt>
                <c:pt idx="13">
                  <c:v>2.7869999999999999</c:v>
                </c:pt>
                <c:pt idx="14">
                  <c:v>3.0099600000000004</c:v>
                </c:pt>
                <c:pt idx="15">
                  <c:v>3.2329200000000005</c:v>
                </c:pt>
                <c:pt idx="16">
                  <c:v>3.4558800000000005</c:v>
                </c:pt>
              </c:numCache>
            </c:numRef>
          </c:yVal>
          <c:smooth val="0"/>
        </c:ser>
        <c:ser>
          <c:idx val="7"/>
          <c:order val="7"/>
          <c:spPr>
            <a:ln w="3175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Schuttrumpf!$D$64:$D$80</c:f>
              <c:numCache>
                <c:formatCode>General</c:formatCode>
                <c:ptCount val="17"/>
                <c:pt idx="0">
                  <c:v>0</c:v>
                </c:pt>
                <c:pt idx="1">
                  <c:v>0.1</c:v>
                </c:pt>
                <c:pt idx="2">
                  <c:v>0.30000000000000004</c:v>
                </c:pt>
                <c:pt idx="3">
                  <c:v>0.5</c:v>
                </c:pt>
                <c:pt idx="4">
                  <c:v>0.7</c:v>
                </c:pt>
                <c:pt idx="5">
                  <c:v>0.89999999999999991</c:v>
                </c:pt>
                <c:pt idx="6">
                  <c:v>1.0999999999999999</c:v>
                </c:pt>
                <c:pt idx="7">
                  <c:v>1.2999999999999998</c:v>
                </c:pt>
                <c:pt idx="8">
                  <c:v>1.4999999999999998</c:v>
                </c:pt>
                <c:pt idx="9">
                  <c:v>1.6999999999999997</c:v>
                </c:pt>
                <c:pt idx="10">
                  <c:v>1.8999999999999997</c:v>
                </c:pt>
                <c:pt idx="11">
                  <c:v>2.0999999999999996</c:v>
                </c:pt>
                <c:pt idx="12">
                  <c:v>2.2999999999999998</c:v>
                </c:pt>
                <c:pt idx="13">
                  <c:v>2.5</c:v>
                </c:pt>
                <c:pt idx="14">
                  <c:v>2.7</c:v>
                </c:pt>
                <c:pt idx="15">
                  <c:v>2.9000000000000004</c:v>
                </c:pt>
                <c:pt idx="16">
                  <c:v>3.1000000000000005</c:v>
                </c:pt>
              </c:numCache>
            </c:numRef>
          </c:xVal>
          <c:yVal>
            <c:numRef>
              <c:f>Schuttrumpf!$F$64:$F$80</c:f>
              <c:numCache>
                <c:formatCode>General</c:formatCode>
                <c:ptCount val="17"/>
                <c:pt idx="0">
                  <c:v>0</c:v>
                </c:pt>
                <c:pt idx="1">
                  <c:v>8.8520000000000001E-2</c:v>
                </c:pt>
                <c:pt idx="2">
                  <c:v>0.26556000000000002</c:v>
                </c:pt>
                <c:pt idx="3">
                  <c:v>0.44259999999999999</c:v>
                </c:pt>
                <c:pt idx="4">
                  <c:v>0.61963999999999997</c:v>
                </c:pt>
                <c:pt idx="5">
                  <c:v>0.79667999999999994</c:v>
                </c:pt>
                <c:pt idx="6">
                  <c:v>0.97371999999999992</c:v>
                </c:pt>
                <c:pt idx="7">
                  <c:v>1.1507599999999998</c:v>
                </c:pt>
                <c:pt idx="8">
                  <c:v>1.3277999999999999</c:v>
                </c:pt>
                <c:pt idx="9">
                  <c:v>1.5048399999999997</c:v>
                </c:pt>
                <c:pt idx="10">
                  <c:v>1.6818799999999996</c:v>
                </c:pt>
                <c:pt idx="11">
                  <c:v>1.8589199999999997</c:v>
                </c:pt>
                <c:pt idx="12">
                  <c:v>2.0359599999999998</c:v>
                </c:pt>
                <c:pt idx="13">
                  <c:v>2.2130000000000001</c:v>
                </c:pt>
                <c:pt idx="14">
                  <c:v>2.3900399999999999</c:v>
                </c:pt>
                <c:pt idx="15">
                  <c:v>2.5670800000000003</c:v>
                </c:pt>
                <c:pt idx="16">
                  <c:v>2.7441200000000006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901888"/>
        <c:axId val="88912256"/>
      </c:scatterChart>
      <c:valAx>
        <c:axId val="88901888"/>
        <c:scaling>
          <c:orientation val="minMax"/>
          <c:max val="3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nl-NL" b="0"/>
                  <a:t>u</a:t>
                </a:r>
                <a:r>
                  <a:rPr lang="nl-NL" b="0" baseline="-25000"/>
                  <a:t>A, 2%</a:t>
                </a:r>
                <a:r>
                  <a:rPr lang="nl-NL" b="0" baseline="0"/>
                  <a:t>/(gH</a:t>
                </a:r>
                <a:r>
                  <a:rPr lang="nl-NL" b="0" baseline="-25000"/>
                  <a:t>m0</a:t>
                </a:r>
                <a:r>
                  <a:rPr lang="nl-NL" b="0" baseline="0"/>
                  <a:t>)</a:t>
                </a:r>
                <a:r>
                  <a:rPr lang="nl-NL" b="0" baseline="30000"/>
                  <a:t>0.5</a:t>
                </a:r>
                <a:r>
                  <a:rPr lang="nl-NL" b="0" baseline="0"/>
                  <a:t> com.</a:t>
                </a:r>
                <a:endParaRPr lang="nl-NL" b="0"/>
              </a:p>
            </c:rich>
          </c:tx>
          <c:overlay val="0"/>
        </c:title>
        <c:numFmt formatCode="0.0" sourceLinked="0"/>
        <c:majorTickMark val="none"/>
        <c:minorTickMark val="none"/>
        <c:tickLblPos val="nextTo"/>
        <c:crossAx val="88912256"/>
        <c:crosses val="autoZero"/>
        <c:crossBetween val="midCat"/>
        <c:majorUnit val="0.5"/>
      </c:valAx>
      <c:valAx>
        <c:axId val="88912256"/>
        <c:scaling>
          <c:orientation val="minMax"/>
          <c:max val="3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nl-NL" sz="1200" b="0" i="0" baseline="0">
                    <a:effectLst/>
                  </a:rPr>
                  <a:t>u</a:t>
                </a:r>
                <a:r>
                  <a:rPr lang="nl-NL" sz="1200" b="0" i="0" baseline="-25000">
                    <a:effectLst/>
                  </a:rPr>
                  <a:t>A, 2%</a:t>
                </a:r>
                <a:r>
                  <a:rPr lang="nl-NL" sz="1200" b="0" i="0" baseline="0">
                    <a:effectLst/>
                  </a:rPr>
                  <a:t>/(gH</a:t>
                </a:r>
                <a:r>
                  <a:rPr lang="nl-NL" sz="1200" b="0" i="0" baseline="-25000">
                    <a:effectLst/>
                  </a:rPr>
                  <a:t>m0</a:t>
                </a:r>
                <a:r>
                  <a:rPr lang="nl-NL" sz="1200" b="0" i="0" baseline="0">
                    <a:effectLst/>
                  </a:rPr>
                  <a:t>)</a:t>
                </a:r>
                <a:r>
                  <a:rPr lang="nl-NL" sz="1200" b="0" i="0" baseline="30000">
                    <a:effectLst/>
                  </a:rPr>
                  <a:t>0.5</a:t>
                </a:r>
                <a:r>
                  <a:rPr lang="nl-NL" sz="1200" b="0" i="0" baseline="0">
                    <a:effectLst/>
                  </a:rPr>
                  <a:t> mea.</a:t>
                </a:r>
                <a:endParaRPr lang="nl-NL" sz="1200">
                  <a:effectLst/>
                </a:endParaRPr>
              </a:p>
            </c:rich>
          </c:tx>
          <c:overlay val="0"/>
        </c:title>
        <c:numFmt formatCode="0.0" sourceLinked="0"/>
        <c:majorTickMark val="none"/>
        <c:minorTickMark val="none"/>
        <c:tickLblPos val="nextTo"/>
        <c:crossAx val="88901888"/>
        <c:crosses val="autoZero"/>
        <c:crossBetween val="midCat"/>
        <c:majorUnit val="0.5"/>
      </c:valAx>
    </c:plotArea>
    <c:legend>
      <c:legendPos val="r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overlay val="0"/>
      <c:spPr>
        <a:solidFill>
          <a:schemeClr val="bg1"/>
        </a:solidFill>
      </c:spPr>
    </c:legend>
    <c:plotVisOnly val="1"/>
    <c:dispBlanksAs val="gap"/>
    <c:showDLblsOverMax val="0"/>
  </c:chart>
  <c:txPr>
    <a:bodyPr/>
    <a:lstStyle/>
    <a:p>
      <a:pPr>
        <a:defRPr sz="1200">
          <a:latin typeface="Arial" panose="020B0604020202020204" pitchFamily="34" charset="0"/>
          <a:cs typeface="Arial" panose="020B06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/>
            </a:pPr>
            <a:r>
              <a:rPr lang="en-US" sz="1400" b="0"/>
              <a:t>thickness - landward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Schuttrumpf 1:6</c:v>
          </c:tx>
          <c:spPr>
            <a:ln w="28575">
              <a:noFill/>
            </a:ln>
          </c:spPr>
          <c:xVal>
            <c:numRef>
              <c:f>Schuttrumpf!$Q$38:$Q$42</c:f>
              <c:numCache>
                <c:formatCode>0.000</c:formatCode>
                <c:ptCount val="5"/>
                <c:pt idx="0">
                  <c:v>0.13238918499221827</c:v>
                </c:pt>
                <c:pt idx="1">
                  <c:v>3.266834242425682E-2</c:v>
                </c:pt>
                <c:pt idx="2">
                  <c:v>2.654393773032793E-2</c:v>
                </c:pt>
                <c:pt idx="3">
                  <c:v>1.6041201658606199E-2</c:v>
                </c:pt>
                <c:pt idx="4">
                  <c:v>3.5058269849401538E-2</c:v>
                </c:pt>
              </c:numCache>
            </c:numRef>
          </c:xVal>
          <c:yVal>
            <c:numRef>
              <c:f>Schuttrumpf!$Q$30:$Q$34</c:f>
              <c:numCache>
                <c:formatCode>0.000</c:formatCode>
                <c:ptCount val="5"/>
                <c:pt idx="0">
                  <c:v>0.14599999999999999</c:v>
                </c:pt>
                <c:pt idx="1">
                  <c:v>0.13900000000000001</c:v>
                </c:pt>
                <c:pt idx="2">
                  <c:v>0.155</c:v>
                </c:pt>
                <c:pt idx="3">
                  <c:v>4.1000000000000002E-2</c:v>
                </c:pt>
                <c:pt idx="4">
                  <c:v>7.6999999999999999E-2</c:v>
                </c:pt>
              </c:numCache>
            </c:numRef>
          </c:yVal>
          <c:smooth val="0"/>
        </c:ser>
        <c:ser>
          <c:idx val="0"/>
          <c:order val="1"/>
          <c:tx>
            <c:v>FD 1:3 Rc 0.2m</c:v>
          </c:tx>
          <c:spPr>
            <a:ln w="28575">
              <a:noFill/>
            </a:ln>
          </c:spPr>
          <c:xVal>
            <c:numRef>
              <c:f>FlowDike_1_3!$AX$42:$AX$47</c:f>
              <c:numCache>
                <c:formatCode>0.000</c:formatCode>
                <c:ptCount val="6"/>
                <c:pt idx="0">
                  <c:v>4.4627637914609865E-2</c:v>
                </c:pt>
                <c:pt idx="1">
                  <c:v>0</c:v>
                </c:pt>
                <c:pt idx="2">
                  <c:v>9.482120287204561E-2</c:v>
                </c:pt>
                <c:pt idx="3">
                  <c:v>2.9755175766711581E-2</c:v>
                </c:pt>
                <c:pt idx="4">
                  <c:v>0.19473658240352323</c:v>
                </c:pt>
                <c:pt idx="5">
                  <c:v>7.5122400695447719E-2</c:v>
                </c:pt>
              </c:numCache>
            </c:numRef>
          </c:xVal>
          <c:yVal>
            <c:numRef>
              <c:f>FlowDike_1_3!$AX$19:$AX$24</c:f>
              <c:numCache>
                <c:formatCode>0.000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0.13362333717398137</c:v>
                </c:pt>
                <c:pt idx="3">
                  <c:v>6.6055259198468066E-2</c:v>
                </c:pt>
                <c:pt idx="4">
                  <c:v>0.201165110810233</c:v>
                </c:pt>
                <c:pt idx="5">
                  <c:v>0.11868841195636776</c:v>
                </c:pt>
              </c:numCache>
            </c:numRef>
          </c:yVal>
          <c:smooth val="0"/>
        </c:ser>
        <c:ser>
          <c:idx val="2"/>
          <c:order val="2"/>
          <c:tx>
            <c:v>FD 1:3 Rc 0.1m</c:v>
          </c:tx>
          <c:spPr>
            <a:ln w="28575">
              <a:noFill/>
            </a:ln>
          </c:spPr>
          <c:xVal>
            <c:numRef>
              <c:f>FlowDike_1_3!$AZ$42:$AZ$47</c:f>
              <c:numCache>
                <c:formatCode>0.000</c:formatCode>
                <c:ptCount val="6"/>
                <c:pt idx="0">
                  <c:v>0.17310623699268909</c:v>
                </c:pt>
                <c:pt idx="1">
                  <c:v>5.7879462914251771E-2</c:v>
                </c:pt>
                <c:pt idx="2">
                  <c:v>0.32814088620224413</c:v>
                </c:pt>
                <c:pt idx="3">
                  <c:v>0.11906634797268498</c:v>
                </c:pt>
                <c:pt idx="4">
                  <c:v>0.54323266914877411</c:v>
                </c:pt>
                <c:pt idx="5">
                  <c:v>0.24933551459568309</c:v>
                </c:pt>
              </c:numCache>
            </c:numRef>
          </c:xVal>
          <c:yVal>
            <c:numRef>
              <c:f>FlowDike_1_3!$AZ$19:$AZ$24</c:f>
              <c:numCache>
                <c:formatCode>0.000</c:formatCode>
                <c:ptCount val="6"/>
                <c:pt idx="0">
                  <c:v>0.23954422306259526</c:v>
                </c:pt>
                <c:pt idx="1">
                  <c:v>0.25513528083830317</c:v>
                </c:pt>
                <c:pt idx="2">
                  <c:v>0.27418238619458496</c:v>
                </c:pt>
                <c:pt idx="3">
                  <c:v>0.20641896574126209</c:v>
                </c:pt>
                <c:pt idx="4">
                  <c:v>0.34893737755860299</c:v>
                </c:pt>
                <c:pt idx="5">
                  <c:v>0.24452413698253336</c:v>
                </c:pt>
              </c:numCache>
            </c:numRef>
          </c:yVal>
          <c:smooth val="0"/>
        </c:ser>
        <c:ser>
          <c:idx val="3"/>
          <c:order val="3"/>
          <c:tx>
            <c:v>FD 1:6 Rc 0.1m</c:v>
          </c:tx>
          <c:spPr>
            <a:ln w="28575">
              <a:noFill/>
            </a:ln>
          </c:spPr>
          <c:xVal>
            <c:numRef>
              <c:f>FlowDike_1_6!$BI$69:$BI$74</c:f>
              <c:numCache>
                <c:formatCode>0.000</c:formatCode>
                <c:ptCount val="6"/>
                <c:pt idx="0">
                  <c:v>3.6227748764577947E-2</c:v>
                </c:pt>
                <c:pt idx="1">
                  <c:v>0</c:v>
                </c:pt>
                <c:pt idx="2">
                  <c:v>7.6321898230738969E-2</c:v>
                </c:pt>
                <c:pt idx="3">
                  <c:v>2.1128451959920733E-2</c:v>
                </c:pt>
                <c:pt idx="4">
                  <c:v>0.16929906317065505</c:v>
                </c:pt>
                <c:pt idx="5">
                  <c:v>5.9630166778455791E-2</c:v>
                </c:pt>
              </c:numCache>
            </c:numRef>
          </c:xVal>
          <c:yVal>
            <c:numRef>
              <c:f>FlowDike_1_6!$BI$29:$BI$34</c:f>
              <c:numCache>
                <c:formatCode>General</c:formatCode>
                <c:ptCount val="6"/>
                <c:pt idx="0" formatCode="0.000">
                  <c:v>5.5709113001215074E-2</c:v>
                </c:pt>
                <c:pt idx="1">
                  <c:v>0</c:v>
                </c:pt>
                <c:pt idx="2" formatCode="0.000">
                  <c:v>0.11053725194674703</c:v>
                </c:pt>
                <c:pt idx="3" formatCode="0.000">
                  <c:v>5.8158334389510437E-2</c:v>
                </c:pt>
                <c:pt idx="4" formatCode="0.000">
                  <c:v>0.16622008324661808</c:v>
                </c:pt>
                <c:pt idx="5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v>FD 1:6 Rc 0.05m</c:v>
          </c:tx>
          <c:spPr>
            <a:ln w="28575">
              <a:noFill/>
            </a:ln>
          </c:spPr>
          <c:xVal>
            <c:numRef>
              <c:f>FlowDike_1_6!$BI$78:$BI$83</c:f>
              <c:numCache>
                <c:formatCode>0.000</c:formatCode>
                <c:ptCount val="6"/>
                <c:pt idx="0">
                  <c:v>0.4008263070297779</c:v>
                </c:pt>
                <c:pt idx="1">
                  <c:v>0.49622291333077051</c:v>
                </c:pt>
                <c:pt idx="2">
                  <c:v>0.4630540666361696</c:v>
                </c:pt>
                <c:pt idx="3">
                  <c:v>0.24916682642844679</c:v>
                </c:pt>
                <c:pt idx="4">
                  <c:v>0.58639594599227396</c:v>
                </c:pt>
                <c:pt idx="5">
                  <c:v>0.29475126075049324</c:v>
                </c:pt>
              </c:numCache>
            </c:numRef>
          </c:xVal>
          <c:yVal>
            <c:numRef>
              <c:f>FlowDike_1_6!$BI$38:$BI$43</c:f>
              <c:numCache>
                <c:formatCode>0.000</c:formatCode>
                <c:ptCount val="6"/>
                <c:pt idx="0">
                  <c:v>0.20645917262774946</c:v>
                </c:pt>
                <c:pt idx="1">
                  <c:v>0.16138806844381301</c:v>
                </c:pt>
                <c:pt idx="2">
                  <c:v>0.22380052364588449</c:v>
                </c:pt>
                <c:pt idx="3">
                  <c:v>0.18065239179954443</c:v>
                </c:pt>
                <c:pt idx="4">
                  <c:v>0.24368565589475027</c:v>
                </c:pt>
                <c:pt idx="5">
                  <c:v>0.17927489869908297</c:v>
                </c:pt>
              </c:numCache>
            </c:numRef>
          </c:yVal>
          <c:smooth val="0"/>
        </c:ser>
        <c:ser>
          <c:idx val="5"/>
          <c:order val="5"/>
          <c:spPr>
            <a:ln w="63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Schuttrumpf!$E$52:$E$53</c:f>
              <c:numCache>
                <c:formatCode>General</c:formatCode>
                <c:ptCount val="2"/>
                <c:pt idx="0">
                  <c:v>0</c:v>
                </c:pt>
                <c:pt idx="1">
                  <c:v>3</c:v>
                </c:pt>
              </c:numCache>
            </c:numRef>
          </c:xVal>
          <c:yVal>
            <c:numRef>
              <c:f>Schuttrumpf!$F$52:$F$53</c:f>
              <c:numCache>
                <c:formatCode>General</c:formatCode>
                <c:ptCount val="2"/>
                <c:pt idx="0">
                  <c:v>0</c:v>
                </c:pt>
                <c:pt idx="1">
                  <c:v>3</c:v>
                </c:pt>
              </c:numCache>
            </c:numRef>
          </c:yVal>
          <c:smooth val="0"/>
        </c:ser>
        <c:ser>
          <c:idx val="6"/>
          <c:order val="6"/>
          <c:spPr>
            <a:ln w="3175" cmpd="sng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Schuttrumpf!$D$64:$D$70</c:f>
              <c:numCache>
                <c:formatCode>General</c:formatCode>
                <c:ptCount val="7"/>
                <c:pt idx="0">
                  <c:v>0</c:v>
                </c:pt>
                <c:pt idx="1">
                  <c:v>0.1</c:v>
                </c:pt>
                <c:pt idx="2">
                  <c:v>0.30000000000000004</c:v>
                </c:pt>
                <c:pt idx="3">
                  <c:v>0.5</c:v>
                </c:pt>
                <c:pt idx="4">
                  <c:v>0.7</c:v>
                </c:pt>
                <c:pt idx="5">
                  <c:v>0.89999999999999991</c:v>
                </c:pt>
                <c:pt idx="6">
                  <c:v>1.0999999999999999</c:v>
                </c:pt>
              </c:numCache>
            </c:numRef>
          </c:xVal>
          <c:yVal>
            <c:numRef>
              <c:f>Schuttrumpf!$E$64:$E$70</c:f>
              <c:numCache>
                <c:formatCode>General</c:formatCode>
                <c:ptCount val="7"/>
                <c:pt idx="0">
                  <c:v>0</c:v>
                </c:pt>
                <c:pt idx="1">
                  <c:v>0.11148000000000001</c:v>
                </c:pt>
                <c:pt idx="2">
                  <c:v>0.33444000000000007</c:v>
                </c:pt>
                <c:pt idx="3">
                  <c:v>0.55740000000000001</c:v>
                </c:pt>
                <c:pt idx="4">
                  <c:v>0.78035999999999994</c:v>
                </c:pt>
                <c:pt idx="5">
                  <c:v>1.00332</c:v>
                </c:pt>
                <c:pt idx="6">
                  <c:v>1.2262799999999998</c:v>
                </c:pt>
              </c:numCache>
            </c:numRef>
          </c:yVal>
          <c:smooth val="0"/>
        </c:ser>
        <c:ser>
          <c:idx val="7"/>
          <c:order val="7"/>
          <c:spPr>
            <a:ln w="3175" cmpd="sng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Schuttrumpf!$D$64:$D$70</c:f>
              <c:numCache>
                <c:formatCode>General</c:formatCode>
                <c:ptCount val="7"/>
                <c:pt idx="0">
                  <c:v>0</c:v>
                </c:pt>
                <c:pt idx="1">
                  <c:v>0.1</c:v>
                </c:pt>
                <c:pt idx="2">
                  <c:v>0.30000000000000004</c:v>
                </c:pt>
                <c:pt idx="3">
                  <c:v>0.5</c:v>
                </c:pt>
                <c:pt idx="4">
                  <c:v>0.7</c:v>
                </c:pt>
                <c:pt idx="5">
                  <c:v>0.89999999999999991</c:v>
                </c:pt>
                <c:pt idx="6">
                  <c:v>1.0999999999999999</c:v>
                </c:pt>
              </c:numCache>
            </c:numRef>
          </c:xVal>
          <c:yVal>
            <c:numRef>
              <c:f>Schuttrumpf!$F$64:$F$70</c:f>
              <c:numCache>
                <c:formatCode>General</c:formatCode>
                <c:ptCount val="7"/>
                <c:pt idx="0">
                  <c:v>0</c:v>
                </c:pt>
                <c:pt idx="1">
                  <c:v>8.8520000000000001E-2</c:v>
                </c:pt>
                <c:pt idx="2">
                  <c:v>0.26556000000000002</c:v>
                </c:pt>
                <c:pt idx="3">
                  <c:v>0.44259999999999999</c:v>
                </c:pt>
                <c:pt idx="4">
                  <c:v>0.61963999999999997</c:v>
                </c:pt>
                <c:pt idx="5">
                  <c:v>0.79667999999999994</c:v>
                </c:pt>
                <c:pt idx="6">
                  <c:v>0.97371999999999992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042944"/>
        <c:axId val="89044864"/>
      </c:scatterChart>
      <c:valAx>
        <c:axId val="89042944"/>
        <c:scaling>
          <c:orientation val="minMax"/>
          <c:max val="1"/>
        </c:scaling>
        <c:delete val="0"/>
        <c:axPos val="b"/>
        <c:title>
          <c:tx>
            <c:rich>
              <a:bodyPr/>
              <a:lstStyle/>
              <a:p>
                <a:pPr>
                  <a:defRPr b="0"/>
                </a:pPr>
                <a:r>
                  <a:rPr lang="nl-NL" b="0"/>
                  <a:t>h</a:t>
                </a:r>
                <a:r>
                  <a:rPr lang="nl-NL" b="0" baseline="-25000"/>
                  <a:t>B, 2%</a:t>
                </a:r>
                <a:r>
                  <a:rPr lang="nl-NL" b="0"/>
                  <a:t>/H</a:t>
                </a:r>
                <a:r>
                  <a:rPr lang="nl-NL" b="0" baseline="-25000"/>
                  <a:t>m0</a:t>
                </a:r>
                <a:r>
                  <a:rPr lang="nl-NL" b="0"/>
                  <a:t> com.</a:t>
                </a:r>
              </a:p>
            </c:rich>
          </c:tx>
          <c:overlay val="0"/>
        </c:title>
        <c:numFmt formatCode="0.0" sourceLinked="0"/>
        <c:majorTickMark val="none"/>
        <c:minorTickMark val="none"/>
        <c:tickLblPos val="nextTo"/>
        <c:crossAx val="89044864"/>
        <c:crosses val="autoZero"/>
        <c:crossBetween val="midCat"/>
      </c:valAx>
      <c:valAx>
        <c:axId val="89044864"/>
        <c:scaling>
          <c:orientation val="minMax"/>
          <c:max val="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b="0"/>
                </a:pPr>
                <a:r>
                  <a:rPr lang="nl-NL" b="0"/>
                  <a:t>h</a:t>
                </a:r>
                <a:r>
                  <a:rPr lang="nl-NL" b="0" baseline="-25000"/>
                  <a:t>B, 2%</a:t>
                </a:r>
                <a:r>
                  <a:rPr lang="nl-NL" b="0"/>
                  <a:t>/H</a:t>
                </a:r>
                <a:r>
                  <a:rPr lang="nl-NL" b="0" baseline="-25000"/>
                  <a:t>m0</a:t>
                </a:r>
                <a:r>
                  <a:rPr lang="nl-NL" b="0"/>
                  <a:t> mea.</a:t>
                </a:r>
              </a:p>
            </c:rich>
          </c:tx>
          <c:overlay val="0"/>
        </c:title>
        <c:numFmt formatCode="0.0" sourceLinked="0"/>
        <c:majorTickMark val="none"/>
        <c:minorTickMark val="none"/>
        <c:tickLblPos val="nextTo"/>
        <c:crossAx val="89042944"/>
        <c:crosses val="autoZero"/>
        <c:crossBetween val="midCat"/>
        <c:majorUnit val="0.2"/>
      </c:valAx>
    </c:plotArea>
    <c:legend>
      <c:legendPos val="r"/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overlay val="0"/>
      <c:spPr>
        <a:solidFill>
          <a:schemeClr val="bg1"/>
        </a:solidFill>
      </c:spPr>
    </c:legend>
    <c:plotVisOnly val="1"/>
    <c:dispBlanksAs val="gap"/>
    <c:showDLblsOverMax val="0"/>
  </c:chart>
  <c:txPr>
    <a:bodyPr/>
    <a:lstStyle/>
    <a:p>
      <a:pPr>
        <a:defRPr sz="1200">
          <a:latin typeface="Arial" panose="020B0604020202020204" pitchFamily="34" charset="0"/>
          <a:cs typeface="Arial" panose="020B06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/>
            </a:pPr>
            <a:r>
              <a:rPr lang="en-US" sz="1400" b="0"/>
              <a:t>velocity - landward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Schuttrumpf 1:6</c:v>
          </c:tx>
          <c:spPr>
            <a:ln w="28575">
              <a:noFill/>
            </a:ln>
          </c:spPr>
          <c:xVal>
            <c:numRef>
              <c:f>Schuttrumpf!$U$38:$U$42</c:f>
              <c:numCache>
                <c:formatCode>0.000</c:formatCode>
                <c:ptCount val="5"/>
                <c:pt idx="0">
                  <c:v>1.5795123543843843</c:v>
                </c:pt>
                <c:pt idx="1">
                  <c:v>0.35733390773716983</c:v>
                </c:pt>
                <c:pt idx="2">
                  <c:v>0.38252109749697455</c:v>
                </c:pt>
                <c:pt idx="3">
                  <c:v>0.12866518528686771</c:v>
                </c:pt>
                <c:pt idx="4">
                  <c:v>0.43151784761669232</c:v>
                </c:pt>
              </c:numCache>
            </c:numRef>
          </c:xVal>
          <c:yVal>
            <c:numRef>
              <c:f>Schuttrumpf!$U$30:$U$34</c:f>
              <c:numCache>
                <c:formatCode>0.000</c:formatCode>
                <c:ptCount val="5"/>
                <c:pt idx="0">
                  <c:v>0.9</c:v>
                </c:pt>
                <c:pt idx="1">
                  <c:v>0.93200000000000005</c:v>
                </c:pt>
                <c:pt idx="2">
                  <c:v>0.38500000000000001</c:v>
                </c:pt>
                <c:pt idx="3">
                  <c:v>0.56299999999999994</c:v>
                </c:pt>
                <c:pt idx="4">
                  <c:v>0.78600000000000003</c:v>
                </c:pt>
              </c:numCache>
            </c:numRef>
          </c:yVal>
          <c:smooth val="0"/>
        </c:ser>
        <c:ser>
          <c:idx val="0"/>
          <c:order val="1"/>
          <c:tx>
            <c:v>FD 1:3 Rc 0.2m</c:v>
          </c:tx>
          <c:spPr>
            <a:ln w="28575">
              <a:noFill/>
            </a:ln>
          </c:spPr>
          <c:xVal>
            <c:numRef>
              <c:f>FlowDike_1_3!$AS$42:$AS$47</c:f>
              <c:numCache>
                <c:formatCode>0.000</c:formatCode>
                <c:ptCount val="6"/>
                <c:pt idx="0">
                  <c:v>0.2464616128420842</c:v>
                </c:pt>
                <c:pt idx="1">
                  <c:v>0</c:v>
                </c:pt>
                <c:pt idx="2">
                  <c:v>0.58209741218509004</c:v>
                </c:pt>
                <c:pt idx="3">
                  <c:v>0.17512337496394575</c:v>
                </c:pt>
                <c:pt idx="4">
                  <c:v>1.0113621007907327</c:v>
                </c:pt>
                <c:pt idx="5">
                  <c:v>0.46591271720900695</c:v>
                </c:pt>
              </c:numCache>
            </c:numRef>
          </c:xVal>
          <c:yVal>
            <c:numRef>
              <c:f>FlowDike_1_3!$AS$19:$AS$24</c:f>
              <c:numCache>
                <c:formatCode>0.000</c:formatCode>
                <c:ptCount val="6"/>
                <c:pt idx="0">
                  <c:v>0</c:v>
                </c:pt>
                <c:pt idx="1">
                  <c:v>1.0713778519661183</c:v>
                </c:pt>
                <c:pt idx="2">
                  <c:v>0.63019519389870082</c:v>
                </c:pt>
                <c:pt idx="3">
                  <c:v>0.22660691749569423</c:v>
                </c:pt>
                <c:pt idx="4">
                  <c:v>1.0197550771846704</c:v>
                </c:pt>
                <c:pt idx="5">
                  <c:v>0.79766366768490216</c:v>
                </c:pt>
              </c:numCache>
            </c:numRef>
          </c:yVal>
          <c:smooth val="0"/>
        </c:ser>
        <c:ser>
          <c:idx val="2"/>
          <c:order val="2"/>
          <c:tx>
            <c:v>FD 1:3 Rc 0.1m</c:v>
          </c:tx>
          <c:spPr>
            <a:ln w="28575">
              <a:noFill/>
            </a:ln>
          </c:spPr>
          <c:xVal>
            <c:numRef>
              <c:f>FlowDike_1_3!$AU$42:$AU$47</c:f>
              <c:numCache>
                <c:formatCode>0.000</c:formatCode>
                <c:ptCount val="6"/>
                <c:pt idx="0">
                  <c:v>0.93461161815322435</c:v>
                </c:pt>
                <c:pt idx="1">
                  <c:v>0.38761831755041942</c:v>
                </c:pt>
                <c:pt idx="2">
                  <c:v>1.4346482110424741</c:v>
                </c:pt>
                <c:pt idx="3">
                  <c:v>0.65334953567457754</c:v>
                </c:pt>
                <c:pt idx="4">
                  <c:v>1.958273750644999</c:v>
                </c:pt>
                <c:pt idx="5">
                  <c:v>1.0848444559324697</c:v>
                </c:pt>
              </c:numCache>
            </c:numRef>
          </c:xVal>
          <c:yVal>
            <c:numRef>
              <c:f>FlowDike_1_3!$AU$19:$AU$24</c:f>
              <c:numCache>
                <c:formatCode>0.000</c:formatCode>
                <c:ptCount val="6"/>
                <c:pt idx="0">
                  <c:v>1.5515778747315618</c:v>
                </c:pt>
                <c:pt idx="1">
                  <c:v>0</c:v>
                </c:pt>
                <c:pt idx="2">
                  <c:v>1.5775721651472325</c:v>
                </c:pt>
                <c:pt idx="3">
                  <c:v>1.5745321324204207</c:v>
                </c:pt>
                <c:pt idx="4">
                  <c:v>1.7042610053037079</c:v>
                </c:pt>
                <c:pt idx="5">
                  <c:v>1.6684950297977932</c:v>
                </c:pt>
              </c:numCache>
            </c:numRef>
          </c:yVal>
          <c:smooth val="0"/>
        </c:ser>
        <c:ser>
          <c:idx val="3"/>
          <c:order val="3"/>
          <c:tx>
            <c:v>FD 1:6 Rc 0.1m</c:v>
          </c:tx>
          <c:spPr>
            <a:ln w="28575">
              <a:noFill/>
            </a:ln>
          </c:spPr>
          <c:xVal>
            <c:numRef>
              <c:f>FlowDike_1_6!$BB$69:$BB$74</c:f>
              <c:numCache>
                <c:formatCode>0.000</c:formatCode>
                <c:ptCount val="6"/>
                <c:pt idx="0">
                  <c:v>0.33705091669536924</c:v>
                </c:pt>
                <c:pt idx="1">
                  <c:v>0</c:v>
                </c:pt>
                <c:pt idx="2">
                  <c:v>0.77142521600986413</c:v>
                </c:pt>
                <c:pt idx="3">
                  <c:v>0.22329424665366968</c:v>
                </c:pt>
                <c:pt idx="4">
                  <c:v>1.3333223940448189</c:v>
                </c:pt>
                <c:pt idx="5">
                  <c:v>0.61297977572091655</c:v>
                </c:pt>
              </c:numCache>
            </c:numRef>
          </c:xVal>
          <c:yVal>
            <c:numRef>
              <c:f>FlowDike_1_6!$BB$29:$BB$34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 formatCode="0.000">
                  <c:v>0.55625910212709373</c:v>
                </c:pt>
                <c:pt idx="3" formatCode="0.000">
                  <c:v>0.13602910050090164</c:v>
                </c:pt>
                <c:pt idx="4" formatCode="0.000">
                  <c:v>1.1213898663465687</c:v>
                </c:pt>
                <c:pt idx="5" formatCode="0.000">
                  <c:v>0.59766076306797433</c:v>
                </c:pt>
              </c:numCache>
            </c:numRef>
          </c:yVal>
          <c:smooth val="0"/>
        </c:ser>
        <c:ser>
          <c:idx val="4"/>
          <c:order val="4"/>
          <c:tx>
            <c:v>FD 1:6 Rc 0.05m</c:v>
          </c:tx>
          <c:spPr>
            <a:ln w="28575">
              <a:noFill/>
            </a:ln>
          </c:spPr>
          <c:xVal>
            <c:numRef>
              <c:f>FlowDike_1_6!$BB$78:$BB$83</c:f>
              <c:numCache>
                <c:formatCode>0.000</c:formatCode>
                <c:ptCount val="6"/>
                <c:pt idx="0">
                  <c:v>1.612488469446506</c:v>
                </c:pt>
                <c:pt idx="1">
                  <c:v>0.6725041801916708</c:v>
                </c:pt>
                <c:pt idx="2">
                  <c:v>2.0553644858288203</c:v>
                </c:pt>
                <c:pt idx="3">
                  <c:v>1.0249394275043988</c:v>
                </c:pt>
                <c:pt idx="4">
                  <c:v>2.4444823519257359</c:v>
                </c:pt>
                <c:pt idx="5">
                  <c:v>1.3454088255574201</c:v>
                </c:pt>
              </c:numCache>
            </c:numRef>
          </c:xVal>
          <c:yVal>
            <c:numRef>
              <c:f>FlowDike_1_6!$BB$38:$BB$43</c:f>
              <c:numCache>
                <c:formatCode>0.000</c:formatCode>
                <c:ptCount val="6"/>
                <c:pt idx="0">
                  <c:v>0.89065336744894974</c:v>
                </c:pt>
                <c:pt idx="1">
                  <c:v>0.56653518792094271</c:v>
                </c:pt>
                <c:pt idx="2">
                  <c:v>1.1133227851941281</c:v>
                </c:pt>
                <c:pt idx="3">
                  <c:v>0.83130134083318186</c:v>
                </c:pt>
                <c:pt idx="4">
                  <c:v>1.3017726177955367</c:v>
                </c:pt>
                <c:pt idx="5">
                  <c:v>0.95968433135289255</c:v>
                </c:pt>
              </c:numCache>
            </c:numRef>
          </c:yVal>
          <c:smooth val="0"/>
        </c:ser>
        <c:ser>
          <c:idx val="5"/>
          <c:order val="5"/>
          <c:spPr>
            <a:ln w="63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Schuttrumpf!$E$52:$E$53</c:f>
              <c:numCache>
                <c:formatCode>General</c:formatCode>
                <c:ptCount val="2"/>
                <c:pt idx="0">
                  <c:v>0</c:v>
                </c:pt>
                <c:pt idx="1">
                  <c:v>3</c:v>
                </c:pt>
              </c:numCache>
            </c:numRef>
          </c:xVal>
          <c:yVal>
            <c:numRef>
              <c:f>Schuttrumpf!$F$52:$F$53</c:f>
              <c:numCache>
                <c:formatCode>General</c:formatCode>
                <c:ptCount val="2"/>
                <c:pt idx="0">
                  <c:v>0</c:v>
                </c:pt>
                <c:pt idx="1">
                  <c:v>3</c:v>
                </c:pt>
              </c:numCache>
            </c:numRef>
          </c:yVal>
          <c:smooth val="0"/>
        </c:ser>
        <c:ser>
          <c:idx val="6"/>
          <c:order val="6"/>
          <c:spPr>
            <a:ln w="3175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Schuttrumpf!$D$64:$D$80</c:f>
              <c:numCache>
                <c:formatCode>General</c:formatCode>
                <c:ptCount val="17"/>
                <c:pt idx="0">
                  <c:v>0</c:v>
                </c:pt>
                <c:pt idx="1">
                  <c:v>0.1</c:v>
                </c:pt>
                <c:pt idx="2">
                  <c:v>0.30000000000000004</c:v>
                </c:pt>
                <c:pt idx="3">
                  <c:v>0.5</c:v>
                </c:pt>
                <c:pt idx="4">
                  <c:v>0.7</c:v>
                </c:pt>
                <c:pt idx="5">
                  <c:v>0.89999999999999991</c:v>
                </c:pt>
                <c:pt idx="6">
                  <c:v>1.0999999999999999</c:v>
                </c:pt>
                <c:pt idx="7">
                  <c:v>1.2999999999999998</c:v>
                </c:pt>
                <c:pt idx="8">
                  <c:v>1.4999999999999998</c:v>
                </c:pt>
                <c:pt idx="9">
                  <c:v>1.6999999999999997</c:v>
                </c:pt>
                <c:pt idx="10">
                  <c:v>1.8999999999999997</c:v>
                </c:pt>
                <c:pt idx="11">
                  <c:v>2.0999999999999996</c:v>
                </c:pt>
                <c:pt idx="12">
                  <c:v>2.2999999999999998</c:v>
                </c:pt>
                <c:pt idx="13">
                  <c:v>2.5</c:v>
                </c:pt>
                <c:pt idx="14">
                  <c:v>2.7</c:v>
                </c:pt>
                <c:pt idx="15">
                  <c:v>2.9000000000000004</c:v>
                </c:pt>
                <c:pt idx="16">
                  <c:v>3.1000000000000005</c:v>
                </c:pt>
              </c:numCache>
            </c:numRef>
          </c:xVal>
          <c:yVal>
            <c:numRef>
              <c:f>Schuttrumpf!$E$64:$E$80</c:f>
              <c:numCache>
                <c:formatCode>General</c:formatCode>
                <c:ptCount val="17"/>
                <c:pt idx="0">
                  <c:v>0</c:v>
                </c:pt>
                <c:pt idx="1">
                  <c:v>0.11148000000000001</c:v>
                </c:pt>
                <c:pt idx="2">
                  <c:v>0.33444000000000007</c:v>
                </c:pt>
                <c:pt idx="3">
                  <c:v>0.55740000000000001</c:v>
                </c:pt>
                <c:pt idx="4">
                  <c:v>0.78035999999999994</c:v>
                </c:pt>
                <c:pt idx="5">
                  <c:v>1.00332</c:v>
                </c:pt>
                <c:pt idx="6">
                  <c:v>1.2262799999999998</c:v>
                </c:pt>
                <c:pt idx="7">
                  <c:v>1.4492399999999999</c:v>
                </c:pt>
                <c:pt idx="8">
                  <c:v>1.6721999999999997</c:v>
                </c:pt>
                <c:pt idx="9">
                  <c:v>1.8951599999999997</c:v>
                </c:pt>
                <c:pt idx="10">
                  <c:v>2.1181199999999998</c:v>
                </c:pt>
                <c:pt idx="11">
                  <c:v>2.3410799999999998</c:v>
                </c:pt>
                <c:pt idx="12">
                  <c:v>2.5640399999999999</c:v>
                </c:pt>
                <c:pt idx="13">
                  <c:v>2.7869999999999999</c:v>
                </c:pt>
                <c:pt idx="14">
                  <c:v>3.0099600000000004</c:v>
                </c:pt>
                <c:pt idx="15">
                  <c:v>3.2329200000000005</c:v>
                </c:pt>
                <c:pt idx="16">
                  <c:v>3.4558800000000005</c:v>
                </c:pt>
              </c:numCache>
            </c:numRef>
          </c:yVal>
          <c:smooth val="0"/>
        </c:ser>
        <c:ser>
          <c:idx val="7"/>
          <c:order val="7"/>
          <c:spPr>
            <a:ln w="3175" cmpd="sng"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Schuttrumpf!$D$64:$D$80</c:f>
              <c:numCache>
                <c:formatCode>General</c:formatCode>
                <c:ptCount val="17"/>
                <c:pt idx="0">
                  <c:v>0</c:v>
                </c:pt>
                <c:pt idx="1">
                  <c:v>0.1</c:v>
                </c:pt>
                <c:pt idx="2">
                  <c:v>0.30000000000000004</c:v>
                </c:pt>
                <c:pt idx="3">
                  <c:v>0.5</c:v>
                </c:pt>
                <c:pt idx="4">
                  <c:v>0.7</c:v>
                </c:pt>
                <c:pt idx="5">
                  <c:v>0.89999999999999991</c:v>
                </c:pt>
                <c:pt idx="6">
                  <c:v>1.0999999999999999</c:v>
                </c:pt>
                <c:pt idx="7">
                  <c:v>1.2999999999999998</c:v>
                </c:pt>
                <c:pt idx="8">
                  <c:v>1.4999999999999998</c:v>
                </c:pt>
                <c:pt idx="9">
                  <c:v>1.6999999999999997</c:v>
                </c:pt>
                <c:pt idx="10">
                  <c:v>1.8999999999999997</c:v>
                </c:pt>
                <c:pt idx="11">
                  <c:v>2.0999999999999996</c:v>
                </c:pt>
                <c:pt idx="12">
                  <c:v>2.2999999999999998</c:v>
                </c:pt>
                <c:pt idx="13">
                  <c:v>2.5</c:v>
                </c:pt>
                <c:pt idx="14">
                  <c:v>2.7</c:v>
                </c:pt>
                <c:pt idx="15">
                  <c:v>2.9000000000000004</c:v>
                </c:pt>
                <c:pt idx="16">
                  <c:v>3.1000000000000005</c:v>
                </c:pt>
              </c:numCache>
            </c:numRef>
          </c:xVal>
          <c:yVal>
            <c:numRef>
              <c:f>Schuttrumpf!$F$64:$F$80</c:f>
              <c:numCache>
                <c:formatCode>General</c:formatCode>
                <c:ptCount val="17"/>
                <c:pt idx="0">
                  <c:v>0</c:v>
                </c:pt>
                <c:pt idx="1">
                  <c:v>8.8520000000000001E-2</c:v>
                </c:pt>
                <c:pt idx="2">
                  <c:v>0.26556000000000002</c:v>
                </c:pt>
                <c:pt idx="3">
                  <c:v>0.44259999999999999</c:v>
                </c:pt>
                <c:pt idx="4">
                  <c:v>0.61963999999999997</c:v>
                </c:pt>
                <c:pt idx="5">
                  <c:v>0.79667999999999994</c:v>
                </c:pt>
                <c:pt idx="6">
                  <c:v>0.97371999999999992</c:v>
                </c:pt>
                <c:pt idx="7">
                  <c:v>1.1507599999999998</c:v>
                </c:pt>
                <c:pt idx="8">
                  <c:v>1.3277999999999999</c:v>
                </c:pt>
                <c:pt idx="9">
                  <c:v>1.5048399999999997</c:v>
                </c:pt>
                <c:pt idx="10">
                  <c:v>1.6818799999999996</c:v>
                </c:pt>
                <c:pt idx="11">
                  <c:v>1.8589199999999997</c:v>
                </c:pt>
                <c:pt idx="12">
                  <c:v>2.0359599999999998</c:v>
                </c:pt>
                <c:pt idx="13">
                  <c:v>2.2130000000000001</c:v>
                </c:pt>
                <c:pt idx="14">
                  <c:v>2.3900399999999999</c:v>
                </c:pt>
                <c:pt idx="15">
                  <c:v>2.5670800000000003</c:v>
                </c:pt>
                <c:pt idx="16">
                  <c:v>2.7441200000000006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105536"/>
        <c:axId val="89107456"/>
      </c:scatterChart>
      <c:valAx>
        <c:axId val="89105536"/>
        <c:scaling>
          <c:orientation val="minMax"/>
          <c:max val="3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nl-NL" sz="1200" b="0" i="0" baseline="0">
                    <a:effectLst/>
                  </a:rPr>
                  <a:t>u</a:t>
                </a:r>
                <a:r>
                  <a:rPr lang="nl-NL" sz="1200" b="0" i="0" baseline="-25000">
                    <a:effectLst/>
                  </a:rPr>
                  <a:t>B, 2%</a:t>
                </a:r>
                <a:r>
                  <a:rPr lang="nl-NL" sz="1200" b="0" i="0" baseline="0">
                    <a:effectLst/>
                  </a:rPr>
                  <a:t>/(gH</a:t>
                </a:r>
                <a:r>
                  <a:rPr lang="nl-NL" sz="1200" b="0" i="0" baseline="-25000">
                    <a:effectLst/>
                  </a:rPr>
                  <a:t>m0</a:t>
                </a:r>
                <a:r>
                  <a:rPr lang="nl-NL" sz="1200" b="0" i="0" baseline="0">
                    <a:effectLst/>
                  </a:rPr>
                  <a:t>)</a:t>
                </a:r>
                <a:r>
                  <a:rPr lang="nl-NL" sz="1200" b="0" i="0" baseline="30000">
                    <a:effectLst/>
                  </a:rPr>
                  <a:t>0.5</a:t>
                </a:r>
                <a:r>
                  <a:rPr lang="nl-NL" sz="1200" b="0" i="0" baseline="0">
                    <a:effectLst/>
                  </a:rPr>
                  <a:t> com.</a:t>
                </a:r>
                <a:endParaRPr lang="nl-NL" sz="1200">
                  <a:effectLst/>
                </a:endParaRPr>
              </a:p>
            </c:rich>
          </c:tx>
          <c:overlay val="0"/>
        </c:title>
        <c:numFmt formatCode="0.0" sourceLinked="0"/>
        <c:majorTickMark val="none"/>
        <c:minorTickMark val="none"/>
        <c:tickLblPos val="nextTo"/>
        <c:crossAx val="89107456"/>
        <c:crosses val="autoZero"/>
        <c:crossBetween val="midCat"/>
        <c:majorUnit val="0.5"/>
      </c:valAx>
      <c:valAx>
        <c:axId val="89107456"/>
        <c:scaling>
          <c:orientation val="minMax"/>
          <c:max val="3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nl-NL" sz="1200" b="0" i="0" baseline="0">
                    <a:effectLst/>
                  </a:rPr>
                  <a:t>u</a:t>
                </a:r>
                <a:r>
                  <a:rPr lang="nl-NL" sz="1200" b="0" i="0" baseline="-25000">
                    <a:effectLst/>
                  </a:rPr>
                  <a:t>B, 2%</a:t>
                </a:r>
                <a:r>
                  <a:rPr lang="nl-NL" sz="1200" b="0" i="0" baseline="0">
                    <a:effectLst/>
                  </a:rPr>
                  <a:t>/(gH</a:t>
                </a:r>
                <a:r>
                  <a:rPr lang="nl-NL" sz="1200" b="0" i="0" baseline="-25000">
                    <a:effectLst/>
                  </a:rPr>
                  <a:t>m0</a:t>
                </a:r>
                <a:r>
                  <a:rPr lang="nl-NL" sz="1200" b="0" i="0" baseline="0">
                    <a:effectLst/>
                  </a:rPr>
                  <a:t>)</a:t>
                </a:r>
                <a:r>
                  <a:rPr lang="nl-NL" sz="1200" b="0" i="0" baseline="30000">
                    <a:effectLst/>
                  </a:rPr>
                  <a:t>0.5</a:t>
                </a:r>
                <a:r>
                  <a:rPr lang="nl-NL" sz="1200" b="0" i="0" baseline="0">
                    <a:effectLst/>
                  </a:rPr>
                  <a:t> mea.</a:t>
                </a:r>
                <a:endParaRPr lang="nl-NL" sz="1200">
                  <a:effectLst/>
                </a:endParaRPr>
              </a:p>
            </c:rich>
          </c:tx>
          <c:overlay val="0"/>
        </c:title>
        <c:numFmt formatCode="0.0" sourceLinked="0"/>
        <c:majorTickMark val="none"/>
        <c:minorTickMark val="none"/>
        <c:tickLblPos val="nextTo"/>
        <c:crossAx val="89105536"/>
        <c:crosses val="autoZero"/>
        <c:crossBetween val="midCat"/>
        <c:majorUnit val="0.5"/>
      </c:valAx>
    </c:plotArea>
    <c:legend>
      <c:legendPos val="r"/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overlay val="0"/>
      <c:spPr>
        <a:solidFill>
          <a:schemeClr val="bg1"/>
        </a:solidFill>
      </c:spPr>
    </c:legend>
    <c:plotVisOnly val="1"/>
    <c:dispBlanksAs val="gap"/>
    <c:showDLblsOverMax val="0"/>
  </c:chart>
  <c:txPr>
    <a:bodyPr/>
    <a:lstStyle/>
    <a:p>
      <a:pPr>
        <a:defRPr sz="1200">
          <a:latin typeface="Arial" panose="020B0604020202020204" pitchFamily="34" charset="0"/>
          <a:cs typeface="Arial" panose="020B06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nl-NL" sz="1200"/>
              <a:t>Friction effect on </a:t>
            </a:r>
            <a:r>
              <a:rPr lang="nl-NL" sz="1200">
                <a:latin typeface="Symbol" pitchFamily="18" charset="2"/>
              </a:rPr>
              <a:t>D</a:t>
            </a:r>
            <a:r>
              <a:rPr lang="nl-NL" sz="1200"/>
              <a:t>h and </a:t>
            </a:r>
            <a:r>
              <a:rPr lang="nl-NL" sz="1200">
                <a:latin typeface="Symbol" pitchFamily="18" charset="2"/>
              </a:rPr>
              <a:t>D</a:t>
            </a:r>
            <a:r>
              <a:rPr lang="nl-NL" sz="1200"/>
              <a:t>u 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3"/>
          <c:order val="0"/>
          <c:tx>
            <c:v>P2</c:v>
          </c:tx>
          <c:spPr>
            <a:ln w="28575">
              <a:noFill/>
            </a:ln>
          </c:spPr>
          <c:marker>
            <c:symbol val="circ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vG_landward!$AK$113:$AK$128</c:f>
              <c:numCache>
                <c:formatCode>General</c:formatCode>
                <c:ptCount val="16"/>
                <c:pt idx="2">
                  <c:v>-0.37288135593220334</c:v>
                </c:pt>
                <c:pt idx="4">
                  <c:v>-0.27777777777777773</c:v>
                </c:pt>
                <c:pt idx="5">
                  <c:v>-0.35164835164835173</c:v>
                </c:pt>
                <c:pt idx="7">
                  <c:v>-0.29729729729729731</c:v>
                </c:pt>
                <c:pt idx="9">
                  <c:v>-0.21495327102803746</c:v>
                </c:pt>
                <c:pt idx="10">
                  <c:v>-0.3243243243243244</c:v>
                </c:pt>
                <c:pt idx="11">
                  <c:v>-0.39047619047619048</c:v>
                </c:pt>
              </c:numCache>
            </c:numRef>
          </c:xVal>
          <c:yVal>
            <c:numRef>
              <c:f>vG_landward!$AJ$113:$AJ$128</c:f>
              <c:numCache>
                <c:formatCode>General</c:formatCode>
                <c:ptCount val="16"/>
                <c:pt idx="0">
                  <c:v>-0.15094339622641506</c:v>
                </c:pt>
                <c:pt idx="2">
                  <c:v>0.3043478260869566</c:v>
                </c:pt>
                <c:pt idx="4">
                  <c:v>0.24615384615384611</c:v>
                </c:pt>
                <c:pt idx="5">
                  <c:v>-3.7499999999999978E-2</c:v>
                </c:pt>
                <c:pt idx="7">
                  <c:v>0.25714285714285706</c:v>
                </c:pt>
                <c:pt idx="8">
                  <c:v>-5.8823529411764629E-2</c:v>
                </c:pt>
                <c:pt idx="9">
                  <c:v>0.21093749999999994</c:v>
                </c:pt>
                <c:pt idx="10">
                  <c:v>0.17647058823529421</c:v>
                </c:pt>
                <c:pt idx="11">
                  <c:v>0.13483146067415722</c:v>
                </c:pt>
                <c:pt idx="12">
                  <c:v>-1.2658227848101333E-2</c:v>
                </c:pt>
                <c:pt idx="13">
                  <c:v>1.4925373134328304E-2</c:v>
                </c:pt>
                <c:pt idx="14">
                  <c:v>-0.33333333333333337</c:v>
                </c:pt>
                <c:pt idx="15">
                  <c:v>-0.28846153846153844</c:v>
                </c:pt>
              </c:numCache>
            </c:numRef>
          </c:yVal>
          <c:smooth val="0"/>
        </c:ser>
        <c:ser>
          <c:idx val="0"/>
          <c:order val="1"/>
          <c:tx>
            <c:v>P3</c:v>
          </c:tx>
          <c:spPr>
            <a:ln w="28575">
              <a:noFill/>
            </a:ln>
          </c:spPr>
          <c:marker>
            <c:symbol val="diamond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vG_landward!$AM$113:$AM$128</c:f>
              <c:numCache>
                <c:formatCode>General</c:formatCode>
                <c:ptCount val="16"/>
                <c:pt idx="2">
                  <c:v>-0.46354166666666663</c:v>
                </c:pt>
                <c:pt idx="4">
                  <c:v>-0.3232323232323232</c:v>
                </c:pt>
                <c:pt idx="5">
                  <c:v>-0.60919540229885061</c:v>
                </c:pt>
                <c:pt idx="7">
                  <c:v>-0.40217391304347822</c:v>
                </c:pt>
                <c:pt idx="9">
                  <c:v>-0.35978835978835977</c:v>
                </c:pt>
                <c:pt idx="10">
                  <c:v>-0.43010752688172044</c:v>
                </c:pt>
                <c:pt idx="11">
                  <c:v>-0.5027932960893855</c:v>
                </c:pt>
                <c:pt idx="12">
                  <c:v>-0.58720930232558144</c:v>
                </c:pt>
              </c:numCache>
            </c:numRef>
          </c:xVal>
          <c:yVal>
            <c:numRef>
              <c:f>vG_landward!$AL$113:$AL$128</c:f>
              <c:numCache>
                <c:formatCode>General</c:formatCode>
                <c:ptCount val="16"/>
                <c:pt idx="0">
                  <c:v>7.1428571428571494E-2</c:v>
                </c:pt>
                <c:pt idx="2">
                  <c:v>0.20634920634920634</c:v>
                </c:pt>
                <c:pt idx="4">
                  <c:v>-9.9009900990098664E-3</c:v>
                </c:pt>
                <c:pt idx="5">
                  <c:v>8.5106382978723291E-2</c:v>
                </c:pt>
                <c:pt idx="7">
                  <c:v>0.15492957746478869</c:v>
                </c:pt>
                <c:pt idx="8">
                  <c:v>5.2631578947368474E-2</c:v>
                </c:pt>
                <c:pt idx="9">
                  <c:v>0.11904761904761904</c:v>
                </c:pt>
                <c:pt idx="10">
                  <c:v>0.12307692307692306</c:v>
                </c:pt>
                <c:pt idx="11">
                  <c:v>0.12068965517241383</c:v>
                </c:pt>
                <c:pt idx="12">
                  <c:v>8.1632653061224372E-2</c:v>
                </c:pt>
                <c:pt idx="14">
                  <c:v>-7.1428571428571341E-2</c:v>
                </c:pt>
              </c:numCache>
            </c:numRef>
          </c:yVal>
          <c:smooth val="0"/>
        </c:ser>
        <c:ser>
          <c:idx val="1"/>
          <c:order val="2"/>
          <c:tx>
            <c:v>P4</c:v>
          </c:tx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vG_landward!$AO$113:$AO$128</c:f>
              <c:numCache>
                <c:formatCode>General</c:formatCode>
                <c:ptCount val="16"/>
                <c:pt idx="2">
                  <c:v>-0.53023255813953485</c:v>
                </c:pt>
                <c:pt idx="4">
                  <c:v>-0.35909090909090918</c:v>
                </c:pt>
                <c:pt idx="5">
                  <c:v>-0.54705882352941171</c:v>
                </c:pt>
                <c:pt idx="7">
                  <c:v>-0.38693467336683418</c:v>
                </c:pt>
                <c:pt idx="9">
                  <c:v>-0.36666666666666664</c:v>
                </c:pt>
                <c:pt idx="10">
                  <c:v>-0.43961352657004832</c:v>
                </c:pt>
                <c:pt idx="11">
                  <c:v>-0.49489795918367346</c:v>
                </c:pt>
                <c:pt idx="12">
                  <c:v>-0.54597701149425282</c:v>
                </c:pt>
              </c:numCache>
            </c:numRef>
          </c:xVal>
          <c:yVal>
            <c:numRef>
              <c:f>vG_landward!$AN$113:$AN$128</c:f>
              <c:numCache>
                <c:formatCode>General</c:formatCode>
                <c:ptCount val="16"/>
                <c:pt idx="0">
                  <c:v>7.1428571428571494E-2</c:v>
                </c:pt>
                <c:pt idx="2">
                  <c:v>0.23333333333333339</c:v>
                </c:pt>
                <c:pt idx="4">
                  <c:v>4.2553191489361736E-2</c:v>
                </c:pt>
                <c:pt idx="5">
                  <c:v>4.2553191489361736E-2</c:v>
                </c:pt>
                <c:pt idx="7">
                  <c:v>0.22058823529411778</c:v>
                </c:pt>
                <c:pt idx="8">
                  <c:v>-2.4390243902438939E-2</c:v>
                </c:pt>
                <c:pt idx="9">
                  <c:v>0.29870129870129869</c:v>
                </c:pt>
                <c:pt idx="10">
                  <c:v>0.18749999999999989</c:v>
                </c:pt>
                <c:pt idx="11">
                  <c:v>0.16071428571428578</c:v>
                </c:pt>
                <c:pt idx="12">
                  <c:v>-2.0408163265306228E-2</c:v>
                </c:pt>
                <c:pt idx="14">
                  <c:v>-0.35483870967741937</c:v>
                </c:pt>
                <c:pt idx="15">
                  <c:v>-0.27586206896551718</c:v>
                </c:pt>
              </c:numCache>
            </c:numRef>
          </c:yVal>
          <c:smooth val="0"/>
        </c:ser>
        <c:ser>
          <c:idx val="2"/>
          <c:order val="3"/>
          <c:tx>
            <c:v>P5</c:v>
          </c:tx>
          <c:spPr>
            <a:ln w="28575">
              <a:noFill/>
            </a:ln>
          </c:spPr>
          <c:marker>
            <c:symbol val="triang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vG_landward!$AQ$113:$AQ$128</c:f>
              <c:numCache>
                <c:formatCode>General</c:formatCode>
                <c:ptCount val="16"/>
                <c:pt idx="2">
                  <c:v>-0.57589285714285721</c:v>
                </c:pt>
                <c:pt idx="4">
                  <c:v>-0.32894736842105254</c:v>
                </c:pt>
                <c:pt idx="7">
                  <c:v>-0.41626794258373201</c:v>
                </c:pt>
                <c:pt idx="9">
                  <c:v>-0.3423423423423424</c:v>
                </c:pt>
                <c:pt idx="10">
                  <c:v>-0.47169811320754712</c:v>
                </c:pt>
                <c:pt idx="11">
                  <c:v>-0.56499999999999995</c:v>
                </c:pt>
              </c:numCache>
            </c:numRef>
          </c:xVal>
          <c:yVal>
            <c:numRef>
              <c:f>vG_landward!$AP$113:$AP$128</c:f>
              <c:numCache>
                <c:formatCode>General</c:formatCode>
                <c:ptCount val="16"/>
                <c:pt idx="0">
                  <c:v>0.31818181818181801</c:v>
                </c:pt>
                <c:pt idx="2">
                  <c:v>8.0000000000000071E-2</c:v>
                </c:pt>
                <c:pt idx="3">
                  <c:v>0.75000000000000011</c:v>
                </c:pt>
                <c:pt idx="4">
                  <c:v>-7.2289156626506076E-2</c:v>
                </c:pt>
                <c:pt idx="5">
                  <c:v>-9.5238095238095316E-2</c:v>
                </c:pt>
                <c:pt idx="7">
                  <c:v>3.1746031746031772E-2</c:v>
                </c:pt>
                <c:pt idx="8">
                  <c:v>5.7142857142857197E-2</c:v>
                </c:pt>
                <c:pt idx="9">
                  <c:v>0.15277777777777785</c:v>
                </c:pt>
                <c:pt idx="10">
                  <c:v>-3.4482758620689689E-2</c:v>
                </c:pt>
                <c:pt idx="11">
                  <c:v>4.1666666666666706E-2</c:v>
                </c:pt>
                <c:pt idx="12">
                  <c:v>2.4999999999999911E-2</c:v>
                </c:pt>
                <c:pt idx="15">
                  <c:v>0.13043478260869579</c:v>
                </c:pt>
              </c:numCache>
            </c:numRef>
          </c:yVal>
          <c:smooth val="0"/>
        </c:ser>
        <c:ser>
          <c:idx val="4"/>
          <c:order val="4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vG_landward!$AT$121:$AT$122</c:f>
              <c:numCache>
                <c:formatCode>General</c:formatCode>
                <c:ptCount val="2"/>
              </c:numCache>
            </c:numRef>
          </c:xVal>
          <c:yVal>
            <c:numRef>
              <c:f>vG_landward!$AV$121:$AV$122</c:f>
              <c:numCache>
                <c:formatCode>General</c:formatCode>
                <c:ptCount val="2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934272"/>
        <c:axId val="90944640"/>
      </c:scatterChart>
      <c:valAx>
        <c:axId val="90934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>
                    <a:latin typeface="Symbol" pitchFamily="18" charset="2"/>
                  </a:rPr>
                  <a:t>D</a:t>
                </a:r>
                <a:r>
                  <a:rPr lang="nl-NL"/>
                  <a:t>u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90944640"/>
        <c:crosses val="autoZero"/>
        <c:crossBetween val="midCat"/>
      </c:valAx>
      <c:valAx>
        <c:axId val="90944640"/>
        <c:scaling>
          <c:orientation val="minMax"/>
          <c:max val="0.4"/>
          <c:min val="-0.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nl-NL">
                    <a:latin typeface="Symbol" pitchFamily="18" charset="2"/>
                  </a:rPr>
                  <a:t>D</a:t>
                </a:r>
                <a:r>
                  <a:rPr lang="nl-NL"/>
                  <a:t>h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90934272"/>
        <c:crosses val="autoZero"/>
        <c:crossBetween val="midCat"/>
        <c:majorUnit val="0.1"/>
      </c:valAx>
    </c:plotArea>
    <c:legend>
      <c:legendPos val="r"/>
      <c:legendEntry>
        <c:idx val="4"/>
        <c:delete val="1"/>
      </c:legendEntry>
      <c:overlay val="0"/>
    </c:legend>
    <c:plotVisOnly val="1"/>
    <c:dispBlanksAs val="gap"/>
    <c:showDLblsOverMax val="0"/>
  </c:chart>
  <c:txPr>
    <a:bodyPr/>
    <a:lstStyle/>
    <a:p>
      <a:pPr>
        <a:defRPr sz="1200" b="0">
          <a:latin typeface="Arial" pitchFamily="34" charset="0"/>
          <a:cs typeface="Arial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nl-NL" sz="1200"/>
              <a:t>Water-layer thickness, friction</a:t>
            </a:r>
            <a:r>
              <a:rPr lang="nl-NL" sz="1200" baseline="0"/>
              <a:t> effect included</a:t>
            </a:r>
            <a:endParaRPr lang="nl-NL" sz="1200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3"/>
          <c:order val="0"/>
          <c:tx>
            <c:v>P2</c:v>
          </c:tx>
          <c:spPr>
            <a:ln w="28575">
              <a:noFill/>
            </a:ln>
          </c:spPr>
          <c:marker>
            <c:symbol val="circ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vG_landward!$AU$93:$AU$110</c:f>
              <c:numCache>
                <c:formatCode>General</c:formatCode>
                <c:ptCount val="18"/>
                <c:pt idx="0">
                  <c:v>4.7898449048185181E-2</c:v>
                </c:pt>
                <c:pt idx="1">
                  <c:v>3.2498962110941464E-2</c:v>
                </c:pt>
                <c:pt idx="2">
                  <c:v>6.6259536480581832E-2</c:v>
                </c:pt>
                <c:pt idx="3">
                  <c:v>4.334190670629378E-2</c:v>
                </c:pt>
                <c:pt idx="4">
                  <c:v>9.6080708309083274E-2</c:v>
                </c:pt>
                <c:pt idx="5">
                  <c:v>6.1141783102279211E-2</c:v>
                </c:pt>
                <c:pt idx="6">
                  <c:v>4.0279063696900493E-2</c:v>
                </c:pt>
                <c:pt idx="7">
                  <c:v>9.9941993941356055E-2</c:v>
                </c:pt>
                <c:pt idx="8">
                  <c:v>6.6707735505359217E-2</c:v>
                </c:pt>
                <c:pt idx="9">
                  <c:v>0.12609725912063843</c:v>
                </c:pt>
                <c:pt idx="10">
                  <c:v>8.4028682188681397E-2</c:v>
                </c:pt>
                <c:pt idx="11">
                  <c:v>7.065067561216902E-2</c:v>
                </c:pt>
                <c:pt idx="12">
                  <c:v>5.9963373809922775E-2</c:v>
                </c:pt>
                <c:pt idx="13">
                  <c:v>5.7809211646944074E-2</c:v>
                </c:pt>
                <c:pt idx="14">
                  <c:v>5.2531652218783753E-2</c:v>
                </c:pt>
                <c:pt idx="15">
                  <c:v>4.535378915382926E-2</c:v>
                </c:pt>
                <c:pt idx="16">
                  <c:v>3.490565027123485E-2</c:v>
                </c:pt>
                <c:pt idx="17">
                  <c:v>3.2877441328524416E-2</c:v>
                </c:pt>
              </c:numCache>
            </c:numRef>
          </c:xVal>
          <c:yVal>
            <c:numRef>
              <c:f>vG_crest!$BI$94:$BI$111</c:f>
              <c:numCache>
                <c:formatCode>General</c:formatCode>
                <c:ptCount val="18"/>
                <c:pt idx="0">
                  <c:v>3.125E-2</c:v>
                </c:pt>
                <c:pt idx="2">
                  <c:v>0.08</c:v>
                </c:pt>
                <c:pt idx="4">
                  <c:v>0.10588235294117647</c:v>
                </c:pt>
                <c:pt idx="5">
                  <c:v>5.3103448275862074E-2</c:v>
                </c:pt>
                <c:pt idx="7">
                  <c:v>8.9795918367346947E-2</c:v>
                </c:pt>
                <c:pt idx="8">
                  <c:v>4.5714285714285714E-2</c:v>
                </c:pt>
                <c:pt idx="9">
                  <c:v>0.1076388888888889</c:v>
                </c:pt>
                <c:pt idx="10">
                  <c:v>7.8947368421052641E-2</c:v>
                </c:pt>
                <c:pt idx="11">
                  <c:v>6.824324324324324E-2</c:v>
                </c:pt>
                <c:pt idx="12">
                  <c:v>5.6115107913669054E-2</c:v>
                </c:pt>
                <c:pt idx="13">
                  <c:v>5.2307692307692305E-2</c:v>
                </c:pt>
                <c:pt idx="14">
                  <c:v>2.6760563380281693E-2</c:v>
                </c:pt>
                <c:pt idx="15">
                  <c:v>2.681159420289855E-2</c:v>
                </c:pt>
              </c:numCache>
            </c:numRef>
          </c:yVal>
          <c:smooth val="0"/>
        </c:ser>
        <c:ser>
          <c:idx val="0"/>
          <c:order val="1"/>
          <c:tx>
            <c:v>P3</c:v>
          </c:tx>
          <c:spPr>
            <a:ln w="28575">
              <a:noFill/>
            </a:ln>
          </c:spPr>
          <c:marker>
            <c:symbol val="diamond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vG_landward!$BA$93:$BA$110</c:f>
              <c:numCache>
                <c:formatCode>General</c:formatCode>
                <c:ptCount val="18"/>
                <c:pt idx="0">
                  <c:v>2.8429725278808247E-2</c:v>
                </c:pt>
                <c:pt idx="1">
                  <c:v>1.9246867345127348E-2</c:v>
                </c:pt>
                <c:pt idx="2">
                  <c:v>3.942442420594619E-2</c:v>
                </c:pt>
                <c:pt idx="3">
                  <c:v>2.5702971575612667E-2</c:v>
                </c:pt>
                <c:pt idx="4">
                  <c:v>5.7233959184900984E-2</c:v>
                </c:pt>
                <c:pt idx="5">
                  <c:v>3.6305569138663729E-2</c:v>
                </c:pt>
                <c:pt idx="6">
                  <c:v>2.3843454444926096E-2</c:v>
                </c:pt>
                <c:pt idx="7">
                  <c:v>5.9394099256577307E-2</c:v>
                </c:pt>
                <c:pt idx="8">
                  <c:v>3.9524333286925332E-2</c:v>
                </c:pt>
                <c:pt idx="9">
                  <c:v>7.4843977340562265E-2</c:v>
                </c:pt>
                <c:pt idx="10">
                  <c:v>5.0035763321694425E-2</c:v>
                </c:pt>
                <c:pt idx="11">
                  <c:v>4.2003736129153736E-2</c:v>
                </c:pt>
                <c:pt idx="12">
                  <c:v>3.5512121813185922E-2</c:v>
                </c:pt>
                <c:pt idx="13">
                  <c:v>3.4085200559525103E-2</c:v>
                </c:pt>
                <c:pt idx="14">
                  <c:v>3.1152749530589996E-2</c:v>
                </c:pt>
                <c:pt idx="15">
                  <c:v>2.6847471275190667E-2</c:v>
                </c:pt>
                <c:pt idx="16">
                  <c:v>2.061270505490816E-2</c:v>
                </c:pt>
                <c:pt idx="17">
                  <c:v>1.9342894648281865E-2</c:v>
                </c:pt>
              </c:numCache>
            </c:numRef>
          </c:xVal>
          <c:yVal>
            <c:numRef>
              <c:f>vG_landward!$AK$93:$AK$110</c:f>
              <c:numCache>
                <c:formatCode>General</c:formatCode>
                <c:ptCount val="18"/>
                <c:pt idx="0">
                  <c:v>2.0833333333333336E-2</c:v>
                </c:pt>
                <c:pt idx="2">
                  <c:v>5.0666666666666665E-2</c:v>
                </c:pt>
                <c:pt idx="4">
                  <c:v>6.535947712418301E-2</c:v>
                </c:pt>
                <c:pt idx="5">
                  <c:v>3.5172413793103451E-2</c:v>
                </c:pt>
                <c:pt idx="7">
                  <c:v>5.5782312925170066E-2</c:v>
                </c:pt>
                <c:pt idx="8">
                  <c:v>2.8571428571428571E-2</c:v>
                </c:pt>
                <c:pt idx="9">
                  <c:v>6.5277777777777782E-2</c:v>
                </c:pt>
                <c:pt idx="10">
                  <c:v>4.8026315789473688E-2</c:v>
                </c:pt>
                <c:pt idx="11">
                  <c:v>4.3918918918918921E-2</c:v>
                </c:pt>
                <c:pt idx="12">
                  <c:v>3.8129496402877695E-2</c:v>
                </c:pt>
                <c:pt idx="13">
                  <c:v>3.2307692307692308E-2</c:v>
                </c:pt>
                <c:pt idx="14">
                  <c:v>1.8309859154929577E-2</c:v>
                </c:pt>
                <c:pt idx="15">
                  <c:v>1.9565217391304346E-2</c:v>
                </c:pt>
              </c:numCache>
            </c:numRef>
          </c:yVal>
          <c:smooth val="0"/>
        </c:ser>
        <c:ser>
          <c:idx val="1"/>
          <c:order val="2"/>
          <c:tx>
            <c:v>P4</c:v>
          </c:tx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vG_landward!$BB$93:$BB$110</c:f>
              <c:numCache>
                <c:formatCode>General</c:formatCode>
                <c:ptCount val="18"/>
                <c:pt idx="0">
                  <c:v>2.5810278846485617E-2</c:v>
                </c:pt>
                <c:pt idx="1">
                  <c:v>1.7405649167978689E-2</c:v>
                </c:pt>
                <c:pt idx="2">
                  <c:v>3.594579854071564E-2</c:v>
                </c:pt>
                <c:pt idx="3">
                  <c:v>2.3299327101584052E-2</c:v>
                </c:pt>
                <c:pt idx="4">
                  <c:v>5.2288628610168746E-2</c:v>
                </c:pt>
                <c:pt idx="5">
                  <c:v>3.2984937815005458E-2</c:v>
                </c:pt>
                <c:pt idx="6">
                  <c:v>2.1544920918744277E-2</c:v>
                </c:pt>
                <c:pt idx="7">
                  <c:v>5.4040063866861811E-2</c:v>
                </c:pt>
                <c:pt idx="8">
                  <c:v>3.5772023164748881E-2</c:v>
                </c:pt>
                <c:pt idx="9">
                  <c:v>6.7948033482402359E-2</c:v>
                </c:pt>
                <c:pt idx="10">
                  <c:v>4.5682303635932155E-2</c:v>
                </c:pt>
                <c:pt idx="11">
                  <c:v>3.8244451869384605E-2</c:v>
                </c:pt>
                <c:pt idx="12">
                  <c:v>3.2114916282587773E-2</c:v>
                </c:pt>
                <c:pt idx="13">
                  <c:v>3.0583296392450603E-2</c:v>
                </c:pt>
                <c:pt idx="14">
                  <c:v>2.823946247972435E-2</c:v>
                </c:pt>
                <c:pt idx="15">
                  <c:v>2.4259347437608023E-2</c:v>
                </c:pt>
                <c:pt idx="16">
                  <c:v>1.8545923130953466E-2</c:v>
                </c:pt>
                <c:pt idx="17">
                  <c:v>1.7288054565249091E-2</c:v>
                </c:pt>
              </c:numCache>
            </c:numRef>
          </c:xVal>
          <c:yVal>
            <c:numRef>
              <c:f>vG_landward!$AM$93:$AM$110</c:f>
              <c:numCache>
                <c:formatCode>General</c:formatCode>
                <c:ptCount val="18"/>
                <c:pt idx="0">
                  <c:v>2.0833333333333336E-2</c:v>
                </c:pt>
                <c:pt idx="2">
                  <c:v>4.933333333333334E-2</c:v>
                </c:pt>
                <c:pt idx="4">
                  <c:v>6.4052287581699355E-2</c:v>
                </c:pt>
                <c:pt idx="5">
                  <c:v>3.3793103448275873E-2</c:v>
                </c:pt>
                <c:pt idx="7">
                  <c:v>5.6462585034013607E-2</c:v>
                </c:pt>
                <c:pt idx="8">
                  <c:v>2.8571428571428571E-2</c:v>
                </c:pt>
                <c:pt idx="9">
                  <c:v>6.9444444444444448E-2</c:v>
                </c:pt>
                <c:pt idx="10">
                  <c:v>0.05</c:v>
                </c:pt>
                <c:pt idx="11">
                  <c:v>4.3918918918918921E-2</c:v>
                </c:pt>
                <c:pt idx="12">
                  <c:v>3.4532374100719417E-2</c:v>
                </c:pt>
                <c:pt idx="13">
                  <c:v>3.2307692307692308E-2</c:v>
                </c:pt>
                <c:pt idx="14">
                  <c:v>1.4084507042253523E-2</c:v>
                </c:pt>
                <c:pt idx="15">
                  <c:v>1.5217391304347827E-2</c:v>
                </c:pt>
              </c:numCache>
            </c:numRef>
          </c:yVal>
          <c:smooth val="0"/>
        </c:ser>
        <c:ser>
          <c:idx val="2"/>
          <c:order val="3"/>
          <c:tx>
            <c:v>P5</c:v>
          </c:tx>
          <c:spPr>
            <a:ln w="28575">
              <a:noFill/>
            </a:ln>
          </c:spPr>
          <c:marker>
            <c:symbol val="triang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vG_landward!$BC$93:$BC$110</c:f>
              <c:numCache>
                <c:formatCode>General</c:formatCode>
                <c:ptCount val="18"/>
                <c:pt idx="0">
                  <c:v>2.3190832414162987E-2</c:v>
                </c:pt>
                <c:pt idx="1">
                  <c:v>1.5564430990830023E-2</c:v>
                </c:pt>
                <c:pt idx="2">
                  <c:v>3.2467172875485097E-2</c:v>
                </c:pt>
                <c:pt idx="3">
                  <c:v>2.0895682627555433E-2</c:v>
                </c:pt>
                <c:pt idx="4">
                  <c:v>4.7343298035436521E-2</c:v>
                </c:pt>
                <c:pt idx="5">
                  <c:v>2.9664306491347187E-2</c:v>
                </c:pt>
                <c:pt idx="6">
                  <c:v>1.9246387392562452E-2</c:v>
                </c:pt>
                <c:pt idx="7">
                  <c:v>4.8686028477146301E-2</c:v>
                </c:pt>
                <c:pt idx="8">
                  <c:v>3.2019713042572416E-2</c:v>
                </c:pt>
                <c:pt idx="9">
                  <c:v>6.1052089624242432E-2</c:v>
                </c:pt>
                <c:pt idx="10">
                  <c:v>4.1328843950169877E-2</c:v>
                </c:pt>
                <c:pt idx="11">
                  <c:v>3.4485167609615466E-2</c:v>
                </c:pt>
                <c:pt idx="12">
                  <c:v>2.8717710751989634E-2</c:v>
                </c:pt>
                <c:pt idx="13">
                  <c:v>2.7081392225376106E-2</c:v>
                </c:pt>
                <c:pt idx="14">
                  <c:v>2.5326175428858698E-2</c:v>
                </c:pt>
                <c:pt idx="15">
                  <c:v>2.1671223600025373E-2</c:v>
                </c:pt>
                <c:pt idx="16">
                  <c:v>1.6479141206998772E-2</c:v>
                </c:pt>
                <c:pt idx="17">
                  <c:v>1.5233214482216314E-2</c:v>
                </c:pt>
              </c:numCache>
            </c:numRef>
          </c:xVal>
          <c:yVal>
            <c:numRef>
              <c:f>vG_landward!$AO$93:$AO$110</c:f>
              <c:numCache>
                <c:formatCode>General</c:formatCode>
                <c:ptCount val="18"/>
                <c:pt idx="0">
                  <c:v>2.013888888888889E-2</c:v>
                </c:pt>
                <c:pt idx="2">
                  <c:v>3.6000000000000004E-2</c:v>
                </c:pt>
                <c:pt idx="3">
                  <c:v>1.47887323943662E-2</c:v>
                </c:pt>
                <c:pt idx="4">
                  <c:v>5.0326797385620917E-2</c:v>
                </c:pt>
                <c:pt idx="5">
                  <c:v>2.6206896551724139E-2</c:v>
                </c:pt>
                <c:pt idx="7">
                  <c:v>4.4217687074829932E-2</c:v>
                </c:pt>
                <c:pt idx="8">
                  <c:v>2.6428571428571426E-2</c:v>
                </c:pt>
                <c:pt idx="9">
                  <c:v>5.7638888888888892E-2</c:v>
                </c:pt>
                <c:pt idx="10">
                  <c:v>3.6842105263157898E-2</c:v>
                </c:pt>
                <c:pt idx="11">
                  <c:v>3.3783783783783786E-2</c:v>
                </c:pt>
                <c:pt idx="12">
                  <c:v>2.9496402877697836E-2</c:v>
                </c:pt>
                <c:pt idx="13">
                  <c:v>2.769230769230769E-2</c:v>
                </c:pt>
                <c:pt idx="14">
                  <c:v>1.8309859154929577E-2</c:v>
                </c:pt>
                <c:pt idx="15">
                  <c:v>1.8840579710144925E-2</c:v>
                </c:pt>
              </c:numCache>
            </c:numRef>
          </c:yVal>
          <c:smooth val="0"/>
        </c:ser>
        <c:ser>
          <c:idx val="4"/>
          <c:order val="4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vG_landward!$CB$109:$CB$110</c:f>
              <c:numCache>
                <c:formatCode>General</c:formatCode>
                <c:ptCount val="2"/>
                <c:pt idx="0">
                  <c:v>0</c:v>
                </c:pt>
                <c:pt idx="1">
                  <c:v>4</c:v>
                </c:pt>
              </c:numCache>
            </c:numRef>
          </c:xVal>
          <c:yVal>
            <c:numRef>
              <c:f>vG_landward!$CC$109:$CC$110</c:f>
              <c:numCache>
                <c:formatCode>General</c:formatCode>
                <c:ptCount val="2"/>
                <c:pt idx="0">
                  <c:v>0</c:v>
                </c:pt>
                <c:pt idx="1">
                  <c:v>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078464"/>
        <c:axId val="74084352"/>
      </c:scatterChart>
      <c:valAx>
        <c:axId val="74078464"/>
        <c:scaling>
          <c:orientation val="minMax"/>
          <c:max val="0.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 sz="1200" b="0" i="0" u="none" strike="noStrike" baseline="0">
                    <a:effectLst/>
                  </a:rPr>
                  <a:t>(h</a:t>
                </a:r>
                <a:r>
                  <a:rPr lang="nl-NL" sz="1200" b="0" i="0" u="none" strike="noStrike" baseline="-25000">
                    <a:effectLst/>
                  </a:rPr>
                  <a:t>yC</a:t>
                </a:r>
                <a:r>
                  <a:rPr lang="nl-NL"/>
                  <a:t>) h</a:t>
                </a:r>
                <a:r>
                  <a:rPr lang="nl-NL" baseline="-25000"/>
                  <a:t>xB</a:t>
                </a:r>
                <a:r>
                  <a:rPr lang="nl-NL"/>
                  <a:t> / H</a:t>
                </a:r>
                <a:r>
                  <a:rPr lang="nl-NL" baseline="-25000"/>
                  <a:t>m0</a:t>
                </a:r>
                <a:r>
                  <a:rPr lang="nl-NL"/>
                  <a:t> com. by Trung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74084352"/>
        <c:crosses val="autoZero"/>
        <c:crossBetween val="midCat"/>
      </c:valAx>
      <c:valAx>
        <c:axId val="74084352"/>
        <c:scaling>
          <c:orientation val="minMax"/>
          <c:max val="0.2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nl-NL" sz="1200" b="0" i="0" u="none" strike="noStrike" baseline="0">
                    <a:effectLst/>
                  </a:rPr>
                  <a:t>(h</a:t>
                </a:r>
                <a:r>
                  <a:rPr lang="nl-NL" sz="1200" b="0" i="0" u="none" strike="noStrike" baseline="-25000">
                    <a:effectLst/>
                  </a:rPr>
                  <a:t>yC</a:t>
                </a:r>
                <a:r>
                  <a:rPr lang="nl-NL"/>
                  <a:t>) h</a:t>
                </a:r>
                <a:r>
                  <a:rPr lang="nl-NL" baseline="-25000"/>
                  <a:t>xB</a:t>
                </a:r>
                <a:r>
                  <a:rPr lang="nl-NL"/>
                  <a:t> / H</a:t>
                </a:r>
                <a:r>
                  <a:rPr lang="nl-NL" baseline="-25000"/>
                  <a:t>m0</a:t>
                </a:r>
                <a:r>
                  <a:rPr lang="nl-NL" baseline="0"/>
                  <a:t> mea. van Gent</a:t>
                </a:r>
                <a:endParaRPr lang="nl-NL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74078464"/>
        <c:crosses val="autoZero"/>
        <c:crossBetween val="midCat"/>
        <c:majorUnit val="5.000000000000001E-2"/>
      </c:valAx>
    </c:plotArea>
    <c:legend>
      <c:legendPos val="r"/>
      <c:legendEntry>
        <c:idx val="4"/>
        <c:delete val="1"/>
      </c:legendEntry>
      <c:overlay val="0"/>
    </c:legend>
    <c:plotVisOnly val="1"/>
    <c:dispBlanksAs val="gap"/>
    <c:showDLblsOverMax val="0"/>
  </c:chart>
  <c:txPr>
    <a:bodyPr/>
    <a:lstStyle/>
    <a:p>
      <a:pPr>
        <a:defRPr sz="1200" b="0">
          <a:latin typeface="Arial" pitchFamily="34" charset="0"/>
          <a:cs typeface="Arial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nl-NL" sz="1200"/>
              <a:t>Flow velocity, friction</a:t>
            </a:r>
            <a:r>
              <a:rPr lang="nl-NL" sz="1200" baseline="0"/>
              <a:t> effect included</a:t>
            </a:r>
            <a:endParaRPr lang="nl-NL" sz="1200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3"/>
          <c:order val="0"/>
          <c:tx>
            <c:v>P2</c:v>
          </c:tx>
          <c:spPr>
            <a:ln w="28575">
              <a:noFill/>
            </a:ln>
          </c:spPr>
          <c:marker>
            <c:symbol val="circ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vG_landward!$AT$93:$AT$110</c:f>
              <c:numCache>
                <c:formatCode>General</c:formatCode>
                <c:ptCount val="18"/>
                <c:pt idx="0">
                  <c:v>0.41958766814397719</c:v>
                </c:pt>
                <c:pt idx="1">
                  <c:v>0.25104695699850821</c:v>
                </c:pt>
                <c:pt idx="2">
                  <c:v>0.56220529326709878</c:v>
                </c:pt>
                <c:pt idx="3">
                  <c:v>0.36059503450731012</c:v>
                </c:pt>
                <c:pt idx="4">
                  <c:v>0.7528681621408142</c:v>
                </c:pt>
                <c:pt idx="5">
                  <c:v>0.49448337544289911</c:v>
                </c:pt>
                <c:pt idx="6">
                  <c:v>0.31662445854964</c:v>
                </c:pt>
                <c:pt idx="7">
                  <c:v>0.71776395622014588</c:v>
                </c:pt>
                <c:pt idx="8">
                  <c:v>0.49687014156597764</c:v>
                </c:pt>
                <c:pt idx="9">
                  <c:v>0.78204748688135906</c:v>
                </c:pt>
                <c:pt idx="10">
                  <c:v>0.66965040817337129</c:v>
                </c:pt>
                <c:pt idx="11">
                  <c:v>0.57640405910826753</c:v>
                </c:pt>
                <c:pt idx="12">
                  <c:v>0.49468077332126403</c:v>
                </c:pt>
                <c:pt idx="13">
                  <c:v>0.47505558691278743</c:v>
                </c:pt>
                <c:pt idx="14">
                  <c:v>0.42535386408787007</c:v>
                </c:pt>
                <c:pt idx="15">
                  <c:v>0.36949423255104819</c:v>
                </c:pt>
                <c:pt idx="16">
                  <c:v>0.26980067970177773</c:v>
                </c:pt>
                <c:pt idx="17">
                  <c:v>0.24732556739874548</c:v>
                </c:pt>
              </c:numCache>
            </c:numRef>
          </c:xVal>
          <c:yVal>
            <c:numRef>
              <c:f>vG_crest!$BJ$94:$BJ$111</c:f>
              <c:numCache>
                <c:formatCode>General</c:formatCode>
                <c:ptCount val="18"/>
                <c:pt idx="2">
                  <c:v>0.61003055242304749</c:v>
                </c:pt>
                <c:pt idx="4">
                  <c:v>0.74278166200860707</c:v>
                </c:pt>
                <c:pt idx="5">
                  <c:v>0.49469042772589639</c:v>
                </c:pt>
                <c:pt idx="7">
                  <c:v>0.64953331558390692</c:v>
                </c:pt>
                <c:pt idx="9">
                  <c:v>0.70674628828461317</c:v>
                </c:pt>
                <c:pt idx="10">
                  <c:v>0.61419314605940112</c:v>
                </c:pt>
                <c:pt idx="11">
                  <c:v>0.5311468529179908</c:v>
                </c:pt>
              </c:numCache>
            </c:numRef>
          </c:yVal>
          <c:smooth val="0"/>
        </c:ser>
        <c:ser>
          <c:idx val="0"/>
          <c:order val="1"/>
          <c:tx>
            <c:v>P3</c:v>
          </c:tx>
          <c:spPr>
            <a:ln w="28575">
              <a:noFill/>
            </a:ln>
          </c:spPr>
          <c:marker>
            <c:symbol val="diamond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vG_landward!$AW$93:$AW$110</c:f>
              <c:numCache>
                <c:formatCode>General</c:formatCode>
                <c:ptCount val="18"/>
                <c:pt idx="0">
                  <c:v>0.45550029321255026</c:v>
                </c:pt>
                <c:pt idx="1">
                  <c:v>0.27398434083937911</c:v>
                </c:pt>
                <c:pt idx="2">
                  <c:v>0.60671321231741093</c:v>
                </c:pt>
                <c:pt idx="3">
                  <c:v>0.39227407010927273</c:v>
                </c:pt>
                <c:pt idx="4">
                  <c:v>0.81019439801624227</c:v>
                </c:pt>
                <c:pt idx="5">
                  <c:v>0.53625869509238555</c:v>
                </c:pt>
                <c:pt idx="6">
                  <c:v>0.34593516476682584</c:v>
                </c:pt>
                <c:pt idx="7">
                  <c:v>0.77684520703826676</c:v>
                </c:pt>
                <c:pt idx="8">
                  <c:v>0.54167718111790952</c:v>
                </c:pt>
                <c:pt idx="9">
                  <c:v>0.84898314851894763</c:v>
                </c:pt>
                <c:pt idx="10">
                  <c:v>0.72130600709332382</c:v>
                </c:pt>
                <c:pt idx="11">
                  <c:v>0.6232368889108143</c:v>
                </c:pt>
                <c:pt idx="12">
                  <c:v>0.53987822527219975</c:v>
                </c:pt>
                <c:pt idx="13">
                  <c:v>0.52393149825862229</c:v>
                </c:pt>
                <c:pt idx="14">
                  <c:v>0.46272209968291367</c:v>
                </c:pt>
                <c:pt idx="15">
                  <c:v>0.40369922400640784</c:v>
                </c:pt>
                <c:pt idx="16">
                  <c:v>0.29647646119108884</c:v>
                </c:pt>
                <c:pt idx="17">
                  <c:v>0.27416824306682364</c:v>
                </c:pt>
              </c:numCache>
            </c:numRef>
          </c:xVal>
          <c:yVal>
            <c:numRef>
              <c:f>vG_landward!$AJ$93:$AJ$110</c:f>
              <c:numCache>
                <c:formatCode>General</c:formatCode>
                <c:ptCount val="18"/>
                <c:pt idx="2">
                  <c:v>0.84909657972397157</c:v>
                </c:pt>
                <c:pt idx="4">
                  <c:v>1.0937664033972896</c:v>
                </c:pt>
                <c:pt idx="5">
                  <c:v>0.57015167941289757</c:v>
                </c:pt>
                <c:pt idx="7">
                  <c:v>0.91600852197730465</c:v>
                </c:pt>
                <c:pt idx="9">
                  <c:v>1.0180512009814071</c:v>
                </c:pt>
                <c:pt idx="10">
                  <c:v>0.86805964643062028</c:v>
                </c:pt>
                <c:pt idx="11">
                  <c:v>0.73862609233908105</c:v>
                </c:pt>
                <c:pt idx="12">
                  <c:v>0.60801801178420978</c:v>
                </c:pt>
              </c:numCache>
            </c:numRef>
          </c:yVal>
          <c:smooth val="0"/>
        </c:ser>
        <c:ser>
          <c:idx val="1"/>
          <c:order val="2"/>
          <c:tx>
            <c:v>P4</c:v>
          </c:tx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vG_landward!$AX$93:$AX$110</c:f>
              <c:numCache>
                <c:formatCode>General</c:formatCode>
                <c:ptCount val="18"/>
                <c:pt idx="0">
                  <c:v>0.55657284348160718</c:v>
                </c:pt>
                <c:pt idx="1">
                  <c:v>0.3366331992630176</c:v>
                </c:pt>
                <c:pt idx="2">
                  <c:v>0.73672318638542744</c:v>
                </c:pt>
                <c:pt idx="3">
                  <c:v>0.48035956489428905</c:v>
                </c:pt>
                <c:pt idx="4">
                  <c:v>0.98088142007022583</c:v>
                </c:pt>
                <c:pt idx="5">
                  <c:v>0.654551054303941</c:v>
                </c:pt>
                <c:pt idx="6">
                  <c:v>0.42552147567943921</c:v>
                </c:pt>
                <c:pt idx="7">
                  <c:v>0.94621552834021461</c:v>
                </c:pt>
                <c:pt idx="8">
                  <c:v>0.66478563137197999</c:v>
                </c:pt>
                <c:pt idx="9">
                  <c:v>1.0373669832494832</c:v>
                </c:pt>
                <c:pt idx="10">
                  <c:v>0.87412507639275694</c:v>
                </c:pt>
                <c:pt idx="11">
                  <c:v>0.75833159026431451</c:v>
                </c:pt>
                <c:pt idx="12">
                  <c:v>0.66332599019724525</c:v>
                </c:pt>
                <c:pt idx="13">
                  <c:v>0.65068911880506319</c:v>
                </c:pt>
                <c:pt idx="14">
                  <c:v>0.56662676278536428</c:v>
                </c:pt>
                <c:pt idx="15">
                  <c:v>0.49657481235144046</c:v>
                </c:pt>
                <c:pt idx="16">
                  <c:v>0.36684270989150553</c:v>
                </c:pt>
                <c:pt idx="17">
                  <c:v>0.34225638290129967</c:v>
                </c:pt>
              </c:numCache>
            </c:numRef>
          </c:xVal>
          <c:yVal>
            <c:numRef>
              <c:f>vG_landward!$AL$93:$AL$110</c:f>
              <c:numCache>
                <c:formatCode>General</c:formatCode>
                <c:ptCount val="18"/>
                <c:pt idx="2">
                  <c:v>0.83260926749632158</c:v>
                </c:pt>
                <c:pt idx="4">
                  <c:v>1.1509034543210284</c:v>
                </c:pt>
                <c:pt idx="5">
                  <c:v>0.6456129310998987</c:v>
                </c:pt>
                <c:pt idx="7">
                  <c:v>1.0159367243748287</c:v>
                </c:pt>
                <c:pt idx="9">
                  <c:v>1.1190149564506375</c:v>
                </c:pt>
                <c:pt idx="10">
                  <c:v>0.94995206590520698</c:v>
                </c:pt>
                <c:pt idx="11">
                  <c:v>0.82161778810751707</c:v>
                </c:pt>
                <c:pt idx="12">
                  <c:v>0.67652708353454327</c:v>
                </c:pt>
              </c:numCache>
            </c:numRef>
          </c:yVal>
          <c:smooth val="0"/>
        </c:ser>
        <c:ser>
          <c:idx val="2"/>
          <c:order val="3"/>
          <c:tx>
            <c:v>P5</c:v>
          </c:tx>
          <c:spPr>
            <a:ln w="28575">
              <a:noFill/>
            </a:ln>
          </c:spPr>
          <c:marker>
            <c:symbol val="triang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vG_landward!$AY$93:$AY$110</c:f>
              <c:numCache>
                <c:formatCode>General</c:formatCode>
                <c:ptCount val="18"/>
                <c:pt idx="0">
                  <c:v>0.65764539375066433</c:v>
                </c:pt>
                <c:pt idx="1">
                  <c:v>0.39928205768665614</c:v>
                </c:pt>
                <c:pt idx="2">
                  <c:v>0.86673316045344406</c:v>
                </c:pt>
                <c:pt idx="3">
                  <c:v>0.56844505967930548</c:v>
                </c:pt>
                <c:pt idx="4">
                  <c:v>1.1515684421242094</c:v>
                </c:pt>
                <c:pt idx="5">
                  <c:v>0.77284341351549668</c:v>
                </c:pt>
                <c:pt idx="6">
                  <c:v>0.50510778659205258</c:v>
                </c:pt>
                <c:pt idx="7">
                  <c:v>1.1155858496421622</c:v>
                </c:pt>
                <c:pt idx="8">
                  <c:v>0.78789408162605035</c:v>
                </c:pt>
                <c:pt idx="9">
                  <c:v>1.2257508179800192</c:v>
                </c:pt>
                <c:pt idx="10">
                  <c:v>1.0269441456921899</c:v>
                </c:pt>
                <c:pt idx="11">
                  <c:v>0.89342629161781484</c:v>
                </c:pt>
                <c:pt idx="12">
                  <c:v>0.78677375512229109</c:v>
                </c:pt>
                <c:pt idx="13">
                  <c:v>0.7774467393515041</c:v>
                </c:pt>
                <c:pt idx="14">
                  <c:v>0.67053142588781489</c:v>
                </c:pt>
                <c:pt idx="15">
                  <c:v>0.58945040069647292</c:v>
                </c:pt>
                <c:pt idx="16">
                  <c:v>0.43720895859192216</c:v>
                </c:pt>
                <c:pt idx="17">
                  <c:v>0.41034452273577576</c:v>
                </c:pt>
              </c:numCache>
            </c:numRef>
          </c:xVal>
          <c:yVal>
            <c:numRef>
              <c:f>vG_landward!$AN$93:$AN$110</c:f>
              <c:numCache>
                <c:formatCode>General</c:formatCode>
                <c:ptCount val="18"/>
                <c:pt idx="2">
                  <c:v>0.78314733081337173</c:v>
                </c:pt>
                <c:pt idx="4">
                  <c:v>1.2488526844760095</c:v>
                </c:pt>
                <c:pt idx="7">
                  <c:v>1.0159367243748287</c:v>
                </c:pt>
                <c:pt idx="9">
                  <c:v>1.2283923582089706</c:v>
                </c:pt>
                <c:pt idx="10">
                  <c:v>0.91719509811537236</c:v>
                </c:pt>
                <c:pt idx="11">
                  <c:v>0.72202775318539381</c:v>
                </c:pt>
              </c:numCache>
            </c:numRef>
          </c:yVal>
          <c:smooth val="0"/>
        </c:ser>
        <c:ser>
          <c:idx val="4"/>
          <c:order val="4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vG_landward!$CB$109:$CB$110</c:f>
              <c:numCache>
                <c:formatCode>General</c:formatCode>
                <c:ptCount val="2"/>
                <c:pt idx="0">
                  <c:v>0</c:v>
                </c:pt>
                <c:pt idx="1">
                  <c:v>4</c:v>
                </c:pt>
              </c:numCache>
            </c:numRef>
          </c:xVal>
          <c:yVal>
            <c:numRef>
              <c:f>vG_landward!$CC$109:$CC$110</c:f>
              <c:numCache>
                <c:formatCode>General</c:formatCode>
                <c:ptCount val="2"/>
                <c:pt idx="0">
                  <c:v>0</c:v>
                </c:pt>
                <c:pt idx="1">
                  <c:v>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098944"/>
        <c:axId val="74113408"/>
      </c:scatterChart>
      <c:valAx>
        <c:axId val="74098944"/>
        <c:scaling>
          <c:orientation val="minMax"/>
          <c:max val="2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 sz="1200" b="0" i="0" u="none" strike="noStrike" baseline="0">
                    <a:effectLst/>
                  </a:rPr>
                  <a:t>(u</a:t>
                </a:r>
                <a:r>
                  <a:rPr lang="nl-NL" sz="1200" b="0" i="0" u="none" strike="noStrike" baseline="-25000">
                    <a:effectLst/>
                  </a:rPr>
                  <a:t>yC</a:t>
                </a:r>
                <a:r>
                  <a:rPr lang="nl-NL"/>
                  <a:t>) u</a:t>
                </a:r>
                <a:r>
                  <a:rPr lang="nl-NL" baseline="-25000"/>
                  <a:t>xB</a:t>
                </a:r>
                <a:r>
                  <a:rPr lang="nl-NL"/>
                  <a:t> / (gH</a:t>
                </a:r>
                <a:r>
                  <a:rPr lang="nl-NL" baseline="-25000"/>
                  <a:t>m0</a:t>
                </a:r>
                <a:r>
                  <a:rPr lang="nl-NL"/>
                  <a:t>)</a:t>
                </a:r>
                <a:r>
                  <a:rPr lang="nl-NL" baseline="30000"/>
                  <a:t>0.5</a:t>
                </a:r>
                <a:r>
                  <a:rPr lang="nl-NL"/>
                  <a:t> com. by Trung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74113408"/>
        <c:crosses val="autoZero"/>
        <c:crossBetween val="midCat"/>
        <c:majorUnit val="0.5"/>
      </c:valAx>
      <c:valAx>
        <c:axId val="74113408"/>
        <c:scaling>
          <c:orientation val="minMax"/>
          <c:max val="2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nl-NL" sz="1200" b="0" i="0" u="none" strike="noStrike" baseline="0">
                    <a:effectLst/>
                  </a:rPr>
                  <a:t>(u</a:t>
                </a:r>
                <a:r>
                  <a:rPr lang="nl-NL" sz="1200" b="0" i="0" u="none" strike="noStrike" baseline="-25000">
                    <a:effectLst/>
                  </a:rPr>
                  <a:t>yC</a:t>
                </a:r>
                <a:r>
                  <a:rPr lang="nl-NL"/>
                  <a:t>) u</a:t>
                </a:r>
                <a:r>
                  <a:rPr lang="nl-NL" baseline="-25000"/>
                  <a:t>xB</a:t>
                </a:r>
                <a:r>
                  <a:rPr lang="nl-NL"/>
                  <a:t> / (gH</a:t>
                </a:r>
                <a:r>
                  <a:rPr lang="nl-NL" baseline="-25000"/>
                  <a:t>m0</a:t>
                </a:r>
                <a:r>
                  <a:rPr lang="nl-NL" baseline="0"/>
                  <a:t>)</a:t>
                </a:r>
                <a:r>
                  <a:rPr lang="nl-NL" baseline="30000"/>
                  <a:t>0.5</a:t>
                </a:r>
                <a:r>
                  <a:rPr lang="nl-NL" baseline="0"/>
                  <a:t> mea. van Gent</a:t>
                </a:r>
                <a:endParaRPr lang="nl-NL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74098944"/>
        <c:crosses val="autoZero"/>
        <c:crossBetween val="midCat"/>
        <c:majorUnit val="0.5"/>
      </c:valAx>
    </c:plotArea>
    <c:legend>
      <c:legendPos val="r"/>
      <c:legendEntry>
        <c:idx val="4"/>
        <c:delete val="1"/>
      </c:legendEntry>
      <c:overlay val="0"/>
    </c:legend>
    <c:plotVisOnly val="1"/>
    <c:dispBlanksAs val="gap"/>
    <c:showDLblsOverMax val="0"/>
  </c:chart>
  <c:txPr>
    <a:bodyPr/>
    <a:lstStyle/>
    <a:p>
      <a:pPr>
        <a:defRPr sz="1200" b="0">
          <a:latin typeface="Arial" pitchFamily="34" charset="0"/>
          <a:cs typeface="Arial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vG_landward!$AN$134</c:f>
              <c:numCache>
                <c:formatCode>General</c:formatCode>
                <c:ptCount val="1"/>
                <c:pt idx="0">
                  <c:v>-0.45619633680407246</c:v>
                </c:pt>
              </c:numCache>
            </c:numRef>
          </c:xVal>
          <c:yVal>
            <c:numRef>
              <c:f>vG_landward!$AN$133</c:f>
              <c:numCache>
                <c:formatCode>General</c:formatCode>
                <c:ptCount val="1"/>
                <c:pt idx="0">
                  <c:v>0.14875502676045585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xVal>
            <c:numRef>
              <c:f>vG_landward!$AK$132</c:f>
              <c:numCache>
                <c:formatCode>General</c:formatCode>
                <c:ptCount val="1"/>
                <c:pt idx="0">
                  <c:v>-0.31847979549774036</c:v>
                </c:pt>
              </c:numCache>
            </c:numRef>
          </c:xVal>
          <c:yVal>
            <c:numRef>
              <c:f>vG_landward!$AJ$132</c:f>
              <c:numCache>
                <c:formatCode>General</c:formatCode>
                <c:ptCount val="1"/>
                <c:pt idx="0">
                  <c:v>0.19211563591820566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563520"/>
        <c:axId val="91565056"/>
      </c:scatterChart>
      <c:valAx>
        <c:axId val="91563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1565056"/>
        <c:crosses val="autoZero"/>
        <c:crossBetween val="midCat"/>
      </c:valAx>
      <c:valAx>
        <c:axId val="915650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156352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nl-NL" sz="1200"/>
              <a:t>Seaward-side</a:t>
            </a:r>
            <a:r>
              <a:rPr lang="nl-NL" sz="1200" baseline="0"/>
              <a:t> crest edge</a:t>
            </a:r>
            <a:endParaRPr lang="nl-NL" sz="1200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</c:v>
          </c:tx>
          <c:spPr>
            <a:ln w="28575">
              <a:noFill/>
            </a:ln>
          </c:spPr>
          <c:marker>
            <c:symbol val="diamond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vG_crest!$BB$6:$BB$23</c:f>
              <c:numCache>
                <c:formatCode>General</c:formatCode>
                <c:ptCount val="18"/>
                <c:pt idx="0">
                  <c:v>0.91845143818130182</c:v>
                </c:pt>
                <c:pt idx="1">
                  <c:v>0.44080257425087777</c:v>
                </c:pt>
                <c:pt idx="2">
                  <c:v>1.2079281888979565</c:v>
                </c:pt>
                <c:pt idx="3">
                  <c:v>0.75619876573537836</c:v>
                </c:pt>
                <c:pt idx="4">
                  <c:v>1.5127291108691627</c:v>
                </c:pt>
                <c:pt idx="5">
                  <c:v>1.0436011607735007</c:v>
                </c:pt>
                <c:pt idx="6">
                  <c:v>0.64583028017862198</c:v>
                </c:pt>
                <c:pt idx="7">
                  <c:v>1.3725210812122088</c:v>
                </c:pt>
                <c:pt idx="8">
                  <c:v>1.008658198988555</c:v>
                </c:pt>
                <c:pt idx="9">
                  <c:v>1.329383297436463</c:v>
                </c:pt>
                <c:pt idx="10">
                  <c:v>1.3679649069704978</c:v>
                </c:pt>
                <c:pt idx="11">
                  <c:v>1.2210509734476891</c:v>
                </c:pt>
                <c:pt idx="12">
                  <c:v>1.1049275462666639</c:v>
                </c:pt>
                <c:pt idx="13">
                  <c:v>1.1204861332100831</c:v>
                </c:pt>
                <c:pt idx="14">
                  <c:v>0.90314061467075946</c:v>
                </c:pt>
                <c:pt idx="15">
                  <c:v>0.79845387002943058</c:v>
                </c:pt>
                <c:pt idx="16">
                  <c:v>0.54556496939429289</c:v>
                </c:pt>
                <c:pt idx="17">
                  <c:v>0.50365849491357695</c:v>
                </c:pt>
              </c:numCache>
            </c:numRef>
          </c:xVal>
          <c:yVal>
            <c:numRef>
              <c:f>vG_crest!$AX$6:$AX$23</c:f>
              <c:numCache>
                <c:formatCode>General</c:formatCode>
                <c:ptCount val="18"/>
                <c:pt idx="0">
                  <c:v>5.7638888888888892E-2</c:v>
                </c:pt>
                <c:pt idx="1">
                  <c:v>1.9424460431654675E-2</c:v>
                </c:pt>
                <c:pt idx="2">
                  <c:v>0.1</c:v>
                </c:pt>
                <c:pt idx="3">
                  <c:v>4.2957746478873238E-2</c:v>
                </c:pt>
                <c:pt idx="4">
                  <c:v>0.17058823529411765</c:v>
                </c:pt>
                <c:pt idx="5">
                  <c:v>8.8965517241379313E-2</c:v>
                </c:pt>
                <c:pt idx="6">
                  <c:v>4.6376811594202899E-2</c:v>
                </c:pt>
                <c:pt idx="7">
                  <c:v>0.14013605442176871</c:v>
                </c:pt>
                <c:pt idx="8">
                  <c:v>9.0714285714285706E-2</c:v>
                </c:pt>
                <c:pt idx="9">
                  <c:v>0.17708333333333334</c:v>
                </c:pt>
                <c:pt idx="10">
                  <c:v>0.11447368421052631</c:v>
                </c:pt>
                <c:pt idx="11">
                  <c:v>9.8648648648648654E-2</c:v>
                </c:pt>
                <c:pt idx="12">
                  <c:v>9.2805755395683448E-2</c:v>
                </c:pt>
                <c:pt idx="13">
                  <c:v>8.6923076923076922E-2</c:v>
                </c:pt>
                <c:pt idx="14">
                  <c:v>6.1971830985915501E-2</c:v>
                </c:pt>
                <c:pt idx="15">
                  <c:v>6.1594202898550721E-2</c:v>
                </c:pt>
                <c:pt idx="16">
                  <c:v>3.0827067669172925E-2</c:v>
                </c:pt>
                <c:pt idx="17">
                  <c:v>3.1746031746031744E-2</c:v>
                </c:pt>
              </c:numCache>
            </c:numRef>
          </c:yVal>
          <c:smooth val="0"/>
        </c:ser>
        <c:ser>
          <c:idx val="1"/>
          <c:order val="1"/>
          <c:tx>
            <c:v>B</c:v>
          </c:tx>
          <c:spPr>
            <a:ln w="28575">
              <a:noFill/>
            </a:ln>
          </c:spPr>
          <c:marker>
            <c:symbol val="squar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vG_crest!$BB$6:$BB$23</c:f>
              <c:numCache>
                <c:formatCode>General</c:formatCode>
                <c:ptCount val="18"/>
                <c:pt idx="0">
                  <c:v>0.91845143818130182</c:v>
                </c:pt>
                <c:pt idx="1">
                  <c:v>0.44080257425087777</c:v>
                </c:pt>
                <c:pt idx="2">
                  <c:v>1.2079281888979565</c:v>
                </c:pt>
                <c:pt idx="3">
                  <c:v>0.75619876573537836</c:v>
                </c:pt>
                <c:pt idx="4">
                  <c:v>1.5127291108691627</c:v>
                </c:pt>
                <c:pt idx="5">
                  <c:v>1.0436011607735007</c:v>
                </c:pt>
                <c:pt idx="6">
                  <c:v>0.64583028017862198</c:v>
                </c:pt>
                <c:pt idx="7">
                  <c:v>1.3725210812122088</c:v>
                </c:pt>
                <c:pt idx="8">
                  <c:v>1.008658198988555</c:v>
                </c:pt>
                <c:pt idx="9">
                  <c:v>1.329383297436463</c:v>
                </c:pt>
                <c:pt idx="10">
                  <c:v>1.3679649069704978</c:v>
                </c:pt>
                <c:pt idx="11">
                  <c:v>1.2210509734476891</c:v>
                </c:pt>
                <c:pt idx="12">
                  <c:v>1.1049275462666639</c:v>
                </c:pt>
                <c:pt idx="13">
                  <c:v>1.1204861332100831</c:v>
                </c:pt>
                <c:pt idx="14">
                  <c:v>0.90314061467075946</c:v>
                </c:pt>
                <c:pt idx="15">
                  <c:v>0.79845387002943058</c:v>
                </c:pt>
                <c:pt idx="16">
                  <c:v>0.54556496939429289</c:v>
                </c:pt>
                <c:pt idx="17">
                  <c:v>0.50365849491357695</c:v>
                </c:pt>
              </c:numCache>
            </c:numRef>
          </c:xVal>
          <c:yVal>
            <c:numRef>
              <c:f>vG_crest!$AX$28:$AX$45</c:f>
              <c:numCache>
                <c:formatCode>General</c:formatCode>
                <c:ptCount val="18"/>
                <c:pt idx="0">
                  <c:v>5.1388888888888894E-2</c:v>
                </c:pt>
                <c:pt idx="2">
                  <c:v>9.5333333333333339E-2</c:v>
                </c:pt>
                <c:pt idx="3">
                  <c:v>4.0845070422535212E-2</c:v>
                </c:pt>
                <c:pt idx="4">
                  <c:v>0.13856209150326798</c:v>
                </c:pt>
                <c:pt idx="5">
                  <c:v>8.3448275862068974E-2</c:v>
                </c:pt>
                <c:pt idx="6">
                  <c:v>4.6376811594202899E-2</c:v>
                </c:pt>
                <c:pt idx="7">
                  <c:v>0.13877551020408163</c:v>
                </c:pt>
                <c:pt idx="8">
                  <c:v>8.3571428571428547E-2</c:v>
                </c:pt>
                <c:pt idx="9">
                  <c:v>0.1590277777777778</c:v>
                </c:pt>
                <c:pt idx="10">
                  <c:v>0.10526315789473685</c:v>
                </c:pt>
                <c:pt idx="11">
                  <c:v>9.45945945945946E-2</c:v>
                </c:pt>
                <c:pt idx="12">
                  <c:v>8.4172661870503582E-2</c:v>
                </c:pt>
                <c:pt idx="13">
                  <c:v>7.7692307692307686E-2</c:v>
                </c:pt>
                <c:pt idx="14">
                  <c:v>5.3521126760563385E-2</c:v>
                </c:pt>
                <c:pt idx="15">
                  <c:v>5.5072463768115934E-2</c:v>
                </c:pt>
                <c:pt idx="16">
                  <c:v>2.4812030075187969E-2</c:v>
                </c:pt>
                <c:pt idx="17">
                  <c:v>1.984126984126984E-2</c:v>
                </c:pt>
              </c:numCache>
            </c:numRef>
          </c:yVal>
          <c:smooth val="0"/>
        </c:ser>
        <c:ser>
          <c:idx val="2"/>
          <c:order val="2"/>
          <c:tx>
            <c:v>C</c:v>
          </c:tx>
          <c:spPr>
            <a:ln w="28575">
              <a:noFill/>
            </a:ln>
          </c:spPr>
          <c:marker>
            <c:symbol val="triang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vG_crest!$BB$6:$BB$23</c:f>
              <c:numCache>
                <c:formatCode>General</c:formatCode>
                <c:ptCount val="18"/>
                <c:pt idx="0">
                  <c:v>0.91845143818130182</c:v>
                </c:pt>
                <c:pt idx="1">
                  <c:v>0.44080257425087777</c:v>
                </c:pt>
                <c:pt idx="2">
                  <c:v>1.2079281888979565</c:v>
                </c:pt>
                <c:pt idx="3">
                  <c:v>0.75619876573537836</c:v>
                </c:pt>
                <c:pt idx="4">
                  <c:v>1.5127291108691627</c:v>
                </c:pt>
                <c:pt idx="5">
                  <c:v>1.0436011607735007</c:v>
                </c:pt>
                <c:pt idx="6">
                  <c:v>0.64583028017862198</c:v>
                </c:pt>
                <c:pt idx="7">
                  <c:v>1.3725210812122088</c:v>
                </c:pt>
                <c:pt idx="8">
                  <c:v>1.008658198988555</c:v>
                </c:pt>
                <c:pt idx="9">
                  <c:v>1.329383297436463</c:v>
                </c:pt>
                <c:pt idx="10">
                  <c:v>1.3679649069704978</c:v>
                </c:pt>
                <c:pt idx="11">
                  <c:v>1.2210509734476891</c:v>
                </c:pt>
                <c:pt idx="12">
                  <c:v>1.1049275462666639</c:v>
                </c:pt>
                <c:pt idx="13">
                  <c:v>1.1204861332100831</c:v>
                </c:pt>
                <c:pt idx="14">
                  <c:v>0.90314061467075946</c:v>
                </c:pt>
                <c:pt idx="15">
                  <c:v>0.79845387002943058</c:v>
                </c:pt>
                <c:pt idx="16">
                  <c:v>0.54556496939429289</c:v>
                </c:pt>
                <c:pt idx="17">
                  <c:v>0.50365849491357695</c:v>
                </c:pt>
              </c:numCache>
            </c:numRef>
          </c:xVal>
          <c:yVal>
            <c:numRef>
              <c:f>vG_crest!$AX$50:$AX$67</c:f>
              <c:numCache>
                <c:formatCode>General</c:formatCode>
                <c:ptCount val="18"/>
                <c:pt idx="0">
                  <c:v>4.9305555555555554E-2</c:v>
                </c:pt>
                <c:pt idx="2">
                  <c:v>9.2666666666666675E-2</c:v>
                </c:pt>
                <c:pt idx="3">
                  <c:v>4.0140845070422537E-2</c:v>
                </c:pt>
                <c:pt idx="4">
                  <c:v>0.13660130718954247</c:v>
                </c:pt>
                <c:pt idx="5">
                  <c:v>8.2758620689655185E-2</c:v>
                </c:pt>
                <c:pt idx="6">
                  <c:v>3.8405797101449271E-2</c:v>
                </c:pt>
                <c:pt idx="7">
                  <c:v>0.1380952380952381</c:v>
                </c:pt>
                <c:pt idx="8">
                  <c:v>9.2142857142857137E-2</c:v>
                </c:pt>
                <c:pt idx="9">
                  <c:v>0.15277777777777779</c:v>
                </c:pt>
                <c:pt idx="10">
                  <c:v>0.10723684210526317</c:v>
                </c:pt>
                <c:pt idx="11">
                  <c:v>8.7837837837837843E-2</c:v>
                </c:pt>
                <c:pt idx="12">
                  <c:v>8.776978417266186E-2</c:v>
                </c:pt>
                <c:pt idx="13">
                  <c:v>7.9999999999999988E-2</c:v>
                </c:pt>
                <c:pt idx="14">
                  <c:v>5.6338028169014093E-2</c:v>
                </c:pt>
                <c:pt idx="15">
                  <c:v>5.2898550724637679E-2</c:v>
                </c:pt>
                <c:pt idx="16">
                  <c:v>2.2556390977443608E-2</c:v>
                </c:pt>
                <c:pt idx="17">
                  <c:v>1.984126984126984E-2</c:v>
                </c:pt>
              </c:numCache>
            </c:numRef>
          </c:yVal>
          <c:smooth val="0"/>
        </c:ser>
        <c:ser>
          <c:idx val="3"/>
          <c:order val="3"/>
          <c:tx>
            <c:v>D</c:v>
          </c:tx>
          <c:spPr>
            <a:ln w="28575">
              <a:noFill/>
            </a:ln>
          </c:spPr>
          <c:marker>
            <c:symbol val="circle"/>
            <c:size val="7"/>
            <c:spPr>
              <a:noFill/>
              <a:ln>
                <a:solidFill>
                  <a:schemeClr val="tx1"/>
                </a:solidFill>
              </a:ln>
            </c:spPr>
          </c:marker>
          <c:xVal>
            <c:numRef>
              <c:f>vG_crest!$BB$6:$BB$23</c:f>
              <c:numCache>
                <c:formatCode>General</c:formatCode>
                <c:ptCount val="18"/>
                <c:pt idx="0">
                  <c:v>0.91845143818130182</c:v>
                </c:pt>
                <c:pt idx="1">
                  <c:v>0.44080257425087777</c:v>
                </c:pt>
                <c:pt idx="2">
                  <c:v>1.2079281888979565</c:v>
                </c:pt>
                <c:pt idx="3">
                  <c:v>0.75619876573537836</c:v>
                </c:pt>
                <c:pt idx="4">
                  <c:v>1.5127291108691627</c:v>
                </c:pt>
                <c:pt idx="5">
                  <c:v>1.0436011607735007</c:v>
                </c:pt>
                <c:pt idx="6">
                  <c:v>0.64583028017862198</c:v>
                </c:pt>
                <c:pt idx="7">
                  <c:v>1.3725210812122088</c:v>
                </c:pt>
                <c:pt idx="8">
                  <c:v>1.008658198988555</c:v>
                </c:pt>
                <c:pt idx="9">
                  <c:v>1.329383297436463</c:v>
                </c:pt>
                <c:pt idx="10">
                  <c:v>1.3679649069704978</c:v>
                </c:pt>
                <c:pt idx="11">
                  <c:v>1.2210509734476891</c:v>
                </c:pt>
                <c:pt idx="12">
                  <c:v>1.1049275462666639</c:v>
                </c:pt>
                <c:pt idx="13">
                  <c:v>1.1204861332100831</c:v>
                </c:pt>
                <c:pt idx="14">
                  <c:v>0.90314061467075946</c:v>
                </c:pt>
                <c:pt idx="15">
                  <c:v>0.79845387002943058</c:v>
                </c:pt>
                <c:pt idx="16">
                  <c:v>0.54556496939429289</c:v>
                </c:pt>
                <c:pt idx="17">
                  <c:v>0.50365849491357695</c:v>
                </c:pt>
              </c:numCache>
            </c:numRef>
          </c:xVal>
          <c:yVal>
            <c:numRef>
              <c:f>vG_crest!$AX$72:$AX$89</c:f>
              <c:numCache>
                <c:formatCode>General</c:formatCode>
                <c:ptCount val="18"/>
                <c:pt idx="0">
                  <c:v>4.4444444444444453E-2</c:v>
                </c:pt>
                <c:pt idx="2">
                  <c:v>9.0666666666666659E-2</c:v>
                </c:pt>
                <c:pt idx="3">
                  <c:v>3.5211267605633804E-2</c:v>
                </c:pt>
                <c:pt idx="4">
                  <c:v>0.13594771241830064</c:v>
                </c:pt>
                <c:pt idx="5">
                  <c:v>7.8620689655172424E-2</c:v>
                </c:pt>
                <c:pt idx="6">
                  <c:v>3.695652173913043E-2</c:v>
                </c:pt>
                <c:pt idx="7">
                  <c:v>0.12585034013605442</c:v>
                </c:pt>
                <c:pt idx="8">
                  <c:v>7.6428571428571415E-2</c:v>
                </c:pt>
                <c:pt idx="9">
                  <c:v>0.14722222222222223</c:v>
                </c:pt>
                <c:pt idx="10">
                  <c:v>0.10197368421052631</c:v>
                </c:pt>
                <c:pt idx="11">
                  <c:v>8.6486486486486491E-2</c:v>
                </c:pt>
                <c:pt idx="12">
                  <c:v>7.7697841726618699E-2</c:v>
                </c:pt>
                <c:pt idx="13">
                  <c:v>7.9999999999999988E-2</c:v>
                </c:pt>
                <c:pt idx="14">
                  <c:v>5.6338028169014093E-2</c:v>
                </c:pt>
                <c:pt idx="15">
                  <c:v>4.8550724637681154E-2</c:v>
                </c:pt>
                <c:pt idx="16">
                  <c:v>1.5789473684210527E-2</c:v>
                </c:pt>
                <c:pt idx="17">
                  <c:v>2.3015873015873014E-2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036672"/>
        <c:axId val="91058176"/>
      </c:scatterChart>
      <c:valAx>
        <c:axId val="91036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nl-NL" sz="1200" b="0" i="0" baseline="0">
                    <a:effectLst/>
                  </a:rPr>
                  <a:t>(R</a:t>
                </a:r>
                <a:r>
                  <a:rPr lang="nl-NL" sz="1200" b="0" i="0" baseline="-25000">
                    <a:effectLst/>
                  </a:rPr>
                  <a:t>u2%</a:t>
                </a:r>
                <a:r>
                  <a:rPr lang="nl-NL" sz="1200" b="0" i="0" baseline="0">
                    <a:effectLst/>
                  </a:rPr>
                  <a:t> - R</a:t>
                </a:r>
                <a:r>
                  <a:rPr lang="nl-NL" sz="1200" b="0" i="0" baseline="-25000">
                    <a:effectLst/>
                  </a:rPr>
                  <a:t>c</a:t>
                </a:r>
                <a:r>
                  <a:rPr lang="nl-NL" sz="1200" b="0" i="0" baseline="0">
                    <a:effectLst/>
                  </a:rPr>
                  <a:t>) / H</a:t>
                </a:r>
                <a:r>
                  <a:rPr lang="nl-NL" sz="1200" b="0" i="0" baseline="-25000">
                    <a:effectLst/>
                  </a:rPr>
                  <a:t>m0</a:t>
                </a:r>
                <a:endParaRPr lang="nl-NL" sz="12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91058176"/>
        <c:crosses val="autoZero"/>
        <c:crossBetween val="midCat"/>
      </c:valAx>
      <c:valAx>
        <c:axId val="9105817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itchFamily="34" charset="0"/>
                    <a:ea typeface="+mn-ea"/>
                    <a:cs typeface="Arial" pitchFamily="34" charset="0"/>
                  </a:defRPr>
                </a:pPr>
                <a:r>
                  <a:rPr lang="nl-NL" sz="1200" b="0" i="0" baseline="0">
                    <a:effectLst/>
                  </a:rPr>
                  <a:t>h</a:t>
                </a:r>
                <a:r>
                  <a:rPr lang="nl-NL" sz="1200" b="0" i="0" baseline="-25000">
                    <a:effectLst/>
                  </a:rPr>
                  <a:t>2% </a:t>
                </a:r>
                <a:r>
                  <a:rPr lang="nl-NL" sz="1200" b="0" i="0" baseline="0">
                    <a:effectLst/>
                  </a:rPr>
                  <a:t>/ H</a:t>
                </a:r>
                <a:r>
                  <a:rPr lang="nl-NL" sz="1200" b="0" i="0" baseline="-25000">
                    <a:effectLst/>
                  </a:rPr>
                  <a:t>m0</a:t>
                </a:r>
                <a:endParaRPr lang="nl-NL" sz="12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91036672"/>
        <c:crosses val="autoZero"/>
        <c:crossBetween val="midCat"/>
        <c:majorUnit val="5.000000000000001E-2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 sz="1200" b="0">
          <a:latin typeface="Arial" pitchFamily="34" charset="0"/>
          <a:cs typeface="Arial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6.xml"/><Relationship Id="rId13" Type="http://schemas.openxmlformats.org/officeDocument/2006/relationships/chart" Target="../charts/chart21.xml"/><Relationship Id="rId18" Type="http://schemas.openxmlformats.org/officeDocument/2006/relationships/chart" Target="../charts/chart26.xml"/><Relationship Id="rId26" Type="http://schemas.openxmlformats.org/officeDocument/2006/relationships/chart" Target="../charts/chart34.xml"/><Relationship Id="rId3" Type="http://schemas.openxmlformats.org/officeDocument/2006/relationships/chart" Target="../charts/chart11.xml"/><Relationship Id="rId21" Type="http://schemas.openxmlformats.org/officeDocument/2006/relationships/chart" Target="../charts/chart29.xml"/><Relationship Id="rId7" Type="http://schemas.openxmlformats.org/officeDocument/2006/relationships/chart" Target="../charts/chart15.xml"/><Relationship Id="rId12" Type="http://schemas.openxmlformats.org/officeDocument/2006/relationships/chart" Target="../charts/chart20.xml"/><Relationship Id="rId17" Type="http://schemas.openxmlformats.org/officeDocument/2006/relationships/chart" Target="../charts/chart25.xml"/><Relationship Id="rId25" Type="http://schemas.openxmlformats.org/officeDocument/2006/relationships/chart" Target="../charts/chart33.xml"/><Relationship Id="rId2" Type="http://schemas.openxmlformats.org/officeDocument/2006/relationships/chart" Target="../charts/chart10.xml"/><Relationship Id="rId16" Type="http://schemas.openxmlformats.org/officeDocument/2006/relationships/chart" Target="../charts/chart24.xml"/><Relationship Id="rId20" Type="http://schemas.openxmlformats.org/officeDocument/2006/relationships/chart" Target="../charts/chart28.xml"/><Relationship Id="rId29" Type="http://schemas.openxmlformats.org/officeDocument/2006/relationships/chart" Target="../charts/chart37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11" Type="http://schemas.openxmlformats.org/officeDocument/2006/relationships/chart" Target="../charts/chart19.xml"/><Relationship Id="rId24" Type="http://schemas.openxmlformats.org/officeDocument/2006/relationships/chart" Target="../charts/chart32.xml"/><Relationship Id="rId5" Type="http://schemas.openxmlformats.org/officeDocument/2006/relationships/chart" Target="../charts/chart13.xml"/><Relationship Id="rId15" Type="http://schemas.openxmlformats.org/officeDocument/2006/relationships/chart" Target="../charts/chart23.xml"/><Relationship Id="rId23" Type="http://schemas.openxmlformats.org/officeDocument/2006/relationships/chart" Target="../charts/chart31.xml"/><Relationship Id="rId28" Type="http://schemas.openxmlformats.org/officeDocument/2006/relationships/chart" Target="../charts/chart36.xml"/><Relationship Id="rId10" Type="http://schemas.openxmlformats.org/officeDocument/2006/relationships/chart" Target="../charts/chart18.xml"/><Relationship Id="rId19" Type="http://schemas.openxmlformats.org/officeDocument/2006/relationships/chart" Target="../charts/chart27.xml"/><Relationship Id="rId4" Type="http://schemas.openxmlformats.org/officeDocument/2006/relationships/chart" Target="../charts/chart12.xml"/><Relationship Id="rId9" Type="http://schemas.openxmlformats.org/officeDocument/2006/relationships/chart" Target="../charts/chart17.xml"/><Relationship Id="rId14" Type="http://schemas.openxmlformats.org/officeDocument/2006/relationships/chart" Target="../charts/chart22.xml"/><Relationship Id="rId22" Type="http://schemas.openxmlformats.org/officeDocument/2006/relationships/chart" Target="../charts/chart30.xml"/><Relationship Id="rId27" Type="http://schemas.openxmlformats.org/officeDocument/2006/relationships/chart" Target="../charts/chart35.xml"/><Relationship Id="rId30" Type="http://schemas.openxmlformats.org/officeDocument/2006/relationships/chart" Target="../charts/chart3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1.xml"/><Relationship Id="rId2" Type="http://schemas.openxmlformats.org/officeDocument/2006/relationships/chart" Target="../charts/chart40.xml"/><Relationship Id="rId1" Type="http://schemas.openxmlformats.org/officeDocument/2006/relationships/chart" Target="../charts/chart39.xml"/><Relationship Id="rId4" Type="http://schemas.openxmlformats.org/officeDocument/2006/relationships/chart" Target="../charts/chart4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61</xdr:col>
      <xdr:colOff>5799</xdr:colOff>
      <xdr:row>54</xdr:row>
      <xdr:rowOff>190499</xdr:rowOff>
    </xdr:from>
    <xdr:to>
      <xdr:col>68</xdr:col>
      <xdr:colOff>5799</xdr:colOff>
      <xdr:row>73</xdr:row>
      <xdr:rowOff>173934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69</xdr:col>
      <xdr:colOff>9526</xdr:colOff>
      <xdr:row>54</xdr:row>
      <xdr:rowOff>180975</xdr:rowOff>
    </xdr:from>
    <xdr:to>
      <xdr:col>76</xdr:col>
      <xdr:colOff>9526</xdr:colOff>
      <xdr:row>73</xdr:row>
      <xdr:rowOff>173935</xdr:rowOff>
    </xdr:to>
    <xdr:graphicFrame macro="">
      <xdr:nvGraphicFramePr>
        <xdr:cNvPr id="21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61</xdr:col>
      <xdr:colOff>16565</xdr:colOff>
      <xdr:row>34</xdr:row>
      <xdr:rowOff>173935</xdr:rowOff>
    </xdr:from>
    <xdr:to>
      <xdr:col>67</xdr:col>
      <xdr:colOff>588065</xdr:colOff>
      <xdr:row>53</xdr:row>
      <xdr:rowOff>135835</xdr:rowOff>
    </xdr:to>
    <xdr:graphicFrame macro="">
      <xdr:nvGraphicFramePr>
        <xdr:cNvPr id="26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69</xdr:col>
      <xdr:colOff>0</xdr:colOff>
      <xdr:row>35</xdr:row>
      <xdr:rowOff>0</xdr:rowOff>
    </xdr:from>
    <xdr:to>
      <xdr:col>75</xdr:col>
      <xdr:colOff>571500</xdr:colOff>
      <xdr:row>53</xdr:row>
      <xdr:rowOff>152400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61</xdr:col>
      <xdr:colOff>9525</xdr:colOff>
      <xdr:row>97</xdr:row>
      <xdr:rowOff>38100</xdr:rowOff>
    </xdr:from>
    <xdr:to>
      <xdr:col>69</xdr:col>
      <xdr:colOff>19049</xdr:colOff>
      <xdr:row>113</xdr:row>
      <xdr:rowOff>19051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61</xdr:col>
      <xdr:colOff>0</xdr:colOff>
      <xdr:row>76</xdr:row>
      <xdr:rowOff>171450</xdr:rowOff>
    </xdr:from>
    <xdr:to>
      <xdr:col>67</xdr:col>
      <xdr:colOff>590550</xdr:colOff>
      <xdr:row>95</xdr:row>
      <xdr:rowOff>152400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69</xdr:col>
      <xdr:colOff>0</xdr:colOff>
      <xdr:row>76</xdr:row>
      <xdr:rowOff>180975</xdr:rowOff>
    </xdr:from>
    <xdr:to>
      <xdr:col>75</xdr:col>
      <xdr:colOff>590550</xdr:colOff>
      <xdr:row>95</xdr:row>
      <xdr:rowOff>161925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26</xdr:col>
      <xdr:colOff>361950</xdr:colOff>
      <xdr:row>130</xdr:row>
      <xdr:rowOff>52387</xdr:rowOff>
    </xdr:from>
    <xdr:to>
      <xdr:col>34</xdr:col>
      <xdr:colOff>57150</xdr:colOff>
      <xdr:row>144</xdr:row>
      <xdr:rowOff>128587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69</xdr:col>
      <xdr:colOff>352425</xdr:colOff>
      <xdr:row>3</xdr:row>
      <xdr:rowOff>0</xdr:rowOff>
    </xdr:from>
    <xdr:to>
      <xdr:col>77</xdr:col>
      <xdr:colOff>381000</xdr:colOff>
      <xdr:row>19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69</xdr:col>
      <xdr:colOff>381000</xdr:colOff>
      <xdr:row>22</xdr:row>
      <xdr:rowOff>19050</xdr:rowOff>
    </xdr:from>
    <xdr:to>
      <xdr:col>77</xdr:col>
      <xdr:colOff>409575</xdr:colOff>
      <xdr:row>37</xdr:row>
      <xdr:rowOff>171450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88</xdr:col>
      <xdr:colOff>590550</xdr:colOff>
      <xdr:row>3</xdr:row>
      <xdr:rowOff>23812</xdr:rowOff>
    </xdr:from>
    <xdr:to>
      <xdr:col>94</xdr:col>
      <xdr:colOff>605872</xdr:colOff>
      <xdr:row>20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78</xdr:col>
      <xdr:colOff>19051</xdr:colOff>
      <xdr:row>3</xdr:row>
      <xdr:rowOff>47625</xdr:rowOff>
    </xdr:from>
    <xdr:to>
      <xdr:col>84</xdr:col>
      <xdr:colOff>19050</xdr:colOff>
      <xdr:row>20</xdr:row>
      <xdr:rowOff>72473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96</xdr:col>
      <xdr:colOff>0</xdr:colOff>
      <xdr:row>3</xdr:row>
      <xdr:rowOff>190499</xdr:rowOff>
    </xdr:from>
    <xdr:to>
      <xdr:col>101</xdr:col>
      <xdr:colOff>596348</xdr:colOff>
      <xdr:row>21</xdr:row>
      <xdr:rowOff>16564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19049</xdr:colOff>
      <xdr:row>23</xdr:row>
      <xdr:rowOff>180975</xdr:rowOff>
    </xdr:from>
    <xdr:to>
      <xdr:col>16</xdr:col>
      <xdr:colOff>600075</xdr:colOff>
      <xdr:row>41</xdr:row>
      <xdr:rowOff>161924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19050</xdr:colOff>
      <xdr:row>44</xdr:row>
      <xdr:rowOff>14286</xdr:rowOff>
    </xdr:from>
    <xdr:to>
      <xdr:col>16</xdr:col>
      <xdr:colOff>581026</xdr:colOff>
      <xdr:row>61</xdr:row>
      <xdr:rowOff>171449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70</xdr:col>
      <xdr:colOff>0</xdr:colOff>
      <xdr:row>40</xdr:row>
      <xdr:rowOff>0</xdr:rowOff>
    </xdr:from>
    <xdr:to>
      <xdr:col>78</xdr:col>
      <xdr:colOff>28575</xdr:colOff>
      <xdr:row>55</xdr:row>
      <xdr:rowOff>152400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79</xdr:col>
      <xdr:colOff>0</xdr:colOff>
      <xdr:row>40</xdr:row>
      <xdr:rowOff>0</xdr:rowOff>
    </xdr:from>
    <xdr:to>
      <xdr:col>87</xdr:col>
      <xdr:colOff>28575</xdr:colOff>
      <xdr:row>55</xdr:row>
      <xdr:rowOff>152400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78</xdr:col>
      <xdr:colOff>104775</xdr:colOff>
      <xdr:row>22</xdr:row>
      <xdr:rowOff>180975</xdr:rowOff>
    </xdr:from>
    <xdr:to>
      <xdr:col>86</xdr:col>
      <xdr:colOff>133350</xdr:colOff>
      <xdr:row>38</xdr:row>
      <xdr:rowOff>142875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70</xdr:col>
      <xdr:colOff>0</xdr:colOff>
      <xdr:row>156</xdr:row>
      <xdr:rowOff>9525</xdr:rowOff>
    </xdr:from>
    <xdr:to>
      <xdr:col>78</xdr:col>
      <xdr:colOff>28575</xdr:colOff>
      <xdr:row>171</xdr:row>
      <xdr:rowOff>161925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70</xdr:col>
      <xdr:colOff>19049</xdr:colOff>
      <xdr:row>94</xdr:row>
      <xdr:rowOff>42862</xdr:rowOff>
    </xdr:from>
    <xdr:to>
      <xdr:col>78</xdr:col>
      <xdr:colOff>9524</xdr:colOff>
      <xdr:row>110</xdr:row>
      <xdr:rowOff>19050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72</xdr:col>
      <xdr:colOff>9525</xdr:colOff>
      <xdr:row>74</xdr:row>
      <xdr:rowOff>185944</xdr:rowOff>
    </xdr:from>
    <xdr:to>
      <xdr:col>78</xdr:col>
      <xdr:colOff>12837</xdr:colOff>
      <xdr:row>91</xdr:row>
      <xdr:rowOff>36858</xdr:rowOff>
    </xdr:to>
    <xdr:graphicFrame macro="">
      <xdr:nvGraphicFramePr>
        <xdr:cNvPr id="20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80</xdr:col>
      <xdr:colOff>12010</xdr:colOff>
      <xdr:row>56</xdr:row>
      <xdr:rowOff>158613</xdr:rowOff>
    </xdr:from>
    <xdr:to>
      <xdr:col>85</xdr:col>
      <xdr:colOff>596347</xdr:colOff>
      <xdr:row>73</xdr:row>
      <xdr:rowOff>8283</xdr:rowOff>
    </xdr:to>
    <xdr:graphicFrame macro="">
      <xdr:nvGraphicFramePr>
        <xdr:cNvPr id="19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78</xdr:col>
      <xdr:colOff>600075</xdr:colOff>
      <xdr:row>156</xdr:row>
      <xdr:rowOff>9525</xdr:rowOff>
    </xdr:from>
    <xdr:to>
      <xdr:col>87</xdr:col>
      <xdr:colOff>19050</xdr:colOff>
      <xdr:row>171</xdr:row>
      <xdr:rowOff>161925</xdr:rowOff>
    </xdr:to>
    <xdr:graphicFrame macro="">
      <xdr:nvGraphicFramePr>
        <xdr:cNvPr id="25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78</xdr:col>
      <xdr:colOff>590550</xdr:colOff>
      <xdr:row>94</xdr:row>
      <xdr:rowOff>9525</xdr:rowOff>
    </xdr:from>
    <xdr:to>
      <xdr:col>86</xdr:col>
      <xdr:colOff>581025</xdr:colOff>
      <xdr:row>109</xdr:row>
      <xdr:rowOff>176213</xdr:rowOff>
    </xdr:to>
    <xdr:graphicFrame macro="">
      <xdr:nvGraphicFramePr>
        <xdr:cNvPr id="26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69</xdr:col>
      <xdr:colOff>581024</xdr:colOff>
      <xdr:row>138</xdr:row>
      <xdr:rowOff>0</xdr:rowOff>
    </xdr:from>
    <xdr:to>
      <xdr:col>77</xdr:col>
      <xdr:colOff>571499</xdr:colOff>
      <xdr:row>153</xdr:row>
      <xdr:rowOff>152400</xdr:rowOff>
    </xdr:to>
    <xdr:graphicFrame macro="">
      <xdr:nvGraphicFramePr>
        <xdr:cNvPr id="27" name="Chart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78</xdr:col>
      <xdr:colOff>609599</xdr:colOff>
      <xdr:row>138</xdr:row>
      <xdr:rowOff>0</xdr:rowOff>
    </xdr:from>
    <xdr:to>
      <xdr:col>86</xdr:col>
      <xdr:colOff>600074</xdr:colOff>
      <xdr:row>153</xdr:row>
      <xdr:rowOff>152400</xdr:rowOff>
    </xdr:to>
    <xdr:graphicFrame macro="">
      <xdr:nvGraphicFramePr>
        <xdr:cNvPr id="28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80</xdr:col>
      <xdr:colOff>19050</xdr:colOff>
      <xdr:row>73</xdr:row>
      <xdr:rowOff>186773</xdr:rowOff>
    </xdr:from>
    <xdr:to>
      <xdr:col>85</xdr:col>
      <xdr:colOff>603388</xdr:colOff>
      <xdr:row>90</xdr:row>
      <xdr:rowOff>36443</xdr:rowOff>
    </xdr:to>
    <xdr:graphicFrame macro="">
      <xdr:nvGraphicFramePr>
        <xdr:cNvPr id="31" name="Chart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96</xdr:col>
      <xdr:colOff>0</xdr:colOff>
      <xdr:row>24</xdr:row>
      <xdr:rowOff>0</xdr:rowOff>
    </xdr:from>
    <xdr:to>
      <xdr:col>101</xdr:col>
      <xdr:colOff>596348</xdr:colOff>
      <xdr:row>40</xdr:row>
      <xdr:rowOff>16565</xdr:rowOff>
    </xdr:to>
    <xdr:graphicFrame macro="">
      <xdr:nvGraphicFramePr>
        <xdr:cNvPr id="33" name="Chart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78</xdr:col>
      <xdr:colOff>0</xdr:colOff>
      <xdr:row>113</xdr:row>
      <xdr:rowOff>19050</xdr:rowOff>
    </xdr:from>
    <xdr:to>
      <xdr:col>83</xdr:col>
      <xdr:colOff>584338</xdr:colOff>
      <xdr:row>129</xdr:row>
      <xdr:rowOff>59220</xdr:rowOff>
    </xdr:to>
    <xdr:graphicFrame macro="">
      <xdr:nvGraphicFramePr>
        <xdr:cNvPr id="23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70</xdr:col>
      <xdr:colOff>0</xdr:colOff>
      <xdr:row>113</xdr:row>
      <xdr:rowOff>9525</xdr:rowOff>
    </xdr:from>
    <xdr:to>
      <xdr:col>76</xdr:col>
      <xdr:colOff>3312</xdr:colOff>
      <xdr:row>129</xdr:row>
      <xdr:rowOff>50939</xdr:rowOff>
    </xdr:to>
    <xdr:graphicFrame macro="">
      <xdr:nvGraphicFramePr>
        <xdr:cNvPr id="24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89</xdr:col>
      <xdr:colOff>9525</xdr:colOff>
      <xdr:row>23</xdr:row>
      <xdr:rowOff>180975</xdr:rowOff>
    </xdr:from>
    <xdr:to>
      <xdr:col>95</xdr:col>
      <xdr:colOff>24847</xdr:colOff>
      <xdr:row>39</xdr:row>
      <xdr:rowOff>157163</xdr:rowOff>
    </xdr:to>
    <xdr:graphicFrame macro="">
      <xdr:nvGraphicFramePr>
        <xdr:cNvPr id="29" name="Chart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72</xdr:col>
      <xdr:colOff>9525</xdr:colOff>
      <xdr:row>57</xdr:row>
      <xdr:rowOff>19050</xdr:rowOff>
    </xdr:from>
    <xdr:to>
      <xdr:col>78</xdr:col>
      <xdr:colOff>12837</xdr:colOff>
      <xdr:row>73</xdr:row>
      <xdr:rowOff>60464</xdr:rowOff>
    </xdr:to>
    <xdr:graphicFrame macro="">
      <xdr:nvGraphicFramePr>
        <xdr:cNvPr id="30" name="Chart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61</xdr:col>
      <xdr:colOff>0</xdr:colOff>
      <xdr:row>116</xdr:row>
      <xdr:rowOff>190499</xdr:rowOff>
    </xdr:from>
    <xdr:to>
      <xdr:col>68</xdr:col>
      <xdr:colOff>3312</xdr:colOff>
      <xdr:row>135</xdr:row>
      <xdr:rowOff>180974</xdr:rowOff>
    </xdr:to>
    <xdr:graphicFrame macro="">
      <xdr:nvGraphicFramePr>
        <xdr:cNvPr id="32" name="Chart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53</xdr:col>
      <xdr:colOff>1</xdr:colOff>
      <xdr:row>117</xdr:row>
      <xdr:rowOff>9524</xdr:rowOff>
    </xdr:from>
    <xdr:to>
      <xdr:col>59</xdr:col>
      <xdr:colOff>574813</xdr:colOff>
      <xdr:row>135</xdr:row>
      <xdr:rowOff>190499</xdr:rowOff>
    </xdr:to>
    <xdr:graphicFrame macro="">
      <xdr:nvGraphicFramePr>
        <xdr:cNvPr id="34" name="Chart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104</xdr:col>
      <xdr:colOff>0</xdr:colOff>
      <xdr:row>3</xdr:row>
      <xdr:rowOff>190499</xdr:rowOff>
    </xdr:from>
    <xdr:to>
      <xdr:col>110</xdr:col>
      <xdr:colOff>581025</xdr:colOff>
      <xdr:row>24</xdr:row>
      <xdr:rowOff>0</xdr:rowOff>
    </xdr:to>
    <xdr:graphicFrame macro="">
      <xdr:nvGraphicFramePr>
        <xdr:cNvPr id="35" name="Chart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104</xdr:col>
      <xdr:colOff>0</xdr:colOff>
      <xdr:row>27</xdr:row>
      <xdr:rowOff>0</xdr:rowOff>
    </xdr:from>
    <xdr:to>
      <xdr:col>110</xdr:col>
      <xdr:colOff>581025</xdr:colOff>
      <xdr:row>46</xdr:row>
      <xdr:rowOff>1</xdr:rowOff>
    </xdr:to>
    <xdr:graphicFrame macro="">
      <xdr:nvGraphicFramePr>
        <xdr:cNvPr id="36" name="Chart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87</xdr:col>
      <xdr:colOff>571500</xdr:colOff>
      <xdr:row>43</xdr:row>
      <xdr:rowOff>0</xdr:rowOff>
    </xdr:from>
    <xdr:to>
      <xdr:col>95</xdr:col>
      <xdr:colOff>600075</xdr:colOff>
      <xdr:row>58</xdr:row>
      <xdr:rowOff>152400</xdr:rowOff>
    </xdr:to>
    <xdr:graphicFrame macro="">
      <xdr:nvGraphicFramePr>
        <xdr:cNvPr id="37" name="Chart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</xdr:col>
      <xdr:colOff>218514</xdr:colOff>
      <xdr:row>24</xdr:row>
      <xdr:rowOff>180414</xdr:rowOff>
    </xdr:from>
    <xdr:to>
      <xdr:col>8</xdr:col>
      <xdr:colOff>554691</xdr:colOff>
      <xdr:row>39</xdr:row>
      <xdr:rowOff>66114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66675</xdr:colOff>
      <xdr:row>42</xdr:row>
      <xdr:rowOff>147636</xdr:rowOff>
    </xdr:from>
    <xdr:to>
      <xdr:col>15</xdr:col>
      <xdr:colOff>371475</xdr:colOff>
      <xdr:row>60</xdr:row>
      <xdr:rowOff>133349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0</xdr:colOff>
      <xdr:row>43</xdr:row>
      <xdr:rowOff>0</xdr:rowOff>
    </xdr:from>
    <xdr:to>
      <xdr:col>24</xdr:col>
      <xdr:colOff>304800</xdr:colOff>
      <xdr:row>60</xdr:row>
      <xdr:rowOff>133350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63</xdr:row>
      <xdr:rowOff>0</xdr:rowOff>
    </xdr:from>
    <xdr:to>
      <xdr:col>15</xdr:col>
      <xdr:colOff>304800</xdr:colOff>
      <xdr:row>80</xdr:row>
      <xdr:rowOff>176213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0</xdr:colOff>
      <xdr:row>63</xdr:row>
      <xdr:rowOff>0</xdr:rowOff>
    </xdr:from>
    <xdr:to>
      <xdr:col>24</xdr:col>
      <xdr:colOff>304800</xdr:colOff>
      <xdr:row>80</xdr:row>
      <xdr:rowOff>133350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kte/Flowdike/5_Ergebnisse/Auswertungen/evaluation/s1_01_00_wi_00_00/W6/RA%20und%20CA%20aus%20Mik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eter"/>
      <sheetName val="RA 5-14"/>
      <sheetName val="RA 5-14 log"/>
      <sheetName val="CA 5-14"/>
      <sheetName val="CA 5-14 log"/>
      <sheetName val="CA 15-18"/>
      <sheetName val="CA 15-18 log"/>
      <sheetName val="CA 33-36"/>
      <sheetName val="CA 33-36 log"/>
      <sheetName val="CA 49"/>
      <sheetName val="CA 49 log"/>
      <sheetName val="overtopping"/>
    </sheetNames>
    <sheetDataSet>
      <sheetData sheetId="0" refreshError="1">
        <row r="9">
          <cell r="C9">
            <v>1108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\" TargetMode="External"/><Relationship Id="rId2" Type="http://schemas.openxmlformats.org/officeDocument/2006/relationships/hyperlink" Target="\" TargetMode="External"/><Relationship Id="rId1" Type="http://schemas.openxmlformats.org/officeDocument/2006/relationships/hyperlink" Target="\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160"/>
  <sheetViews>
    <sheetView topLeftCell="A82" zoomScaleNormal="100" workbookViewId="0">
      <selection activeCell="S5" sqref="S5"/>
    </sheetView>
  </sheetViews>
  <sheetFormatPr defaultRowHeight="15" x14ac:dyDescent="0.25"/>
  <sheetData>
    <row r="1" spans="1:93" x14ac:dyDescent="0.25">
      <c r="A1" s="7" t="s">
        <v>81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N1" s="1" t="s">
        <v>75</v>
      </c>
      <c r="O1" s="1"/>
      <c r="P1" s="1"/>
      <c r="Q1" s="1"/>
      <c r="R1" s="1"/>
      <c r="S1" s="1"/>
      <c r="T1" s="1"/>
      <c r="V1" s="7" t="s">
        <v>11</v>
      </c>
      <c r="W1" s="7"/>
      <c r="X1" s="7"/>
      <c r="Y1" s="7"/>
      <c r="Z1" s="7" t="s">
        <v>76</v>
      </c>
      <c r="AA1" s="7"/>
      <c r="AB1" s="7"/>
      <c r="AC1" s="7"/>
      <c r="AD1" s="7"/>
      <c r="AE1" s="7"/>
      <c r="AF1" s="7"/>
      <c r="AG1" s="7"/>
      <c r="AH1" s="7"/>
      <c r="AI1" s="6"/>
      <c r="AJ1" s="7" t="s">
        <v>79</v>
      </c>
      <c r="AK1" s="7"/>
      <c r="AL1" s="7"/>
      <c r="AM1" s="7"/>
      <c r="AN1" s="7"/>
      <c r="AO1" s="7"/>
      <c r="AP1" s="6"/>
      <c r="AQ1" s="1" t="s">
        <v>80</v>
      </c>
      <c r="AR1" s="1"/>
      <c r="AT1" s="1" t="s">
        <v>115</v>
      </c>
      <c r="AU1" s="1"/>
      <c r="AW1" s="1" t="s">
        <v>103</v>
      </c>
      <c r="AX1" s="1"/>
      <c r="AY1" s="1"/>
      <c r="AZ1" s="1"/>
      <c r="BA1" s="1"/>
      <c r="BB1" s="1"/>
      <c r="BC1" s="1"/>
    </row>
    <row r="2" spans="1:93" x14ac:dyDescent="0.25">
      <c r="AI2" s="6"/>
      <c r="AJ2" t="s">
        <v>104</v>
      </c>
      <c r="AL2" t="s">
        <v>106</v>
      </c>
      <c r="AM2" s="6"/>
      <c r="AN2" t="s">
        <v>105</v>
      </c>
      <c r="AO2" s="6"/>
      <c r="AP2" s="6"/>
      <c r="AQ2" s="6"/>
      <c r="AR2" s="6"/>
      <c r="AT2" s="6"/>
      <c r="AU2" s="6"/>
      <c r="AW2" t="s">
        <v>104</v>
      </c>
      <c r="AX2" t="s">
        <v>106</v>
      </c>
      <c r="AY2" t="s">
        <v>105</v>
      </c>
      <c r="BA2" t="s">
        <v>104</v>
      </c>
      <c r="BB2" t="s">
        <v>106</v>
      </c>
      <c r="BC2" t="s">
        <v>105</v>
      </c>
      <c r="CJ2" s="6"/>
      <c r="CK2" s="6"/>
      <c r="CL2" s="6"/>
      <c r="CM2" s="6"/>
      <c r="CN2" s="6"/>
      <c r="CO2" s="6"/>
    </row>
    <row r="3" spans="1:93" x14ac:dyDescent="0.25">
      <c r="M3" t="s">
        <v>25</v>
      </c>
      <c r="N3">
        <v>0.25</v>
      </c>
      <c r="S3" t="s">
        <v>14</v>
      </c>
      <c r="T3" t="s">
        <v>49</v>
      </c>
      <c r="V3" t="s">
        <v>12</v>
      </c>
      <c r="W3" t="s">
        <v>13</v>
      </c>
      <c r="X3" t="s">
        <v>14</v>
      </c>
      <c r="Y3" t="s">
        <v>15</v>
      </c>
      <c r="AD3" t="s">
        <v>21</v>
      </c>
      <c r="AJ3" t="s">
        <v>118</v>
      </c>
      <c r="AK3" t="s">
        <v>110</v>
      </c>
      <c r="AM3" t="s">
        <v>110</v>
      </c>
      <c r="AO3" t="s">
        <v>110</v>
      </c>
      <c r="AQ3" t="s">
        <v>65</v>
      </c>
      <c r="AR3" t="s">
        <v>109</v>
      </c>
      <c r="AT3" t="s">
        <v>117</v>
      </c>
      <c r="AU3" t="s">
        <v>157</v>
      </c>
      <c r="AW3" t="s">
        <v>116</v>
      </c>
      <c r="BA3" t="s">
        <v>112</v>
      </c>
      <c r="CJ3" s="6"/>
      <c r="CK3" s="6"/>
      <c r="CL3" s="6"/>
      <c r="CM3" s="6"/>
      <c r="CN3" s="6"/>
      <c r="CO3" s="6"/>
    </row>
    <row r="4" spans="1:93" x14ac:dyDescent="0.25">
      <c r="A4" t="s">
        <v>0</v>
      </c>
      <c r="B4" t="s">
        <v>2</v>
      </c>
      <c r="C4" t="s">
        <v>3</v>
      </c>
      <c r="D4" t="s">
        <v>4</v>
      </c>
      <c r="E4" t="s">
        <v>5</v>
      </c>
      <c r="F4" t="s">
        <v>6</v>
      </c>
      <c r="G4" t="s">
        <v>7</v>
      </c>
      <c r="H4" t="s">
        <v>8</v>
      </c>
      <c r="I4" t="s">
        <v>9</v>
      </c>
      <c r="J4" t="s">
        <v>10</v>
      </c>
      <c r="K4" t="s">
        <v>29</v>
      </c>
      <c r="L4" t="s">
        <v>28</v>
      </c>
      <c r="N4" t="s">
        <v>24</v>
      </c>
      <c r="O4" t="s">
        <v>26</v>
      </c>
      <c r="P4" t="s">
        <v>27</v>
      </c>
      <c r="Q4" t="s">
        <v>12</v>
      </c>
      <c r="R4" t="s">
        <v>38</v>
      </c>
      <c r="X4" t="s">
        <v>22</v>
      </c>
      <c r="Y4" t="s">
        <v>16</v>
      </c>
      <c r="Z4" t="s">
        <v>17</v>
      </c>
      <c r="AA4" t="s">
        <v>18</v>
      </c>
      <c r="AB4" t="s">
        <v>19</v>
      </c>
      <c r="AC4" t="s">
        <v>20</v>
      </c>
      <c r="AD4" t="s">
        <v>16</v>
      </c>
      <c r="AE4" t="s">
        <v>17</v>
      </c>
      <c r="AF4" t="s">
        <v>18</v>
      </c>
      <c r="AG4" t="s">
        <v>19</v>
      </c>
      <c r="AH4" t="s">
        <v>20</v>
      </c>
      <c r="CJ4" s="6"/>
      <c r="CK4" s="6"/>
      <c r="CL4" s="6"/>
      <c r="CM4" s="6"/>
      <c r="CN4" s="6"/>
      <c r="CO4" s="6"/>
    </row>
    <row r="5" spans="1:93" x14ac:dyDescent="0.25">
      <c r="A5">
        <v>1.01</v>
      </c>
      <c r="B5">
        <v>0.3</v>
      </c>
      <c r="C5">
        <v>0.3</v>
      </c>
      <c r="D5">
        <v>0.13900000000000001</v>
      </c>
      <c r="E5">
        <v>0.14399999999999999</v>
      </c>
      <c r="F5">
        <v>0.17299999999999999</v>
      </c>
      <c r="G5">
        <v>1.62</v>
      </c>
      <c r="H5">
        <v>1.7</v>
      </c>
      <c r="I5">
        <v>2.21</v>
      </c>
      <c r="J5">
        <v>2.5099999999999998</v>
      </c>
      <c r="K5">
        <f>C5/E5</f>
        <v>2.0833333333333335</v>
      </c>
      <c r="L5">
        <f>2*PI()/9.81*E5/(I5^2)</f>
        <v>1.8883774501170784E-2</v>
      </c>
      <c r="N5">
        <f>$N$3/SQRT(L5)</f>
        <v>1.8192634978876578</v>
      </c>
      <c r="O5">
        <f>1.75*N5*E5</f>
        <v>0.45845440146768973</v>
      </c>
      <c r="P5">
        <f>EXP(-((SQRT(-LN(0.02))*C5/O5)^2))</f>
        <v>0.18728159177150722</v>
      </c>
      <c r="Q5">
        <f>SQRT(9.81*E5^3)*0.067/SQRT($N$3)*N5*EXP(-4.3*C5/E5/N5)</f>
        <v>3.0328142125481773E-4</v>
      </c>
      <c r="R5">
        <f>0.84*G5*Q5/P5</f>
        <v>2.2036621652974674E-3</v>
      </c>
      <c r="S5">
        <f>R5*(-LN(0.02/P5))^(4/3)</f>
        <v>6.4466714242936698E-3</v>
      </c>
      <c r="T5">
        <f>S5/(E5^2)</f>
        <v>0.3108927191499648</v>
      </c>
      <c r="W5">
        <v>0.19</v>
      </c>
      <c r="X5">
        <v>5.9</v>
      </c>
      <c r="Y5">
        <v>8.3000000000000007</v>
      </c>
      <c r="Z5">
        <v>6.5</v>
      </c>
      <c r="AA5">
        <v>3</v>
      </c>
      <c r="AB5">
        <v>2.6</v>
      </c>
      <c r="AC5">
        <v>2.2000000000000002</v>
      </c>
      <c r="AD5">
        <v>1.01</v>
      </c>
      <c r="AE5">
        <v>1.1100000000000001</v>
      </c>
      <c r="AF5">
        <v>1.64</v>
      </c>
      <c r="AG5">
        <v>1.83</v>
      </c>
      <c r="AH5">
        <v>1.83</v>
      </c>
      <c r="AJ5">
        <f>AF5/(9.81*E5)^0.5</f>
        <v>1.3798379914128163</v>
      </c>
      <c r="AK5">
        <f>AA5/1000/E5</f>
        <v>2.0833333333333336E-2</v>
      </c>
      <c r="AL5">
        <f>AG5/(9.81*E5)^0.5</f>
        <v>1.5396972709057646</v>
      </c>
      <c r="AM5">
        <f>AB5/1000/E5</f>
        <v>1.8055555555555557E-2</v>
      </c>
      <c r="AN5">
        <f>AH5/(9.81*E5)^0.5</f>
        <v>1.5396972709057646</v>
      </c>
      <c r="AO5">
        <f>AC5/1000/E5</f>
        <v>1.5277777777777779E-2</v>
      </c>
      <c r="AQ5">
        <f>COS(ATAN(0.25))/E5*SQRT(S5/SIN(ATAN(0.25)))*vG_crest!$CX$42</f>
        <v>0.834769607802331</v>
      </c>
      <c r="AR5">
        <f>S5*SIN(ATAN(0.25))/(O5-C5)/E5*vG_crest!$CQ$42</f>
        <v>6.1671822808822122E-2</v>
      </c>
      <c r="AT5">
        <f>AQ5*($BI$38-$BI$39*0.2/E5)</f>
        <v>0.86027645692962451</v>
      </c>
      <c r="AU5">
        <f>AR5*($BI$57-$BI$58*0.2/E5)</f>
        <v>4.7624352057923751E-2</v>
      </c>
      <c r="AW5">
        <f>($BI$43+$BI$44*$BI$45*0.1/E5)*AT5</f>
        <v>1.099242139410076</v>
      </c>
      <c r="AX5">
        <f>($BI$43+$BI$44*$BI$45*0.25/E5)*AT5</f>
        <v>1.4576906631307529</v>
      </c>
      <c r="AY5">
        <f>($BI$43+$BI$44*$BI$45*0.4/E5)*AT5</f>
        <v>1.8161391868514301</v>
      </c>
      <c r="BA5">
        <f>($BI$61-$BI$62*$BI$45*0.1/E5)*AU5</f>
        <v>2.5928813898202927E-2</v>
      </c>
      <c r="BB5">
        <f>($BI$61-$BI$62*$BI$45*0.25/E5)*AU5</f>
        <v>2.1960117893375947E-2</v>
      </c>
      <c r="BC5">
        <f>($BI$61-$BI$62*$BI$45*0.4/E5)*AU5</f>
        <v>1.7991421888548968E-2</v>
      </c>
      <c r="CJ5" s="6"/>
      <c r="CK5" s="6"/>
      <c r="CL5" s="6"/>
      <c r="CM5" s="6"/>
      <c r="CN5" s="6"/>
      <c r="CO5" s="6"/>
    </row>
    <row r="6" spans="1:93" x14ac:dyDescent="0.25">
      <c r="A6">
        <v>1.02</v>
      </c>
      <c r="B6">
        <v>0.3</v>
      </c>
      <c r="C6">
        <v>0.3</v>
      </c>
      <c r="D6">
        <v>0.13300000000000001</v>
      </c>
      <c r="E6">
        <v>0.13900000000000001</v>
      </c>
      <c r="F6">
        <v>0.16400000000000001</v>
      </c>
      <c r="G6">
        <v>1.47</v>
      </c>
      <c r="H6">
        <v>1.55</v>
      </c>
      <c r="I6">
        <v>1.88</v>
      </c>
      <c r="J6">
        <v>2.02</v>
      </c>
      <c r="K6">
        <f t="shared" ref="K6:K22" si="0">C6/E6</f>
        <v>2.1582733812949639</v>
      </c>
      <c r="L6">
        <f t="shared" ref="L6:L22" si="1">2*PI()/9.81*E6/(I6^2)</f>
        <v>2.5188944105557727E-2</v>
      </c>
      <c r="N6">
        <f t="shared" ref="N6:N22" si="2">$N$3/SQRT(L6)</f>
        <v>1.5751975488156618</v>
      </c>
      <c r="O6">
        <f t="shared" ref="O6:O22" si="3">1.75*N6*E6</f>
        <v>0.38316680374940976</v>
      </c>
      <c r="P6">
        <f t="shared" ref="P6:P22" si="4">EXP(-((SQRT(-LN(0.02))*C6/O6)^2))</f>
        <v>9.0890045659496876E-2</v>
      </c>
      <c r="Q6">
        <f t="shared" ref="Q6:Q22" si="5">SQRT(9.81*E6^3)*0.067/SQRT($N$3)*N6*EXP(-4.3*C6/E6/N6)</f>
        <v>9.4638555550568396E-5</v>
      </c>
      <c r="R6">
        <f t="shared" ref="R6:R22" si="6">0.84*G6*Q6/P6</f>
        <v>1.2857259290157642E-3</v>
      </c>
      <c r="S6">
        <f t="shared" ref="S6:S22" si="7">R6*(-LN(0.02/P6))^(4/3)</f>
        <v>2.2350382191106133E-3</v>
      </c>
      <c r="T6">
        <f t="shared" ref="T6:T22" si="8">S6/(E6^2)</f>
        <v>0.11567922049120712</v>
      </c>
      <c r="W6">
        <v>0.05</v>
      </c>
      <c r="Y6">
        <v>2.7</v>
      </c>
      <c r="Z6">
        <v>1.5</v>
      </c>
      <c r="AQ6">
        <f>COS(ATAN(0.25))/E6*SQRT(S6/SIN(ATAN(0.25)))*vG_crest!$CX$42</f>
        <v>0.5092007445322142</v>
      </c>
      <c r="AR6">
        <f>S6*SIN(ATAN(0.25))/(O6-C6)/E6*vG_crest!$CQ$42</f>
        <v>4.2202501246457989E-2</v>
      </c>
      <c r="CJ6" s="6"/>
      <c r="CK6" s="6"/>
      <c r="CL6" s="6"/>
      <c r="CM6" s="6"/>
      <c r="CN6" s="6"/>
      <c r="CO6" s="6"/>
    </row>
    <row r="7" spans="1:93" x14ac:dyDescent="0.25">
      <c r="A7">
        <v>1.03</v>
      </c>
      <c r="B7">
        <v>0.35</v>
      </c>
      <c r="C7">
        <v>0.25</v>
      </c>
      <c r="D7">
        <v>0.14699999999999999</v>
      </c>
      <c r="E7">
        <v>0.15</v>
      </c>
      <c r="F7">
        <v>0.184</v>
      </c>
      <c r="G7">
        <v>1.67</v>
      </c>
      <c r="H7">
        <v>1.76</v>
      </c>
      <c r="I7">
        <v>2.16</v>
      </c>
      <c r="J7">
        <v>2.5</v>
      </c>
      <c r="K7">
        <f t="shared" si="0"/>
        <v>1.6666666666666667</v>
      </c>
      <c r="L7">
        <f t="shared" si="1"/>
        <v>2.0591814522151541E-2</v>
      </c>
      <c r="N7">
        <f t="shared" si="2"/>
        <v>1.742178700342196</v>
      </c>
      <c r="O7">
        <f t="shared" si="3"/>
        <v>0.45732190883982643</v>
      </c>
      <c r="P7">
        <f t="shared" si="4"/>
        <v>0.31065832062279358</v>
      </c>
      <c r="Q7">
        <f t="shared" si="5"/>
        <v>6.944565003627871E-4</v>
      </c>
      <c r="R7">
        <f t="shared" si="6"/>
        <v>3.1358682965771491E-3</v>
      </c>
      <c r="S7">
        <f t="shared" si="7"/>
        <v>1.204067238591419E-2</v>
      </c>
      <c r="T7">
        <f t="shared" si="8"/>
        <v>0.53514099492951961</v>
      </c>
      <c r="W7">
        <v>0.3</v>
      </c>
      <c r="X7">
        <v>10.9</v>
      </c>
      <c r="Y7">
        <v>15</v>
      </c>
      <c r="Z7">
        <v>12.6</v>
      </c>
      <c r="AA7">
        <v>7.3</v>
      </c>
      <c r="AB7">
        <v>5.7</v>
      </c>
      <c r="AC7">
        <v>4.3</v>
      </c>
      <c r="AD7">
        <v>1.44</v>
      </c>
      <c r="AE7">
        <v>1.4</v>
      </c>
      <c r="AF7">
        <v>1.92</v>
      </c>
      <c r="AG7">
        <v>2.4700000000000002</v>
      </c>
      <c r="AH7">
        <v>2.61</v>
      </c>
      <c r="AJ7">
        <f t="shared" ref="AJ7:AJ22" si="9">AE7/(9.81*E7)^0.5</f>
        <v>1.1541118559354953</v>
      </c>
      <c r="AK7">
        <f t="shared" ref="AK7:AK22" si="10">AA7/1000/E7</f>
        <v>4.8666666666666671E-2</v>
      </c>
      <c r="AL7">
        <f t="shared" ref="AL7:AL20" si="11">AG7/(9.81*E7)^0.5</f>
        <v>2.0361830601147668</v>
      </c>
      <c r="AM7">
        <f>AB7/1000/E7</f>
        <v>3.8000000000000006E-2</v>
      </c>
      <c r="AN7">
        <f t="shared" ref="AN7:AN20" si="12">AH7/(9.81*E7)^0.5</f>
        <v>2.1515942457083161</v>
      </c>
      <c r="AO7">
        <f>AC7/1000/E7</f>
        <v>2.8666666666666667E-2</v>
      </c>
      <c r="AQ7">
        <f>COS(ATAN(0.25))/E7*SQRT(S7/SIN(ATAN(0.25)))*vG_crest!$CX$42</f>
        <v>1.0952051167540886</v>
      </c>
      <c r="AR7">
        <f>S7*SIN(ATAN(0.25))/(O7-C7)/E7*vG_crest!$CQ$42</f>
        <v>8.4514714898701326E-2</v>
      </c>
      <c r="AT7">
        <f t="shared" ref="AT7:AT22" si="13">AQ7*($BI$38-$BI$39*0.2/E7)</f>
        <v>1.1317119539792251</v>
      </c>
      <c r="AU7">
        <f t="shared" ref="AU7:AU22" si="14">AR7*($BI$57-$BI$58*0.2/E7)</f>
        <v>6.5358046188329036E-2</v>
      </c>
      <c r="AW7">
        <f t="shared" ref="AW7:AW22" si="15">($BI$43+$BI$44*$BI$45*0.1/E7)*AT7</f>
        <v>1.433501808373685</v>
      </c>
      <c r="AX7">
        <f t="shared" ref="AX7:AX22" si="16">($BI$43+$BI$44*$BI$45*0.25/E7)*AT7</f>
        <v>1.8861865899653751</v>
      </c>
      <c r="AY7">
        <f t="shared" ref="AY7:AY22" si="17">($BI$43+$BI$44*$BI$45*0.4/E7)*AT7</f>
        <v>2.3388713715570653</v>
      </c>
      <c r="BA7">
        <f t="shared" ref="BA7:BA22" si="18">($BI$61-$BI$62*$BI$45*0.1/E7)*AU7</f>
        <v>3.5729065249619871E-2</v>
      </c>
      <c r="BB7">
        <f t="shared" ref="BB7:BB22" si="19">($BI$61-$BI$62*$BI$45*0.25/E7)*AU7</f>
        <v>3.0500421554553545E-2</v>
      </c>
      <c r="BC7">
        <f t="shared" ref="BC7:BC20" si="20">($BI$61-$BI$62*$BI$45*0.4/E7)*AU7</f>
        <v>2.5271777859487223E-2</v>
      </c>
      <c r="CJ7" s="6"/>
      <c r="CK7" s="6"/>
      <c r="CL7" s="6"/>
      <c r="CM7" s="6"/>
      <c r="CN7" s="6"/>
      <c r="CO7" s="6"/>
    </row>
    <row r="8" spans="1:93" x14ac:dyDescent="0.25">
      <c r="A8">
        <v>1.04</v>
      </c>
      <c r="B8">
        <v>0.35</v>
      </c>
      <c r="C8">
        <v>0.25</v>
      </c>
      <c r="D8">
        <v>0.13700000000000001</v>
      </c>
      <c r="E8">
        <v>0.14199999999999999</v>
      </c>
      <c r="F8">
        <v>0.17399999999999999</v>
      </c>
      <c r="G8">
        <v>1.48</v>
      </c>
      <c r="H8">
        <v>1.57</v>
      </c>
      <c r="I8">
        <v>1.84</v>
      </c>
      <c r="J8">
        <v>2</v>
      </c>
      <c r="K8">
        <f t="shared" si="0"/>
        <v>1.7605633802816902</v>
      </c>
      <c r="L8">
        <f t="shared" si="1"/>
        <v>2.6863559618198904E-2</v>
      </c>
      <c r="N8">
        <f t="shared" si="2"/>
        <v>1.5253103915254962</v>
      </c>
      <c r="O8">
        <f t="shared" si="3"/>
        <v>0.37903963229408577</v>
      </c>
      <c r="P8">
        <f t="shared" si="4"/>
        <v>0.18235237849382802</v>
      </c>
      <c r="Q8">
        <f t="shared" si="5"/>
        <v>2.3946337854913077E-4</v>
      </c>
      <c r="R8">
        <f t="shared" si="6"/>
        <v>1.6325582077469608E-3</v>
      </c>
      <c r="S8">
        <f t="shared" si="7"/>
        <v>4.7001644149095717E-3</v>
      </c>
      <c r="T8">
        <f t="shared" si="8"/>
        <v>0.23309682676599744</v>
      </c>
      <c r="W8">
        <v>0.13</v>
      </c>
      <c r="X8">
        <v>4.37</v>
      </c>
      <c r="Y8">
        <v>6.1</v>
      </c>
      <c r="Z8">
        <v>4.9000000000000004</v>
      </c>
      <c r="AA8">
        <v>1.9</v>
      </c>
      <c r="AB8">
        <v>2</v>
      </c>
      <c r="AC8">
        <v>1.7</v>
      </c>
      <c r="AD8">
        <v>0.67</v>
      </c>
      <c r="AE8">
        <v>0.89</v>
      </c>
      <c r="AJ8">
        <f t="shared" si="9"/>
        <v>0.75406942293529189</v>
      </c>
      <c r="AK8">
        <f t="shared" si="10"/>
        <v>1.3380281690140846E-2</v>
      </c>
      <c r="AM8">
        <f t="shared" ref="AM8:AM20" si="21">AB8/1000/E8</f>
        <v>1.4084507042253523E-2</v>
      </c>
      <c r="AO8">
        <f t="shared" ref="AO8:AO20" si="22">AC8/1000/E8</f>
        <v>1.1971830985915493E-2</v>
      </c>
      <c r="AQ8">
        <f>COS(ATAN(0.25))/E8*SQRT(S8/SIN(ATAN(0.25)))*vG_crest!$CX$42</f>
        <v>0.72281895680460251</v>
      </c>
      <c r="AR8">
        <f>S8*SIN(ATAN(0.25))/(O8-C8)/E8*vG_crest!$CQ$42</f>
        <v>5.599118224430237E-2</v>
      </c>
      <c r="AT8">
        <f t="shared" si="13"/>
        <v>0.74419810904811901</v>
      </c>
      <c r="AU8">
        <f t="shared" si="14"/>
        <v>4.321572939419395E-2</v>
      </c>
      <c r="AW8">
        <f t="shared" si="15"/>
        <v>0.95383137920251881</v>
      </c>
      <c r="AX8">
        <f t="shared" si="16"/>
        <v>1.2682812844341183</v>
      </c>
      <c r="AY8">
        <f t="shared" si="17"/>
        <v>1.5827311896657181</v>
      </c>
      <c r="BA8">
        <f t="shared" si="18"/>
        <v>2.349474865656178E-2</v>
      </c>
      <c r="BB8">
        <f t="shared" si="19"/>
        <v>1.9842715186629896E-2</v>
      </c>
      <c r="BC8">
        <f t="shared" si="20"/>
        <v>1.6190681716698012E-2</v>
      </c>
      <c r="CJ8" s="6"/>
      <c r="CK8" s="6"/>
      <c r="CL8" s="6"/>
      <c r="CM8" s="6"/>
      <c r="CN8" s="6"/>
      <c r="CO8" s="6"/>
    </row>
    <row r="9" spans="1:93" x14ac:dyDescent="0.25">
      <c r="A9">
        <v>1.05</v>
      </c>
      <c r="B9">
        <v>0.4</v>
      </c>
      <c r="C9">
        <v>0.2</v>
      </c>
      <c r="D9">
        <v>0.15</v>
      </c>
      <c r="E9">
        <v>0.153</v>
      </c>
      <c r="F9">
        <v>0.191</v>
      </c>
      <c r="G9">
        <v>1.67</v>
      </c>
      <c r="H9">
        <v>1.79</v>
      </c>
      <c r="I9">
        <v>2.14</v>
      </c>
      <c r="J9">
        <v>2.4900000000000002</v>
      </c>
      <c r="K9">
        <f t="shared" si="0"/>
        <v>1.3071895424836601</v>
      </c>
      <c r="L9">
        <f t="shared" si="1"/>
        <v>2.1398076956773787E-2</v>
      </c>
      <c r="N9">
        <f t="shared" si="2"/>
        <v>1.7090416080926201</v>
      </c>
      <c r="O9">
        <f t="shared" si="3"/>
        <v>0.457595890566799</v>
      </c>
      <c r="P9">
        <f t="shared" si="4"/>
        <v>0.47364189075472279</v>
      </c>
      <c r="Q9">
        <f t="shared" si="5"/>
        <v>1.6009056707842835E-3</v>
      </c>
      <c r="R9">
        <f t="shared" si="6"/>
        <v>4.7414523901120956E-3</v>
      </c>
      <c r="S9">
        <f t="shared" si="7"/>
        <v>2.2030531784089442E-2</v>
      </c>
      <c r="T9">
        <f t="shared" si="8"/>
        <v>0.94111375044168666</v>
      </c>
      <c r="W9">
        <v>0.51</v>
      </c>
      <c r="X9">
        <v>20.329999999999998</v>
      </c>
      <c r="Y9">
        <v>26.1</v>
      </c>
      <c r="Z9">
        <v>20.9</v>
      </c>
      <c r="AA9">
        <v>13.3</v>
      </c>
      <c r="AB9">
        <v>11.4</v>
      </c>
      <c r="AC9">
        <v>8.3000000000000007</v>
      </c>
      <c r="AD9">
        <v>1.78</v>
      </c>
      <c r="AE9">
        <v>1.57</v>
      </c>
      <c r="AF9">
        <v>2.09</v>
      </c>
      <c r="AG9">
        <v>2.76</v>
      </c>
      <c r="AH9">
        <v>2.93</v>
      </c>
      <c r="AJ9">
        <f t="shared" si="9"/>
        <v>1.2815024278610034</v>
      </c>
      <c r="AK9">
        <f t="shared" si="10"/>
        <v>8.6928104575163409E-2</v>
      </c>
      <c r="AL9">
        <f t="shared" si="11"/>
        <v>2.2528322935645662</v>
      </c>
      <c r="AM9">
        <f t="shared" si="21"/>
        <v>7.4509803921568626E-2</v>
      </c>
      <c r="AN9">
        <f t="shared" si="12"/>
        <v>2.3915937029507899</v>
      </c>
      <c r="AO9">
        <f t="shared" si="22"/>
        <v>5.4248366013071897E-2</v>
      </c>
      <c r="AQ9">
        <f>COS(ATAN(0.25))/E9*SQRT(S9/SIN(ATAN(0.25)))*vG_crest!$CX$42</f>
        <v>1.4523871996916478</v>
      </c>
      <c r="AR9">
        <f>S9*SIN(ATAN(0.25))/(O9-C9)/E9*vG_crest!$CQ$42</f>
        <v>0.12201484371920436</v>
      </c>
      <c r="AT9">
        <f t="shared" si="13"/>
        <v>1.5026986517071101</v>
      </c>
      <c r="AU9">
        <f t="shared" si="14"/>
        <v>9.4421944420613052E-2</v>
      </c>
      <c r="AW9">
        <f t="shared" si="15"/>
        <v>1.8955610443102762</v>
      </c>
      <c r="AX9">
        <f t="shared" si="16"/>
        <v>2.4848546332150252</v>
      </c>
      <c r="AY9">
        <f t="shared" si="17"/>
        <v>3.0741482221197747</v>
      </c>
      <c r="BA9">
        <f t="shared" si="18"/>
        <v>5.1716071519263877E-2</v>
      </c>
      <c r="BB9">
        <f t="shared" si="19"/>
        <v>4.431042881960795E-2</v>
      </c>
      <c r="BC9">
        <f t="shared" si="20"/>
        <v>3.6904786119952022E-2</v>
      </c>
      <c r="CJ9" s="6"/>
      <c r="CK9" s="6"/>
      <c r="CL9" s="6"/>
      <c r="CM9" s="6"/>
      <c r="CN9" s="6"/>
      <c r="CO9" s="6"/>
    </row>
    <row r="10" spans="1:93" x14ac:dyDescent="0.25">
      <c r="A10">
        <v>1.06</v>
      </c>
      <c r="B10">
        <v>0.4</v>
      </c>
      <c r="C10">
        <v>0.2</v>
      </c>
      <c r="D10">
        <v>0.14000000000000001</v>
      </c>
      <c r="E10">
        <v>0.14499999999999999</v>
      </c>
      <c r="F10">
        <v>0.183</v>
      </c>
      <c r="G10">
        <v>1.48</v>
      </c>
      <c r="H10">
        <v>1.57</v>
      </c>
      <c r="I10">
        <v>1.79</v>
      </c>
      <c r="J10">
        <v>1.99</v>
      </c>
      <c r="K10">
        <f t="shared" si="0"/>
        <v>1.3793103448275863</v>
      </c>
      <c r="L10">
        <f t="shared" si="1"/>
        <v>2.8984966399321254E-2</v>
      </c>
      <c r="N10">
        <f t="shared" si="2"/>
        <v>1.4684312155158106</v>
      </c>
      <c r="O10">
        <f t="shared" si="3"/>
        <v>0.37261442093713693</v>
      </c>
      <c r="P10">
        <f t="shared" si="4"/>
        <v>0.3239885446768862</v>
      </c>
      <c r="Q10">
        <f t="shared" si="5"/>
        <v>5.9940095880082133E-4</v>
      </c>
      <c r="R10">
        <f t="shared" si="6"/>
        <v>2.3000049977826972E-3</v>
      </c>
      <c r="S10">
        <f t="shared" si="7"/>
        <v>9.012059115093252E-3</v>
      </c>
      <c r="T10">
        <f t="shared" si="8"/>
        <v>0.42863539191882294</v>
      </c>
      <c r="W10">
        <v>0.27</v>
      </c>
      <c r="X10">
        <v>7.94</v>
      </c>
      <c r="Y10">
        <v>12.9</v>
      </c>
      <c r="Z10">
        <v>9.5</v>
      </c>
      <c r="AA10">
        <v>4.4000000000000004</v>
      </c>
      <c r="AB10">
        <v>3.8</v>
      </c>
      <c r="AC10">
        <v>3.6</v>
      </c>
      <c r="AD10">
        <v>1.1399999999999999</v>
      </c>
      <c r="AE10">
        <v>1.22</v>
      </c>
      <c r="AF10">
        <v>1.86</v>
      </c>
      <c r="AG10">
        <v>2.2400000000000002</v>
      </c>
      <c r="AH10">
        <v>2.2200000000000002</v>
      </c>
      <c r="AJ10">
        <f t="shared" si="9"/>
        <v>1.0229191895349043</v>
      </c>
      <c r="AK10">
        <f t="shared" si="10"/>
        <v>3.03448275862069E-2</v>
      </c>
      <c r="AL10">
        <f t="shared" si="11"/>
        <v>1.8781467086542509</v>
      </c>
      <c r="AM10">
        <f t="shared" si="21"/>
        <v>2.6206896551724139E-2</v>
      </c>
      <c r="AN10">
        <f t="shared" si="12"/>
        <v>1.8613775416126952</v>
      </c>
      <c r="AO10">
        <f t="shared" si="22"/>
        <v>2.4827586206896554E-2</v>
      </c>
      <c r="AQ10">
        <f>COS(ATAN(0.25))/E10*SQRT(S10/SIN(ATAN(0.25)))*vG_crest!$CX$42</f>
        <v>0.98017893970226089</v>
      </c>
      <c r="AR10">
        <f>S10*SIN(ATAN(0.25))/(O10-C10)/E10*vG_crest!$CQ$42</f>
        <v>7.8595377214809276E-2</v>
      </c>
      <c r="AT10">
        <f t="shared" si="13"/>
        <v>1.0105982861068139</v>
      </c>
      <c r="AU10">
        <f t="shared" si="14"/>
        <v>6.0708153434887162E-2</v>
      </c>
      <c r="AW10">
        <f t="shared" si="15"/>
        <v>1.2893840202052453</v>
      </c>
      <c r="AX10">
        <f t="shared" si="16"/>
        <v>1.7075626213528925</v>
      </c>
      <c r="AY10">
        <f t="shared" si="17"/>
        <v>2.1257412225005399</v>
      </c>
      <c r="BA10">
        <f t="shared" si="18"/>
        <v>3.307547669900749E-2</v>
      </c>
      <c r="BB10">
        <f t="shared" si="19"/>
        <v>2.805135365612027E-2</v>
      </c>
      <c r="BC10">
        <f t="shared" si="20"/>
        <v>2.3027230613233054E-2</v>
      </c>
      <c r="CJ10" s="6"/>
      <c r="CK10" s="6"/>
      <c r="CL10" s="6"/>
      <c r="CM10" s="6"/>
      <c r="CN10" s="6"/>
      <c r="CO10" s="6"/>
    </row>
    <row r="11" spans="1:93" x14ac:dyDescent="0.25">
      <c r="A11">
        <v>1.07</v>
      </c>
      <c r="B11">
        <v>0.4</v>
      </c>
      <c r="C11">
        <v>0.2</v>
      </c>
      <c r="D11">
        <v>0.13500000000000001</v>
      </c>
      <c r="E11">
        <v>0.13800000000000001</v>
      </c>
      <c r="F11">
        <v>0.17499999999999999</v>
      </c>
      <c r="G11">
        <v>1.34</v>
      </c>
      <c r="H11">
        <v>1.39</v>
      </c>
      <c r="I11">
        <v>1.51</v>
      </c>
      <c r="J11">
        <v>1.59</v>
      </c>
      <c r="K11">
        <f t="shared" si="0"/>
        <v>1.4492753623188406</v>
      </c>
      <c r="L11">
        <f t="shared" si="1"/>
        <v>3.8764666570670687E-2</v>
      </c>
      <c r="N11">
        <f t="shared" si="2"/>
        <v>1.2697609954530076</v>
      </c>
      <c r="O11">
        <f t="shared" si="3"/>
        <v>0.30664728040190137</v>
      </c>
      <c r="P11">
        <f t="shared" si="4"/>
        <v>0.18935829539892984</v>
      </c>
      <c r="Q11">
        <f t="shared" si="5"/>
        <v>2.0183561119872527E-4</v>
      </c>
      <c r="R11">
        <f t="shared" si="6"/>
        <v>1.199768742566369E-3</v>
      </c>
      <c r="S11">
        <f t="shared" si="7"/>
        <v>3.5329359554655041E-3</v>
      </c>
      <c r="T11">
        <f t="shared" si="8"/>
        <v>0.18551438539516402</v>
      </c>
      <c r="W11">
        <v>0.14000000000000001</v>
      </c>
      <c r="X11">
        <v>3.62</v>
      </c>
      <c r="Y11">
        <v>6.4</v>
      </c>
      <c r="Z11">
        <v>4.5</v>
      </c>
      <c r="AA11">
        <v>1.7</v>
      </c>
      <c r="AB11">
        <v>2.2000000000000002</v>
      </c>
      <c r="AC11">
        <v>1.4</v>
      </c>
      <c r="AD11">
        <v>0.54</v>
      </c>
      <c r="AE11">
        <v>0.8</v>
      </c>
      <c r="AG11">
        <v>1.22</v>
      </c>
      <c r="AJ11">
        <f t="shared" si="9"/>
        <v>0.68756844970489395</v>
      </c>
      <c r="AK11">
        <f t="shared" si="10"/>
        <v>1.2318840579710144E-2</v>
      </c>
      <c r="AL11">
        <f t="shared" si="11"/>
        <v>1.0485418857999631</v>
      </c>
      <c r="AM11">
        <f t="shared" si="21"/>
        <v>1.5942028985507246E-2</v>
      </c>
      <c r="AO11">
        <f t="shared" si="22"/>
        <v>1.0144927536231883E-2</v>
      </c>
      <c r="AQ11">
        <f>COS(ATAN(0.25))/E11*SQRT(S11/SIN(ATAN(0.25)))*vG_crest!$CX$42</f>
        <v>0.64483729751845209</v>
      </c>
      <c r="AR11">
        <f>S11*SIN(ATAN(0.25))/(O11-C11)/E11*vG_crest!$CQ$42</f>
        <v>5.2399234447325305E-2</v>
      </c>
      <c r="AT11">
        <f t="shared" si="13"/>
        <v>0.66259368687040943</v>
      </c>
      <c r="AU11">
        <f t="shared" si="14"/>
        <v>4.0400569168082698E-2</v>
      </c>
      <c r="AW11">
        <f t="shared" si="15"/>
        <v>0.85464982799226719</v>
      </c>
      <c r="AX11">
        <f t="shared" si="16"/>
        <v>1.142734039675054</v>
      </c>
      <c r="AY11">
        <f t="shared" si="17"/>
        <v>1.4308182513578405</v>
      </c>
      <c r="BA11">
        <f t="shared" si="18"/>
        <v>2.1898279520091199E-2</v>
      </c>
      <c r="BB11">
        <f t="shared" si="19"/>
        <v>1.8385186548953575E-2</v>
      </c>
      <c r="BC11">
        <f t="shared" si="20"/>
        <v>1.4872093577815947E-2</v>
      </c>
      <c r="CJ11" s="6"/>
      <c r="CK11" s="6"/>
      <c r="CL11" s="6"/>
      <c r="CM11" s="6"/>
      <c r="CN11" s="6"/>
      <c r="CO11" s="6"/>
    </row>
    <row r="12" spans="1:93" x14ac:dyDescent="0.25">
      <c r="A12">
        <v>1.08</v>
      </c>
      <c r="B12">
        <v>0.45</v>
      </c>
      <c r="C12">
        <v>0.15</v>
      </c>
      <c r="D12">
        <v>0.14299999999999999</v>
      </c>
      <c r="E12">
        <v>0.14699999999999999</v>
      </c>
      <c r="F12">
        <v>189</v>
      </c>
      <c r="G12">
        <v>1.5</v>
      </c>
      <c r="H12">
        <v>1.6</v>
      </c>
      <c r="I12">
        <v>1.78</v>
      </c>
      <c r="J12">
        <v>1.98</v>
      </c>
      <c r="K12">
        <f t="shared" si="0"/>
        <v>1.0204081632653061</v>
      </c>
      <c r="L12">
        <f t="shared" si="1"/>
        <v>2.9715852303326355E-2</v>
      </c>
      <c r="N12">
        <f t="shared" si="2"/>
        <v>1.4502601481681909</v>
      </c>
      <c r="O12">
        <f t="shared" si="3"/>
        <v>0.37307942311626713</v>
      </c>
      <c r="P12">
        <f t="shared" si="4"/>
        <v>0.53132326488324977</v>
      </c>
      <c r="Q12">
        <f t="shared" si="5"/>
        <v>1.6649659314685046E-3</v>
      </c>
      <c r="R12">
        <f t="shared" si="6"/>
        <v>3.9483629125694093E-3</v>
      </c>
      <c r="S12">
        <f t="shared" si="7"/>
        <v>1.9239111205927081E-2</v>
      </c>
      <c r="T12">
        <f t="shared" si="8"/>
        <v>0.89032862260757484</v>
      </c>
      <c r="W12">
        <v>0.5</v>
      </c>
      <c r="X12">
        <v>12.81</v>
      </c>
      <c r="Y12">
        <v>20.6</v>
      </c>
      <c r="Z12">
        <v>15.7</v>
      </c>
      <c r="AA12">
        <v>8.6</v>
      </c>
      <c r="AB12">
        <v>6.4</v>
      </c>
      <c r="AC12">
        <v>5.5</v>
      </c>
      <c r="AD12">
        <v>1.57</v>
      </c>
      <c r="AE12">
        <v>1.44</v>
      </c>
      <c r="AF12">
        <v>1.99</v>
      </c>
      <c r="AG12">
        <v>2.61</v>
      </c>
      <c r="AH12">
        <v>2.62</v>
      </c>
      <c r="AJ12">
        <f t="shared" si="9"/>
        <v>1.1991384287702895</v>
      </c>
      <c r="AK12">
        <f t="shared" si="10"/>
        <v>5.8503401360544223E-2</v>
      </c>
      <c r="AL12">
        <f t="shared" si="11"/>
        <v>2.1734384021461497</v>
      </c>
      <c r="AM12">
        <f t="shared" si="21"/>
        <v>4.3537414965986398E-2</v>
      </c>
      <c r="AN12">
        <f t="shared" si="12"/>
        <v>2.1817657523459437</v>
      </c>
      <c r="AO12">
        <f t="shared" si="22"/>
        <v>3.7414965986394558E-2</v>
      </c>
      <c r="AQ12">
        <f>COS(ATAN(0.25))/E12*SQRT(S12/SIN(ATAN(0.25)))*vG_crest!$CX$42</f>
        <v>1.4126563337041296</v>
      </c>
      <c r="AR12">
        <f>S12*SIN(ATAN(0.25))/(O12-C12)/E12*vG_crest!$CQ$42</f>
        <v>0.1280637474666958</v>
      </c>
      <c r="AT12">
        <f t="shared" si="13"/>
        <v>1.4578228967545337</v>
      </c>
      <c r="AU12">
        <f t="shared" si="14"/>
        <v>9.8966270151133628E-2</v>
      </c>
      <c r="AW12">
        <f t="shared" si="15"/>
        <v>1.8545093992727744</v>
      </c>
      <c r="AX12">
        <f t="shared" si="16"/>
        <v>2.4495391530501349</v>
      </c>
      <c r="AY12">
        <f t="shared" si="17"/>
        <v>3.0445689068274961</v>
      </c>
      <c r="BA12">
        <f t="shared" si="18"/>
        <v>5.3993842626672894E-2</v>
      </c>
      <c r="BB12">
        <f t="shared" si="19"/>
        <v>4.5914963430661988E-2</v>
      </c>
      <c r="BC12">
        <f t="shared" si="20"/>
        <v>3.7836084234651075E-2</v>
      </c>
      <c r="CJ12" s="6"/>
      <c r="CK12" s="6"/>
      <c r="CL12" s="6"/>
      <c r="CM12" s="6"/>
      <c r="CN12" s="6"/>
      <c r="CO12" s="6"/>
    </row>
    <row r="13" spans="1:93" x14ac:dyDescent="0.25">
      <c r="A13">
        <v>1.0900000000000001</v>
      </c>
      <c r="B13">
        <v>0.45</v>
      </c>
      <c r="C13">
        <v>0.15</v>
      </c>
      <c r="D13">
        <v>0.13800000000000001</v>
      </c>
      <c r="E13">
        <v>0.14000000000000001</v>
      </c>
      <c r="F13">
        <v>180</v>
      </c>
      <c r="G13">
        <v>1.35</v>
      </c>
      <c r="H13">
        <v>1.41</v>
      </c>
      <c r="I13">
        <v>1.51</v>
      </c>
      <c r="J13">
        <v>1.59</v>
      </c>
      <c r="K13">
        <f t="shared" si="0"/>
        <v>1.0714285714285714</v>
      </c>
      <c r="L13">
        <f t="shared" si="1"/>
        <v>3.9326473332564463E-2</v>
      </c>
      <c r="N13">
        <f t="shared" si="2"/>
        <v>1.2606586487376523</v>
      </c>
      <c r="O13">
        <f t="shared" si="3"/>
        <v>0.3088613689407248</v>
      </c>
      <c r="P13">
        <f t="shared" si="4"/>
        <v>0.39744768825801324</v>
      </c>
      <c r="Q13">
        <f t="shared" si="5"/>
        <v>7.1709550861575331E-4</v>
      </c>
      <c r="R13">
        <f t="shared" si="6"/>
        <v>2.046020975324843E-3</v>
      </c>
      <c r="S13">
        <f t="shared" si="7"/>
        <v>8.8106665642974577E-3</v>
      </c>
      <c r="T13">
        <f t="shared" si="8"/>
        <v>0.44952380430089062</v>
      </c>
      <c r="W13">
        <v>0.4</v>
      </c>
      <c r="X13">
        <v>6.39</v>
      </c>
      <c r="Y13">
        <v>12.7</v>
      </c>
      <c r="Z13">
        <v>8.6</v>
      </c>
      <c r="AA13">
        <v>4.8</v>
      </c>
      <c r="AB13">
        <v>3.9</v>
      </c>
      <c r="AC13">
        <v>2.8</v>
      </c>
      <c r="AD13">
        <v>1.2</v>
      </c>
      <c r="AE13">
        <v>1.23</v>
      </c>
      <c r="AF13">
        <v>1.76</v>
      </c>
      <c r="AG13">
        <v>2.13</v>
      </c>
      <c r="AH13">
        <v>2.17</v>
      </c>
      <c r="AJ13">
        <f t="shared" si="9"/>
        <v>1.0495583543507325</v>
      </c>
      <c r="AK13">
        <f t="shared" si="10"/>
        <v>3.428571428571428E-2</v>
      </c>
      <c r="AL13">
        <f t="shared" si="11"/>
        <v>1.8175278819244394</v>
      </c>
      <c r="AM13">
        <f t="shared" si="21"/>
        <v>2.7857142857142855E-2</v>
      </c>
      <c r="AN13">
        <f t="shared" si="12"/>
        <v>1.8516598609277151</v>
      </c>
      <c r="AO13">
        <f t="shared" si="22"/>
        <v>1.9999999999999997E-2</v>
      </c>
      <c r="AQ13">
        <f>COS(ATAN(0.25))/E13*SQRT(S13/SIN(ATAN(0.25)))*vG_crest!$CX$42</f>
        <v>1.0037780637696516</v>
      </c>
      <c r="AR13">
        <f>S13*SIN(ATAN(0.25))/(O13-C13)/E13*vG_crest!$CQ$42</f>
        <v>8.6472990469910097E-2</v>
      </c>
      <c r="AT13">
        <f t="shared" si="13"/>
        <v>1.0324574370202133</v>
      </c>
      <c r="AU13">
        <f t="shared" si="14"/>
        <v>6.6707735505359217E-2</v>
      </c>
      <c r="AW13">
        <f t="shared" si="15"/>
        <v>1.3274452761688458</v>
      </c>
      <c r="AX13">
        <f t="shared" si="16"/>
        <v>1.7699270348917944</v>
      </c>
      <c r="AY13">
        <f t="shared" si="17"/>
        <v>2.2124087936147432</v>
      </c>
      <c r="BA13">
        <f t="shared" si="18"/>
        <v>3.6212770702909285E-2</v>
      </c>
      <c r="BB13">
        <f t="shared" si="19"/>
        <v>3.0494964802449922E-2</v>
      </c>
      <c r="BC13">
        <f t="shared" si="20"/>
        <v>2.4777158901990563E-2</v>
      </c>
      <c r="CJ13" s="6"/>
      <c r="CK13" s="6"/>
      <c r="CL13" s="6"/>
      <c r="CM13" s="6"/>
      <c r="CN13" s="6"/>
      <c r="CO13" s="6"/>
    </row>
    <row r="14" spans="1:93" x14ac:dyDescent="0.25">
      <c r="A14" t="s">
        <v>1</v>
      </c>
      <c r="B14">
        <v>0.5</v>
      </c>
      <c r="C14">
        <v>0.1</v>
      </c>
      <c r="D14">
        <v>0.14000000000000001</v>
      </c>
      <c r="E14">
        <v>0.14399999999999999</v>
      </c>
      <c r="F14">
        <v>0.192</v>
      </c>
      <c r="G14">
        <v>1.35</v>
      </c>
      <c r="H14">
        <v>1.41</v>
      </c>
      <c r="I14">
        <v>1.49</v>
      </c>
      <c r="J14">
        <v>1.59</v>
      </c>
      <c r="K14">
        <f t="shared" si="0"/>
        <v>0.69444444444444453</v>
      </c>
      <c r="L14" s="1">
        <f t="shared" si="1"/>
        <v>4.1543283203985509E-2</v>
      </c>
      <c r="N14">
        <f t="shared" si="2"/>
        <v>1.2265622678066108</v>
      </c>
      <c r="O14">
        <f t="shared" si="3"/>
        <v>0.30909369148726595</v>
      </c>
      <c r="P14">
        <f t="shared" si="4"/>
        <v>0.66400268592776779</v>
      </c>
      <c r="Q14">
        <f t="shared" si="5"/>
        <v>2.4652825153366124E-3</v>
      </c>
      <c r="R14">
        <f t="shared" si="6"/>
        <v>4.2102696745654972E-3</v>
      </c>
      <c r="S14">
        <f t="shared" si="7"/>
        <v>2.239527263495605E-2</v>
      </c>
      <c r="T14">
        <f t="shared" si="8"/>
        <v>1.0800189349419393</v>
      </c>
      <c r="W14">
        <v>0.63</v>
      </c>
      <c r="X14">
        <v>16.04</v>
      </c>
      <c r="Y14">
        <v>25.5</v>
      </c>
      <c r="Z14">
        <v>16</v>
      </c>
      <c r="AA14">
        <v>10.5</v>
      </c>
      <c r="AB14">
        <v>8.6</v>
      </c>
      <c r="AC14">
        <v>6</v>
      </c>
      <c r="AD14">
        <v>1.66</v>
      </c>
      <c r="AE14">
        <v>1.48</v>
      </c>
      <c r="AF14">
        <v>2.02</v>
      </c>
      <c r="AG14">
        <v>2.54</v>
      </c>
      <c r="AH14">
        <v>2.72</v>
      </c>
      <c r="AJ14">
        <f t="shared" si="9"/>
        <v>1.2452196507871756</v>
      </c>
      <c r="AK14">
        <f t="shared" si="10"/>
        <v>7.2916666666666671E-2</v>
      </c>
      <c r="AL14">
        <f t="shared" si="11"/>
        <v>2.1370661574320446</v>
      </c>
      <c r="AM14">
        <f t="shared" si="21"/>
        <v>5.9722222222222225E-2</v>
      </c>
      <c r="AN14">
        <f t="shared" si="12"/>
        <v>2.2885117906358907</v>
      </c>
      <c r="AO14">
        <f t="shared" si="22"/>
        <v>4.1666666666666671E-2</v>
      </c>
      <c r="AQ14">
        <f>COS(ATAN(0.25))/E14*SQRT(S14/SIN(ATAN(0.25)))*vG_crest!$CX$42</f>
        <v>1.5558833671030079</v>
      </c>
      <c r="AR14">
        <f>S14*SIN(ATAN(0.25))/(O14-C14)/E14*vG_crest!$CQ$42</f>
        <v>0.1623569859922383</v>
      </c>
      <c r="AT14">
        <f t="shared" si="13"/>
        <v>1.6034242477644889</v>
      </c>
      <c r="AU14">
        <f t="shared" si="14"/>
        <v>0.12537567251622847</v>
      </c>
      <c r="AW14">
        <f t="shared" si="15"/>
        <v>2.0488198721435138</v>
      </c>
      <c r="AX14">
        <f t="shared" si="16"/>
        <v>2.7169133087120509</v>
      </c>
      <c r="AY14">
        <f t="shared" si="17"/>
        <v>3.3850067452805885</v>
      </c>
      <c r="BA14">
        <f t="shared" si="18"/>
        <v>6.8260088369946612E-2</v>
      </c>
      <c r="BB14">
        <f t="shared" si="19"/>
        <v>5.7812115660260892E-2</v>
      </c>
      <c r="BC14">
        <f t="shared" si="20"/>
        <v>4.7364142950575186E-2</v>
      </c>
      <c r="CJ14" s="6"/>
      <c r="CK14" s="6"/>
      <c r="CL14" s="6"/>
      <c r="CM14" s="6"/>
      <c r="CN14" s="6"/>
      <c r="CO14" s="6"/>
    </row>
    <row r="15" spans="1:93" x14ac:dyDescent="0.25">
      <c r="A15">
        <v>2.0099999999999998</v>
      </c>
      <c r="B15">
        <v>0.4</v>
      </c>
      <c r="C15">
        <v>0.2</v>
      </c>
      <c r="D15">
        <v>0.14599999999999999</v>
      </c>
      <c r="E15">
        <v>0.152</v>
      </c>
      <c r="F15">
        <v>0.185</v>
      </c>
      <c r="G15">
        <v>1.6</v>
      </c>
      <c r="H15">
        <v>1.7</v>
      </c>
      <c r="I15">
        <v>2.0299999999999998</v>
      </c>
      <c r="J15">
        <v>2.5</v>
      </c>
      <c r="K15">
        <f t="shared" si="0"/>
        <v>1.3157894736842106</v>
      </c>
      <c r="L15">
        <f t="shared" si="1"/>
        <v>2.3624486260851819E-2</v>
      </c>
      <c r="N15">
        <f t="shared" si="2"/>
        <v>1.6265178064573991</v>
      </c>
      <c r="O15">
        <f t="shared" si="3"/>
        <v>0.43265373651766814</v>
      </c>
      <c r="P15">
        <f t="shared" si="4"/>
        <v>0.43346235307143199</v>
      </c>
      <c r="Q15">
        <f t="shared" si="5"/>
        <v>1.2481193615384706E-3</v>
      </c>
      <c r="R15">
        <f t="shared" si="6"/>
        <v>3.8699379773617093E-3</v>
      </c>
      <c r="S15">
        <f t="shared" si="7"/>
        <v>1.7312752766317913E-2</v>
      </c>
      <c r="T15">
        <f t="shared" si="8"/>
        <v>0.74934006086902327</v>
      </c>
      <c r="W15">
        <v>0.38</v>
      </c>
      <c r="X15">
        <v>11.46</v>
      </c>
      <c r="Y15">
        <v>17.399999999999999</v>
      </c>
      <c r="Z15">
        <v>14.1</v>
      </c>
      <c r="AA15">
        <v>7</v>
      </c>
      <c r="AB15">
        <v>5.9</v>
      </c>
      <c r="AC15">
        <v>4.5999999999999996</v>
      </c>
      <c r="AD15">
        <v>1.42</v>
      </c>
      <c r="AE15">
        <v>1.37</v>
      </c>
      <c r="AF15">
        <v>1.92</v>
      </c>
      <c r="AG15">
        <v>2.46</v>
      </c>
      <c r="AH15">
        <v>2.57</v>
      </c>
      <c r="AJ15">
        <f t="shared" si="9"/>
        <v>1.1219261468018393</v>
      </c>
      <c r="AK15">
        <f t="shared" si="10"/>
        <v>4.6052631578947373E-2</v>
      </c>
      <c r="AL15">
        <f t="shared" si="11"/>
        <v>2.0145535190748354</v>
      </c>
      <c r="AM15">
        <f t="shared" si="21"/>
        <v>3.8815789473684213E-2</v>
      </c>
      <c r="AN15">
        <f t="shared" si="12"/>
        <v>2.104635180496881</v>
      </c>
      <c r="AO15">
        <f t="shared" si="22"/>
        <v>3.0263157894736843E-2</v>
      </c>
      <c r="AQ15">
        <f>COS(ATAN(0.25))/E15*SQRT(S15/SIN(ATAN(0.25)))*vG_crest!$CX$42</f>
        <v>1.295987548285618</v>
      </c>
      <c r="AR15">
        <f>S15*SIN(ATAN(0.25))/(O15-C15)/E15*vG_crest!$CQ$42</f>
        <v>0.10686378591599376</v>
      </c>
      <c r="AT15">
        <f t="shared" si="13"/>
        <v>1.3403239644111786</v>
      </c>
      <c r="AU15">
        <f t="shared" si="14"/>
        <v>8.2678823840268867E-2</v>
      </c>
      <c r="AW15">
        <f t="shared" si="15"/>
        <v>1.6930407971509625</v>
      </c>
      <c r="AX15">
        <f t="shared" si="16"/>
        <v>2.2221160462606382</v>
      </c>
      <c r="AY15">
        <f t="shared" si="17"/>
        <v>2.7511912953703144</v>
      </c>
      <c r="BA15">
        <f t="shared" si="18"/>
        <v>4.5255777259936639E-2</v>
      </c>
      <c r="BB15">
        <f t="shared" si="19"/>
        <v>3.8728501693599621E-2</v>
      </c>
      <c r="BC15">
        <f t="shared" si="20"/>
        <v>3.2201226127262603E-2</v>
      </c>
      <c r="CJ15" s="6"/>
      <c r="CK15" s="6"/>
      <c r="CL15" s="6"/>
      <c r="CM15" s="6"/>
      <c r="CN15" s="6"/>
      <c r="CO15" s="6"/>
    </row>
    <row r="16" spans="1:93" x14ac:dyDescent="0.25">
      <c r="A16">
        <v>2.02</v>
      </c>
      <c r="B16">
        <v>0.4</v>
      </c>
      <c r="C16">
        <v>0.2</v>
      </c>
      <c r="D16">
        <v>0.14099999999999999</v>
      </c>
      <c r="E16">
        <v>0.14799999999999999</v>
      </c>
      <c r="F16">
        <v>0.18</v>
      </c>
      <c r="G16">
        <v>1.5</v>
      </c>
      <c r="H16">
        <v>1.61</v>
      </c>
      <c r="I16">
        <v>1.92</v>
      </c>
      <c r="J16">
        <v>2.5</v>
      </c>
      <c r="K16">
        <f t="shared" si="0"/>
        <v>1.3513513513513515</v>
      </c>
      <c r="L16">
        <f t="shared" si="1"/>
        <v>2.5714028384536739E-2</v>
      </c>
      <c r="N16">
        <f t="shared" si="2"/>
        <v>1.5590317119994186</v>
      </c>
      <c r="O16">
        <f t="shared" si="3"/>
        <v>0.4037892134078494</v>
      </c>
      <c r="P16">
        <f t="shared" si="4"/>
        <v>0.38299383134396237</v>
      </c>
      <c r="Q16">
        <f t="shared" si="5"/>
        <v>8.963710589105781E-4</v>
      </c>
      <c r="R16">
        <f t="shared" si="6"/>
        <v>2.9489444523533399E-3</v>
      </c>
      <c r="S16">
        <f t="shared" si="7"/>
        <v>1.2489487403911972E-2</v>
      </c>
      <c r="T16">
        <f t="shared" si="8"/>
        <v>0.57019208381628805</v>
      </c>
      <c r="W16">
        <v>0.31</v>
      </c>
      <c r="X16">
        <v>9.41</v>
      </c>
      <c r="Y16">
        <v>14.6</v>
      </c>
      <c r="Z16">
        <v>11.8</v>
      </c>
      <c r="AA16">
        <v>5.7</v>
      </c>
      <c r="AB16">
        <v>4.9000000000000004</v>
      </c>
      <c r="AC16">
        <v>4.3</v>
      </c>
      <c r="AD16">
        <v>1.45</v>
      </c>
      <c r="AE16">
        <v>1.36</v>
      </c>
      <c r="AF16">
        <v>1.91</v>
      </c>
      <c r="AG16">
        <v>2.44</v>
      </c>
      <c r="AH16">
        <v>2.4</v>
      </c>
      <c r="AJ16">
        <f t="shared" si="9"/>
        <v>1.1286870624507306</v>
      </c>
      <c r="AK16">
        <f t="shared" si="10"/>
        <v>3.8513513513513516E-2</v>
      </c>
      <c r="AL16">
        <f t="shared" si="11"/>
        <v>2.0249973767498402</v>
      </c>
      <c r="AM16">
        <f t="shared" si="21"/>
        <v>3.3108108108108117E-2</v>
      </c>
      <c r="AN16">
        <f t="shared" si="12"/>
        <v>1.9918006984424654</v>
      </c>
      <c r="AO16">
        <f t="shared" si="22"/>
        <v>2.9054054054054056E-2</v>
      </c>
      <c r="AQ16">
        <f>COS(ATAN(0.25))/E16*SQRT(S16/SIN(ATAN(0.25)))*vG_crest!$CX$42</f>
        <v>1.1305035879674477</v>
      </c>
      <c r="AR16">
        <f>S16*SIN(ATAN(0.25))/(O16-C16)/E16*vG_crest!$CQ$42</f>
        <v>9.038986852179301E-2</v>
      </c>
      <c r="AT16">
        <f t="shared" si="13"/>
        <v>1.1671685691988245</v>
      </c>
      <c r="AU16">
        <f t="shared" si="14"/>
        <v>6.9868925397926496E-2</v>
      </c>
      <c r="AW16">
        <f t="shared" si="15"/>
        <v>1.4826195338471555</v>
      </c>
      <c r="AX16">
        <f t="shared" si="16"/>
        <v>1.9557959808196521</v>
      </c>
      <c r="AY16">
        <f t="shared" si="17"/>
        <v>2.4289724277921487</v>
      </c>
      <c r="BA16">
        <f t="shared" si="18"/>
        <v>3.814465656859771E-2</v>
      </c>
      <c r="BB16">
        <f t="shared" si="19"/>
        <v>3.2479608563360421E-2</v>
      </c>
      <c r="BC16">
        <f t="shared" si="20"/>
        <v>2.6814560558123136E-2</v>
      </c>
      <c r="CJ16" s="6"/>
      <c r="CK16" s="6"/>
      <c r="CL16" s="6"/>
      <c r="CM16" s="6"/>
      <c r="CN16" s="6"/>
      <c r="CO16" s="6"/>
    </row>
    <row r="17" spans="1:93" x14ac:dyDescent="0.25">
      <c r="A17">
        <v>2.0299999999999998</v>
      </c>
      <c r="B17">
        <v>0.4</v>
      </c>
      <c r="C17">
        <v>0.2</v>
      </c>
      <c r="D17">
        <v>0.13100000000000001</v>
      </c>
      <c r="E17">
        <v>0.13900000000000001</v>
      </c>
      <c r="F17">
        <v>0.16900000000000001</v>
      </c>
      <c r="G17">
        <v>1.42</v>
      </c>
      <c r="H17">
        <v>1.53</v>
      </c>
      <c r="I17">
        <v>1.84</v>
      </c>
      <c r="J17">
        <v>2.4500000000000002</v>
      </c>
      <c r="K17">
        <f t="shared" si="0"/>
        <v>1.4388489208633093</v>
      </c>
      <c r="L17">
        <f t="shared" si="1"/>
        <v>2.629601962626513E-2</v>
      </c>
      <c r="N17">
        <f t="shared" si="2"/>
        <v>1.5416827073514989</v>
      </c>
      <c r="O17">
        <f t="shared" si="3"/>
        <v>0.37501431856325218</v>
      </c>
      <c r="P17">
        <f t="shared" si="4"/>
        <v>0.32868079105639719</v>
      </c>
      <c r="Q17">
        <f t="shared" si="5"/>
        <v>6.0611430186163545E-4</v>
      </c>
      <c r="R17">
        <f t="shared" si="6"/>
        <v>2.1996209055505961E-3</v>
      </c>
      <c r="S17">
        <f t="shared" si="7"/>
        <v>8.6781088444404294E-3</v>
      </c>
      <c r="T17">
        <f t="shared" si="8"/>
        <v>0.4491542282718507</v>
      </c>
      <c r="W17">
        <v>0.27</v>
      </c>
      <c r="X17">
        <v>8.48</v>
      </c>
      <c r="Y17">
        <v>12.9</v>
      </c>
      <c r="Z17">
        <v>9.6999999999999993</v>
      </c>
      <c r="AA17">
        <v>4.4000000000000004</v>
      </c>
      <c r="AB17">
        <v>4</v>
      </c>
      <c r="AC17">
        <v>3.7</v>
      </c>
      <c r="AD17">
        <v>1.29</v>
      </c>
      <c r="AE17">
        <v>1.27</v>
      </c>
      <c r="AF17">
        <v>1.87</v>
      </c>
      <c r="AG17">
        <v>2.2999999999999998</v>
      </c>
      <c r="AH17">
        <v>2.23</v>
      </c>
      <c r="AJ17">
        <f t="shared" si="9"/>
        <v>1.0875815140365444</v>
      </c>
      <c r="AK17">
        <f t="shared" si="10"/>
        <v>3.1654676258992806E-2</v>
      </c>
      <c r="AL17">
        <f t="shared" si="11"/>
        <v>1.9696358128220879</v>
      </c>
      <c r="AM17">
        <f t="shared" si="21"/>
        <v>2.8776978417266185E-2</v>
      </c>
      <c r="AN17">
        <f t="shared" si="12"/>
        <v>1.9096903750405461</v>
      </c>
      <c r="AO17">
        <f t="shared" si="22"/>
        <v>2.6618705035971222E-2</v>
      </c>
      <c r="AQ17">
        <f>COS(ATAN(0.25))/E17*SQRT(S17/SIN(ATAN(0.25)))*vG_crest!$CX$42</f>
        <v>1.0033653508194322</v>
      </c>
      <c r="AR17">
        <f>S17*SIN(ATAN(0.25))/(O17-C17)/E17*vG_crest!$CQ$42</f>
        <v>7.7867236169462492E-2</v>
      </c>
      <c r="AT17">
        <f t="shared" si="13"/>
        <v>1.0315173282884667</v>
      </c>
      <c r="AU17">
        <f t="shared" si="14"/>
        <v>6.0053005160909202E-2</v>
      </c>
      <c r="AW17">
        <f t="shared" si="15"/>
        <v>1.3283568472203995</v>
      </c>
      <c r="AX17">
        <f t="shared" si="16"/>
        <v>1.7736161256182987</v>
      </c>
      <c r="AY17">
        <f t="shared" si="17"/>
        <v>2.218875404016198</v>
      </c>
      <c r="BA17">
        <f t="shared" si="18"/>
        <v>3.2575515029730606E-2</v>
      </c>
      <c r="BB17">
        <f t="shared" si="19"/>
        <v>2.7391082929508224E-2</v>
      </c>
      <c r="BC17">
        <f t="shared" si="20"/>
        <v>2.2206650829285846E-2</v>
      </c>
      <c r="CJ17" s="6"/>
      <c r="CK17" s="6"/>
      <c r="CL17" s="6"/>
      <c r="CM17" s="6"/>
      <c r="CN17" s="6"/>
      <c r="CO17" s="6"/>
    </row>
    <row r="18" spans="1:93" x14ac:dyDescent="0.25">
      <c r="A18">
        <v>2.04</v>
      </c>
      <c r="B18">
        <v>0.4</v>
      </c>
      <c r="C18">
        <v>0.2</v>
      </c>
      <c r="D18">
        <v>0.122</v>
      </c>
      <c r="E18">
        <v>0.13</v>
      </c>
      <c r="F18">
        <v>0.159</v>
      </c>
      <c r="G18">
        <v>1.4</v>
      </c>
      <c r="H18">
        <v>1.52</v>
      </c>
      <c r="I18">
        <v>1.86</v>
      </c>
      <c r="J18">
        <v>2.4500000000000002</v>
      </c>
      <c r="K18">
        <f t="shared" si="0"/>
        <v>1.5384615384615385</v>
      </c>
      <c r="L18">
        <f t="shared" si="1"/>
        <v>2.4067352831717598E-2</v>
      </c>
      <c r="N18">
        <f t="shared" si="2"/>
        <v>1.6114834373767406</v>
      </c>
      <c r="O18">
        <f t="shared" si="3"/>
        <v>0.36661248200320851</v>
      </c>
      <c r="P18">
        <f t="shared" si="4"/>
        <v>0.31215614757542898</v>
      </c>
      <c r="Q18">
        <f t="shared" si="5"/>
        <v>5.226792663169383E-4</v>
      </c>
      <c r="R18">
        <f t="shared" si="6"/>
        <v>1.9691132850112817E-3</v>
      </c>
      <c r="S18">
        <f t="shared" si="7"/>
        <v>7.5784107154424265E-3</v>
      </c>
      <c r="T18">
        <f t="shared" si="8"/>
        <v>0.44842666955280625</v>
      </c>
      <c r="W18">
        <v>0.22</v>
      </c>
      <c r="X18">
        <v>6.81</v>
      </c>
      <c r="Y18">
        <v>11.3</v>
      </c>
      <c r="Z18">
        <v>8.1</v>
      </c>
      <c r="AA18">
        <v>3.3</v>
      </c>
      <c r="AB18">
        <v>3.4</v>
      </c>
      <c r="AC18">
        <v>3.4</v>
      </c>
      <c r="AD18">
        <v>1.1499999999999999</v>
      </c>
      <c r="AE18">
        <v>1.22</v>
      </c>
      <c r="AF18">
        <v>1.94</v>
      </c>
      <c r="AG18">
        <v>2.21</v>
      </c>
      <c r="AH18">
        <v>2.02</v>
      </c>
      <c r="AJ18">
        <f t="shared" si="9"/>
        <v>1.0803230710024383</v>
      </c>
      <c r="AK18">
        <f t="shared" si="10"/>
        <v>2.5384615384615384E-2</v>
      </c>
      <c r="AL18">
        <f t="shared" si="11"/>
        <v>1.9569786777994991</v>
      </c>
      <c r="AM18">
        <f t="shared" si="21"/>
        <v>2.6153846153846153E-2</v>
      </c>
      <c r="AN18">
        <f t="shared" si="12"/>
        <v>1.7887316421515784</v>
      </c>
      <c r="AO18">
        <f t="shared" si="22"/>
        <v>2.6153846153846153E-2</v>
      </c>
      <c r="AQ18">
        <f>COS(ATAN(0.25))/E18*SQRT(S18/SIN(ATAN(0.25)))*vG_crest!$CX$42</f>
        <v>1.0025523749782852</v>
      </c>
      <c r="AR18">
        <f>S18*SIN(ATAN(0.25))/(O18-C18)/E18*vG_crest!$CQ$42</f>
        <v>7.6373958476653764E-2</v>
      </c>
      <c r="AT18">
        <f t="shared" si="13"/>
        <v>1.0256881990162459</v>
      </c>
      <c r="AU18">
        <f t="shared" si="14"/>
        <v>5.8749198828195209E-2</v>
      </c>
      <c r="AW18">
        <f t="shared" si="15"/>
        <v>1.3412845679443215</v>
      </c>
      <c r="AX18">
        <f t="shared" si="16"/>
        <v>1.8146791213364348</v>
      </c>
      <c r="AY18">
        <f t="shared" si="17"/>
        <v>2.2880736747285484</v>
      </c>
      <c r="BA18">
        <f t="shared" si="18"/>
        <v>3.1634183984412804E-2</v>
      </c>
      <c r="BB18">
        <f t="shared" si="19"/>
        <v>2.6211181015656324E-2</v>
      </c>
      <c r="BC18">
        <f t="shared" si="20"/>
        <v>2.0788178046899843E-2</v>
      </c>
      <c r="CJ18" s="6"/>
      <c r="CK18" s="6"/>
      <c r="CL18" s="6"/>
      <c r="CM18" s="6"/>
      <c r="CN18" s="6"/>
      <c r="CO18" s="6"/>
    </row>
    <row r="19" spans="1:93" x14ac:dyDescent="0.25">
      <c r="A19">
        <v>2.0499999999999998</v>
      </c>
      <c r="B19">
        <v>0.4</v>
      </c>
      <c r="C19">
        <v>0.2</v>
      </c>
      <c r="D19">
        <v>0.13700000000000001</v>
      </c>
      <c r="E19">
        <v>0.14199999999999999</v>
      </c>
      <c r="F19">
        <v>0.17699999999999999</v>
      </c>
      <c r="G19">
        <v>1.42</v>
      </c>
      <c r="H19">
        <v>1.5</v>
      </c>
      <c r="I19">
        <v>1.69</v>
      </c>
      <c r="J19">
        <v>2</v>
      </c>
      <c r="K19">
        <f t="shared" si="0"/>
        <v>1.4084507042253522</v>
      </c>
      <c r="L19">
        <f t="shared" si="1"/>
        <v>3.1843866616495999E-2</v>
      </c>
      <c r="N19">
        <f t="shared" si="2"/>
        <v>1.4009644356946132</v>
      </c>
      <c r="O19">
        <f t="shared" si="3"/>
        <v>0.34813966227011134</v>
      </c>
      <c r="P19">
        <f t="shared" si="4"/>
        <v>0.27497264525901971</v>
      </c>
      <c r="Q19">
        <f t="shared" si="5"/>
        <v>4.1720890001398274E-4</v>
      </c>
      <c r="R19">
        <f t="shared" si="6"/>
        <v>1.8098046642708895E-3</v>
      </c>
      <c r="S19">
        <f t="shared" si="7"/>
        <v>6.5399485375545793E-3</v>
      </c>
      <c r="T19">
        <f t="shared" si="8"/>
        <v>0.32433785645479962</v>
      </c>
      <c r="W19">
        <v>0.2</v>
      </c>
      <c r="X19">
        <v>5.35</v>
      </c>
      <c r="Y19">
        <v>8.8000000000000007</v>
      </c>
      <c r="Z19">
        <v>6.9</v>
      </c>
      <c r="AA19">
        <v>3.3</v>
      </c>
      <c r="AB19">
        <v>3</v>
      </c>
      <c r="AC19">
        <v>2.2000000000000002</v>
      </c>
      <c r="AD19">
        <v>1.01</v>
      </c>
      <c r="AE19">
        <v>1.07</v>
      </c>
      <c r="AF19">
        <v>1.69</v>
      </c>
      <c r="AG19">
        <v>1.83</v>
      </c>
      <c r="AH19">
        <v>1.77</v>
      </c>
      <c r="AJ19">
        <f t="shared" si="9"/>
        <v>0.9065778455514184</v>
      </c>
      <c r="AK19">
        <f t="shared" si="10"/>
        <v>2.323943661971831E-2</v>
      </c>
      <c r="AL19">
        <f t="shared" si="11"/>
        <v>1.5505022965972857</v>
      </c>
      <c r="AM19">
        <f t="shared" si="21"/>
        <v>2.1126760563380285E-2</v>
      </c>
      <c r="AN19">
        <f t="shared" si="12"/>
        <v>1.4996661557252435</v>
      </c>
      <c r="AO19">
        <f t="shared" si="22"/>
        <v>1.5492957746478875E-2</v>
      </c>
      <c r="AQ19">
        <f>COS(ATAN(0.25))/E19*SQRT(S19/SIN(ATAN(0.25)))*vG_crest!$CX$42</f>
        <v>0.85262914596947426</v>
      </c>
      <c r="AR19">
        <f>S19*SIN(ATAN(0.25))/(O19-C19)/E19*vG_crest!$CQ$42</f>
        <v>6.7862942276813068E-2</v>
      </c>
      <c r="AT19">
        <f t="shared" si="13"/>
        <v>0.87784775451223351</v>
      </c>
      <c r="AU19">
        <f t="shared" si="14"/>
        <v>5.2378721644638825E-2</v>
      </c>
      <c r="AW19">
        <f t="shared" si="15"/>
        <v>1.1251288121213134</v>
      </c>
      <c r="AX19">
        <f t="shared" si="16"/>
        <v>1.4960503985349332</v>
      </c>
      <c r="AY19">
        <f t="shared" si="17"/>
        <v>1.8669719849485531</v>
      </c>
      <c r="BA19">
        <f t="shared" si="18"/>
        <v>2.8476319091310681E-2</v>
      </c>
      <c r="BB19">
        <f t="shared" si="19"/>
        <v>2.4049948248101766E-2</v>
      </c>
      <c r="BC19">
        <f t="shared" si="20"/>
        <v>1.9623577404892852E-2</v>
      </c>
      <c r="CJ19" s="6"/>
      <c r="CK19" s="6"/>
      <c r="CL19" s="6"/>
      <c r="CM19" s="6"/>
      <c r="CN19" s="6"/>
      <c r="CO19" s="6"/>
    </row>
    <row r="20" spans="1:93" x14ac:dyDescent="0.25">
      <c r="A20">
        <v>2.06</v>
      </c>
      <c r="B20">
        <v>0.4</v>
      </c>
      <c r="C20">
        <v>0.2</v>
      </c>
      <c r="D20">
        <v>0.13200000000000001</v>
      </c>
      <c r="E20">
        <v>0.13800000000000001</v>
      </c>
      <c r="F20">
        <v>0.16800000000000001</v>
      </c>
      <c r="G20">
        <v>1.34</v>
      </c>
      <c r="H20">
        <v>1.43</v>
      </c>
      <c r="I20">
        <v>1.62</v>
      </c>
      <c r="J20">
        <v>2</v>
      </c>
      <c r="K20">
        <f t="shared" si="0"/>
        <v>1.4492753623188406</v>
      </c>
      <c r="L20">
        <f t="shared" si="1"/>
        <v>3.3679056640674519E-2</v>
      </c>
      <c r="N20">
        <f t="shared" si="2"/>
        <v>1.362260140817134</v>
      </c>
      <c r="O20">
        <f t="shared" si="3"/>
        <v>0.32898582400733783</v>
      </c>
      <c r="P20">
        <f t="shared" si="4"/>
        <v>0.23555849475302235</v>
      </c>
      <c r="Q20">
        <f t="shared" si="5"/>
        <v>3.021802866020182E-4</v>
      </c>
      <c r="R20">
        <f t="shared" si="6"/>
        <v>1.4439476315887246E-3</v>
      </c>
      <c r="S20">
        <f t="shared" si="7"/>
        <v>4.8112970615588743E-3</v>
      </c>
      <c r="T20">
        <f t="shared" si="8"/>
        <v>0.25264109754037356</v>
      </c>
      <c r="W20">
        <v>0.2</v>
      </c>
      <c r="X20">
        <v>5.33</v>
      </c>
      <c r="Y20">
        <v>8.5</v>
      </c>
      <c r="Z20">
        <v>6.6</v>
      </c>
      <c r="AA20">
        <v>2.8</v>
      </c>
      <c r="AB20">
        <v>2.6</v>
      </c>
      <c r="AC20">
        <v>2.1</v>
      </c>
      <c r="AD20">
        <v>1.06</v>
      </c>
      <c r="AE20">
        <v>1.02</v>
      </c>
      <c r="AF20">
        <v>1.64</v>
      </c>
      <c r="AG20">
        <v>1.82</v>
      </c>
      <c r="AH20">
        <v>1.79</v>
      </c>
      <c r="AJ20">
        <f t="shared" si="9"/>
        <v>0.87664977337373973</v>
      </c>
      <c r="AK20">
        <f t="shared" si="10"/>
        <v>2.0289855072463767E-2</v>
      </c>
      <c r="AL20">
        <f t="shared" si="11"/>
        <v>1.5642182230786337</v>
      </c>
      <c r="AM20">
        <f t="shared" si="21"/>
        <v>1.8840579710144925E-2</v>
      </c>
      <c r="AN20">
        <f t="shared" si="12"/>
        <v>1.5384344062147002</v>
      </c>
      <c r="AO20">
        <f t="shared" si="22"/>
        <v>1.5217391304347827E-2</v>
      </c>
      <c r="AQ20">
        <f>COS(ATAN(0.25))/E20*SQRT(S20/SIN(ATAN(0.25)))*vG_crest!$CX$42</f>
        <v>0.75251186676571191</v>
      </c>
      <c r="AR20">
        <f>S20*SIN(ATAN(0.25))/(O20-C20)/E20*vG_crest!$CQ$42</f>
        <v>5.9000970053058426E-2</v>
      </c>
      <c r="AT20">
        <f t="shared" si="13"/>
        <v>0.77323320802447792</v>
      </c>
      <c r="AU20">
        <f t="shared" si="14"/>
        <v>4.5490602997430553E-2</v>
      </c>
      <c r="AW20">
        <f t="shared" si="15"/>
        <v>0.99735877556780483</v>
      </c>
      <c r="AX20">
        <f t="shared" si="16"/>
        <v>1.3335471268827954</v>
      </c>
      <c r="AY20">
        <f t="shared" si="17"/>
        <v>1.6697354781977856</v>
      </c>
      <c r="BA20">
        <f t="shared" si="18"/>
        <v>2.4657225392810182E-2</v>
      </c>
      <c r="BB20">
        <f t="shared" si="19"/>
        <v>2.070152078433796E-2</v>
      </c>
      <c r="BC20">
        <f t="shared" si="20"/>
        <v>1.6745816175865739E-2</v>
      </c>
      <c r="CJ20" s="6"/>
      <c r="CK20" s="6"/>
      <c r="CL20" s="6"/>
      <c r="CM20" s="6"/>
      <c r="CN20" s="6"/>
      <c r="CO20" s="6"/>
    </row>
    <row r="21" spans="1:93" x14ac:dyDescent="0.25">
      <c r="A21">
        <v>2.0699999999999998</v>
      </c>
      <c r="B21">
        <v>0.4</v>
      </c>
      <c r="C21">
        <v>0.2</v>
      </c>
      <c r="D21">
        <v>0.13</v>
      </c>
      <c r="E21">
        <v>0.13300000000000001</v>
      </c>
      <c r="F21">
        <v>0.17100000000000001</v>
      </c>
      <c r="G21">
        <v>1.27</v>
      </c>
      <c r="H21">
        <v>1.33</v>
      </c>
      <c r="I21">
        <v>1.45</v>
      </c>
      <c r="J21">
        <v>1.6</v>
      </c>
      <c r="K21">
        <f t="shared" si="0"/>
        <v>1.5037593984962405</v>
      </c>
      <c r="L21" s="1">
        <f t="shared" si="1"/>
        <v>4.0515993937360863E-2</v>
      </c>
      <c r="N21">
        <f t="shared" si="2"/>
        <v>1.2420147684185052</v>
      </c>
      <c r="O21">
        <f t="shared" si="3"/>
        <v>0.28907893734940709</v>
      </c>
      <c r="P21">
        <f t="shared" si="4"/>
        <v>0.15373441540152316</v>
      </c>
      <c r="Q21">
        <f t="shared" si="5"/>
        <v>1.3861931348408283E-4</v>
      </c>
      <c r="R21">
        <f t="shared" si="6"/>
        <v>9.6191268063555799E-4</v>
      </c>
      <c r="S21">
        <f t="shared" si="7"/>
        <v>2.4878964541632425E-3</v>
      </c>
      <c r="T21">
        <f t="shared" si="8"/>
        <v>0.14064652915163334</v>
      </c>
      <c r="W21">
        <v>0.11</v>
      </c>
      <c r="X21">
        <v>1.85</v>
      </c>
      <c r="Y21">
        <v>4.0999999999999996</v>
      </c>
      <c r="Z21">
        <v>2.9</v>
      </c>
      <c r="AA21">
        <v>1.2</v>
      </c>
      <c r="AB21">
        <v>1.3</v>
      </c>
      <c r="AD21">
        <v>0.57999999999999996</v>
      </c>
      <c r="AE21">
        <v>0.62</v>
      </c>
      <c r="AJ21">
        <f t="shared" si="9"/>
        <v>0.54278940935338371</v>
      </c>
      <c r="AK21">
        <f t="shared" si="10"/>
        <v>9.0225563909774424E-3</v>
      </c>
      <c r="AM21">
        <f t="shared" ref="AM21:AM22" si="23">AB21/1000/E21</f>
        <v>9.7744360902255623E-3</v>
      </c>
      <c r="AQ21">
        <f>COS(ATAN(0.25))/E21*SQRT(S21/SIN(ATAN(0.25)))*vG_crest!$CX$42</f>
        <v>0.56146910343195811</v>
      </c>
      <c r="AR21">
        <f>S21*SIN(ATAN(0.25))/(O21-C21)/E21*vG_crest!$CQ$42</f>
        <v>4.583779113422428E-2</v>
      </c>
      <c r="AT21">
        <f t="shared" si="13"/>
        <v>0.57540029171260065</v>
      </c>
      <c r="AU21">
        <f t="shared" si="14"/>
        <v>3.5291652722891476E-2</v>
      </c>
      <c r="AW21">
        <f t="shared" si="15"/>
        <v>0.748453011024661</v>
      </c>
      <c r="AX21">
        <f t="shared" si="16"/>
        <v>1.0080320899927515</v>
      </c>
      <c r="AY21">
        <f t="shared" si="17"/>
        <v>1.267611168960842</v>
      </c>
      <c r="BA21">
        <f t="shared" si="18"/>
        <v>1.9052185454914345E-2</v>
      </c>
      <c r="BB21">
        <f t="shared" si="19"/>
        <v>1.5867976186683536E-2</v>
      </c>
      <c r="CJ21" s="6"/>
      <c r="CK21" s="6"/>
      <c r="CL21" s="6"/>
      <c r="CM21" s="6"/>
      <c r="CN21" s="6"/>
      <c r="CO21" s="6"/>
    </row>
    <row r="22" spans="1:93" x14ac:dyDescent="0.25">
      <c r="A22">
        <v>2.08</v>
      </c>
      <c r="B22">
        <v>0.4</v>
      </c>
      <c r="C22">
        <v>0.2</v>
      </c>
      <c r="D22">
        <v>0.124</v>
      </c>
      <c r="E22">
        <v>0.126</v>
      </c>
      <c r="F22">
        <v>0.16200000000000001</v>
      </c>
      <c r="G22">
        <v>1.25</v>
      </c>
      <c r="H22">
        <v>1.3</v>
      </c>
      <c r="I22">
        <v>1.44</v>
      </c>
      <c r="J22">
        <v>1.58</v>
      </c>
      <c r="K22">
        <f t="shared" si="0"/>
        <v>1.5873015873015874</v>
      </c>
      <c r="L22">
        <f t="shared" si="1"/>
        <v>3.8918529446866419E-2</v>
      </c>
      <c r="N22">
        <f t="shared" si="2"/>
        <v>1.2672485346758573</v>
      </c>
      <c r="O22">
        <f t="shared" si="3"/>
        <v>0.27942830189602652</v>
      </c>
      <c r="P22">
        <f t="shared" si="4"/>
        <v>0.13478078551871123</v>
      </c>
      <c r="Q22">
        <f t="shared" si="5"/>
        <v>1.0895524313362825E-4</v>
      </c>
      <c r="R22">
        <f t="shared" si="6"/>
        <v>8.4880797251643428E-4</v>
      </c>
      <c r="S22">
        <f t="shared" si="7"/>
        <v>2.0085787661337012E-3</v>
      </c>
      <c r="T22">
        <f t="shared" si="8"/>
        <v>0.12651667713112252</v>
      </c>
      <c r="W22">
        <v>0.11</v>
      </c>
      <c r="X22">
        <v>2.84</v>
      </c>
      <c r="Y22">
        <v>4</v>
      </c>
      <c r="Z22">
        <v>3.2</v>
      </c>
      <c r="AA22">
        <v>1.1000000000000001</v>
      </c>
      <c r="AB22">
        <v>1.3</v>
      </c>
      <c r="AD22">
        <v>0.74</v>
      </c>
      <c r="AE22">
        <v>0.63</v>
      </c>
      <c r="AJ22">
        <f t="shared" si="9"/>
        <v>0.56665767217182594</v>
      </c>
      <c r="AK22">
        <f t="shared" si="10"/>
        <v>8.7301587301587304E-3</v>
      </c>
      <c r="AM22">
        <f t="shared" si="23"/>
        <v>1.0317460317460317E-2</v>
      </c>
      <c r="AQ22">
        <f>COS(ATAN(0.25))/E22*SQRT(S22/SIN(ATAN(0.25)))*vG_crest!$CX$42</f>
        <v>0.53251916425567203</v>
      </c>
      <c r="AR22">
        <f>S22*SIN(ATAN(0.25))/(O22-C22)/E22*vG_crest!$CQ$42</f>
        <v>4.3808773343845989E-2</v>
      </c>
      <c r="AT22">
        <f t="shared" si="13"/>
        <v>0.5435076549466622</v>
      </c>
      <c r="AU22">
        <f t="shared" si="14"/>
        <v>3.3656263965748348E-2</v>
      </c>
      <c r="AW22">
        <f t="shared" si="15"/>
        <v>0.71604976762814221</v>
      </c>
      <c r="AX22">
        <f t="shared" si="16"/>
        <v>0.97486293665036239</v>
      </c>
      <c r="AY22">
        <f t="shared" si="17"/>
        <v>1.2336761056725825</v>
      </c>
      <c r="BA22">
        <f t="shared" si="18"/>
        <v>1.8056852730830065E-2</v>
      </c>
      <c r="BB22">
        <f t="shared" si="19"/>
        <v>1.4851494257901651E-2</v>
      </c>
      <c r="CJ22" s="6"/>
      <c r="CK22" s="6"/>
      <c r="CL22" s="6"/>
      <c r="CM22" s="6"/>
      <c r="CN22" s="6"/>
      <c r="CO22" s="6"/>
    </row>
    <row r="23" spans="1:93" x14ac:dyDescent="0.25">
      <c r="CJ23" s="6"/>
      <c r="CK23" s="6"/>
      <c r="CL23" s="6"/>
      <c r="CM23" s="6"/>
      <c r="CN23" s="6"/>
      <c r="CO23" s="6"/>
    </row>
    <row r="24" spans="1:93" x14ac:dyDescent="0.25">
      <c r="D24" t="s">
        <v>135</v>
      </c>
      <c r="E24">
        <f>AVERAGE(E5:E22)</f>
        <v>0.14166666666666664</v>
      </c>
      <c r="V24" t="s">
        <v>23</v>
      </c>
      <c r="AK24" s="6" t="s">
        <v>111</v>
      </c>
      <c r="AM24" s="6" t="s">
        <v>113</v>
      </c>
      <c r="AO24" s="6" t="s">
        <v>114</v>
      </c>
      <c r="AW24" t="s">
        <v>104</v>
      </c>
      <c r="AX24" t="s">
        <v>106</v>
      </c>
      <c r="AY24" t="s">
        <v>105</v>
      </c>
      <c r="BA24" t="s">
        <v>104</v>
      </c>
      <c r="BB24" t="s">
        <v>106</v>
      </c>
      <c r="BC24" t="s">
        <v>105</v>
      </c>
      <c r="CJ24" s="6"/>
      <c r="CK24" s="6"/>
      <c r="CL24" s="6"/>
      <c r="CM24" s="6"/>
      <c r="CN24" s="6"/>
      <c r="CO24" s="6"/>
    </row>
    <row r="25" spans="1:93" x14ac:dyDescent="0.25">
      <c r="D25" t="s">
        <v>136</v>
      </c>
      <c r="E25">
        <f>(0.7/0.6-1)*E24/1.1</f>
        <v>2.1464646464646468E-2</v>
      </c>
      <c r="F25">
        <f>0.19*E24/1.1</f>
        <v>2.4469696969696964E-2</v>
      </c>
      <c r="V25" t="s">
        <v>12</v>
      </c>
      <c r="W25" t="s">
        <v>13</v>
      </c>
      <c r="X25" t="s">
        <v>14</v>
      </c>
      <c r="Y25" t="s">
        <v>15</v>
      </c>
      <c r="AD25" t="s">
        <v>21</v>
      </c>
      <c r="AK25" t="s">
        <v>110</v>
      </c>
      <c r="AM25" t="s">
        <v>110</v>
      </c>
      <c r="AO25" t="s">
        <v>110</v>
      </c>
      <c r="AW25" t="s">
        <v>116</v>
      </c>
      <c r="BA25" t="s">
        <v>112</v>
      </c>
      <c r="CJ25" s="6"/>
      <c r="CK25" s="6"/>
      <c r="CL25" s="6"/>
      <c r="CM25" s="6"/>
      <c r="CN25" s="6"/>
      <c r="CO25" s="6"/>
    </row>
    <row r="26" spans="1:93" x14ac:dyDescent="0.25">
      <c r="D26" t="s">
        <v>137</v>
      </c>
      <c r="F26">
        <f>(1-AK139)*E24/1.1</f>
        <v>0.12878787878787876</v>
      </c>
      <c r="X26" t="s">
        <v>22</v>
      </c>
      <c r="Y26" t="s">
        <v>16</v>
      </c>
      <c r="Z26" t="s">
        <v>17</v>
      </c>
      <c r="AA26" t="s">
        <v>18</v>
      </c>
      <c r="AB26" t="s">
        <v>19</v>
      </c>
      <c r="AC26" t="s">
        <v>20</v>
      </c>
      <c r="AD26" t="s">
        <v>16</v>
      </c>
      <c r="AE26" t="s">
        <v>17</v>
      </c>
      <c r="AF26" t="s">
        <v>18</v>
      </c>
      <c r="AG26" t="s">
        <v>19</v>
      </c>
      <c r="AH26" t="s">
        <v>20</v>
      </c>
      <c r="CJ26" s="6"/>
      <c r="CK26" s="6"/>
      <c r="CL26" s="6"/>
      <c r="CM26" s="6"/>
      <c r="CN26" s="6"/>
      <c r="CO26" s="6"/>
    </row>
    <row r="27" spans="1:93" x14ac:dyDescent="0.25">
      <c r="W27">
        <v>0.18</v>
      </c>
      <c r="X27">
        <v>6.01</v>
      </c>
      <c r="Y27">
        <v>7.4</v>
      </c>
      <c r="Z27">
        <v>5.5</v>
      </c>
      <c r="AA27">
        <v>2.9</v>
      </c>
      <c r="AB27">
        <v>2.8</v>
      </c>
      <c r="AC27">
        <v>2.5</v>
      </c>
      <c r="AD27">
        <v>1.26</v>
      </c>
      <c r="AE27">
        <v>1.23</v>
      </c>
      <c r="AF27">
        <v>1.66</v>
      </c>
      <c r="AG27">
        <v>1.55</v>
      </c>
      <c r="AH27">
        <v>1.47</v>
      </c>
      <c r="AJ27">
        <f>AF27/(9.81*E5)^0.5</f>
        <v>1.3966652839910212</v>
      </c>
      <c r="AK27">
        <f>AA27/1000/E5</f>
        <v>2.013888888888889E-2</v>
      </c>
      <c r="AL27">
        <f>AG27/(9.81*E5)^0.5</f>
        <v>1.3041151748108935</v>
      </c>
      <c r="AM27">
        <f>AB27/1000/E5</f>
        <v>1.9444444444444445E-2</v>
      </c>
      <c r="AN27">
        <f>AH27/(9.81*E5)^0.5</f>
        <v>1.2368060044980731</v>
      </c>
      <c r="AO27">
        <f>AC27/1000/E5</f>
        <v>1.7361111111111112E-2</v>
      </c>
      <c r="AW27">
        <f>($BI$43+$BI$44*$BI$46*0.1/E5)*AT5</f>
        <v>1.0096300084799066</v>
      </c>
      <c r="AX27">
        <f>($BI$43+$BI$44*$BI$46*0.25/E5)*AT5</f>
        <v>1.2336603358053295</v>
      </c>
      <c r="AY27">
        <f>($BI$43+$BI$44*$BI$46*0.4/E5)*AT5</f>
        <v>1.4576906631307529</v>
      </c>
      <c r="BA27">
        <f>($BI$61-$BI$62*$BI$46*0.1/E5)*AU5</f>
        <v>2.6920987899409676E-2</v>
      </c>
      <c r="BB27">
        <f>($BI$61-$BI$62*$BI$46*0.25/E5)*AU5</f>
        <v>2.4440552896392811E-2</v>
      </c>
      <c r="BC27">
        <f>($BI$61-$BI$62*$BI$46*0.4/E5)*AU5</f>
        <v>2.1960117893375947E-2</v>
      </c>
      <c r="CJ27" s="6"/>
      <c r="CK27" s="6"/>
      <c r="CL27" s="6"/>
      <c r="CM27" s="6"/>
      <c r="CN27" s="6"/>
      <c r="CO27" s="6"/>
    </row>
    <row r="28" spans="1:93" x14ac:dyDescent="0.25">
      <c r="E28">
        <f>1-0.04*1.1/E24</f>
        <v>0.68941176470588228</v>
      </c>
      <c r="AV28" s="6"/>
      <c r="CJ28" s="6"/>
      <c r="CK28" s="6"/>
      <c r="CL28" s="6"/>
      <c r="CM28" s="6"/>
      <c r="CN28" s="6"/>
      <c r="CO28" s="6"/>
    </row>
    <row r="29" spans="1:93" x14ac:dyDescent="0.25">
      <c r="E29">
        <f>1-0.54/E28</f>
        <v>0.2167235494880545</v>
      </c>
      <c r="W29">
        <v>0.28000000000000003</v>
      </c>
      <c r="X29">
        <v>10.55</v>
      </c>
      <c r="Y29">
        <v>14.3</v>
      </c>
      <c r="Z29">
        <v>11</v>
      </c>
      <c r="AA29">
        <v>5.5</v>
      </c>
      <c r="AB29">
        <v>5.4</v>
      </c>
      <c r="AC29">
        <v>4.9000000000000004</v>
      </c>
      <c r="AD29">
        <v>1.53</v>
      </c>
      <c r="AE29">
        <v>1.46</v>
      </c>
      <c r="AF29">
        <v>2.13</v>
      </c>
      <c r="AG29">
        <v>2.36</v>
      </c>
      <c r="AH29">
        <v>2.2999999999999998</v>
      </c>
      <c r="AJ29">
        <f t="shared" ref="AJ29:AJ42" si="24">AF29/(9.81*E7)^0.5</f>
        <v>1.7558987522447176</v>
      </c>
      <c r="AK29">
        <f>AA29/1000/E7</f>
        <v>3.6666666666666667E-2</v>
      </c>
      <c r="AL29">
        <f t="shared" ref="AL29:AL42" si="25">AG29/(9.81*E7)^0.5</f>
        <v>1.9455028428626919</v>
      </c>
      <c r="AM29">
        <f>AB29/1000/E7</f>
        <v>3.6000000000000004E-2</v>
      </c>
      <c r="AN29">
        <f t="shared" ref="AN29:AN42" si="26">AH29/(9.81*E7)^0.5</f>
        <v>1.8960409061797421</v>
      </c>
      <c r="AO29">
        <f>AC29/1000/E7</f>
        <v>3.266666666666667E-2</v>
      </c>
      <c r="AV29" s="6"/>
      <c r="AW29">
        <f t="shared" ref="AW29:AW42" si="27">($BI$43+$BI$44*$BI$46*0.1/E7)*AT7</f>
        <v>1.3203306129757626</v>
      </c>
      <c r="AX29">
        <f t="shared" ref="AX29:AX42" si="28">($BI$43+$BI$44*$BI$46*0.25/E7)*AT7</f>
        <v>1.603258601470569</v>
      </c>
      <c r="AY29">
        <f t="shared" ref="AY29:AY42" si="29">($BI$43+$BI$44*$BI$46*0.4/E7)*AT7</f>
        <v>1.8861865899653751</v>
      </c>
      <c r="BA29">
        <f>($BI$61-$BI$62*$BI$46*0.1/E7)*AU7</f>
        <v>3.703622617338645E-2</v>
      </c>
      <c r="BB29">
        <f>($BI$61-$BI$62*$BI$46*0.25/E7)*AU7</f>
        <v>3.3768323863969996E-2</v>
      </c>
      <c r="BC29">
        <f>($BI$61-$BI$62*$BI$46*0.4/E7)*AU7</f>
        <v>3.0500421554553545E-2</v>
      </c>
      <c r="CJ29" s="6"/>
      <c r="CK29" s="6"/>
      <c r="CL29" s="6"/>
      <c r="CM29" s="6"/>
      <c r="CN29" s="6"/>
      <c r="CO29" s="6"/>
    </row>
    <row r="30" spans="1:93" x14ac:dyDescent="0.25">
      <c r="W30">
        <v>0.13</v>
      </c>
      <c r="X30">
        <v>4</v>
      </c>
      <c r="Y30">
        <v>5.8</v>
      </c>
      <c r="Z30">
        <v>3.6</v>
      </c>
      <c r="AA30">
        <v>1.7</v>
      </c>
      <c r="AB30">
        <v>2.1</v>
      </c>
      <c r="AC30">
        <v>1.7</v>
      </c>
      <c r="AD30">
        <v>0.99</v>
      </c>
      <c r="AE30">
        <v>0.99</v>
      </c>
      <c r="AG30">
        <v>1.19</v>
      </c>
      <c r="AK30">
        <f t="shared" ref="AK30:AK32" si="30">AA30/1000/E8</f>
        <v>1.1971830985915493E-2</v>
      </c>
      <c r="AL30">
        <f t="shared" si="25"/>
        <v>1.0082501272955027</v>
      </c>
      <c r="AM30">
        <f t="shared" ref="AM30:AM32" si="31">AB30/1000/E8</f>
        <v>1.47887323943662E-2</v>
      </c>
      <c r="AO30">
        <f t="shared" ref="AO30:AO32" si="32">AC30/1000/E8</f>
        <v>1.1971830985915493E-2</v>
      </c>
      <c r="AV30" s="6"/>
      <c r="AW30">
        <f t="shared" si="27"/>
        <v>0.87521890289461879</v>
      </c>
      <c r="AX30">
        <f t="shared" si="28"/>
        <v>1.0717500936643685</v>
      </c>
      <c r="AY30">
        <f t="shared" si="29"/>
        <v>1.2682812844341183</v>
      </c>
      <c r="BA30">
        <f t="shared" ref="BA30:BA44" si="33">($BI$61-$BI$62*$BI$46*0.1/E8)*AU8</f>
        <v>2.4407757024044748E-2</v>
      </c>
      <c r="BB30">
        <f t="shared" ref="BB30:BB44" si="34">($BI$61-$BI$62*$BI$46*0.25/E8)*AU8</f>
        <v>2.2125236105337325E-2</v>
      </c>
      <c r="BC30">
        <f t="shared" ref="BC30:BC44" si="35">($BI$61-$BI$62*$BI$46*0.4/E8)*AU8</f>
        <v>1.9842715186629896E-2</v>
      </c>
      <c r="CJ30" s="6"/>
      <c r="CK30" s="6"/>
      <c r="CL30" s="6"/>
      <c r="CM30" s="6"/>
      <c r="CN30" s="6"/>
      <c r="CO30" s="6"/>
    </row>
    <row r="31" spans="1:93" x14ac:dyDescent="0.25">
      <c r="W31">
        <v>0.41</v>
      </c>
      <c r="X31">
        <v>16.34</v>
      </c>
      <c r="Y31">
        <v>21.2</v>
      </c>
      <c r="Z31">
        <v>16.399999999999999</v>
      </c>
      <c r="AA31">
        <v>9.8000000000000007</v>
      </c>
      <c r="AB31">
        <v>7.9</v>
      </c>
      <c r="AC31">
        <v>6.6</v>
      </c>
      <c r="AD31">
        <v>1.74</v>
      </c>
      <c r="AE31">
        <v>1.54</v>
      </c>
      <c r="AF31">
        <v>2.15</v>
      </c>
      <c r="AG31">
        <v>2.58</v>
      </c>
      <c r="AH31">
        <v>2.57</v>
      </c>
      <c r="AJ31">
        <f t="shared" si="24"/>
        <v>1.754923706943412</v>
      </c>
      <c r="AK31">
        <f t="shared" si="30"/>
        <v>6.4052287581699355E-2</v>
      </c>
      <c r="AL31">
        <f t="shared" si="25"/>
        <v>2.1059084483320945</v>
      </c>
      <c r="AM31">
        <f t="shared" si="31"/>
        <v>5.1633986928104579E-2</v>
      </c>
      <c r="AN31">
        <f t="shared" si="26"/>
        <v>2.097746012485846</v>
      </c>
      <c r="AO31">
        <f t="shared" si="32"/>
        <v>4.3137254901960784E-2</v>
      </c>
      <c r="AV31" s="6"/>
      <c r="AW31">
        <f t="shared" si="27"/>
        <v>1.748237647084089</v>
      </c>
      <c r="AX31">
        <f t="shared" si="28"/>
        <v>2.1165461401495569</v>
      </c>
      <c r="AY31">
        <f t="shared" si="29"/>
        <v>2.4848546332150252</v>
      </c>
      <c r="BA31">
        <f t="shared" si="33"/>
        <v>5.3567482194177861E-2</v>
      </c>
      <c r="BB31">
        <f t="shared" si="34"/>
        <v>4.8938955506892902E-2</v>
      </c>
      <c r="BC31">
        <f t="shared" si="35"/>
        <v>4.431042881960795E-2</v>
      </c>
      <c r="CJ31" s="6"/>
      <c r="CK31" s="6"/>
      <c r="CL31" s="6"/>
      <c r="CM31" s="6"/>
      <c r="CN31" s="6"/>
      <c r="CO31" s="6"/>
    </row>
    <row r="32" spans="1:93" x14ac:dyDescent="0.25">
      <c r="E32">
        <f>1.1/0.11</f>
        <v>10</v>
      </c>
      <c r="W32">
        <v>0.27</v>
      </c>
      <c r="X32">
        <v>7.68</v>
      </c>
      <c r="Y32">
        <v>12.1</v>
      </c>
      <c r="Z32">
        <v>8.5</v>
      </c>
      <c r="AA32">
        <v>4.5999999999999996</v>
      </c>
      <c r="AB32">
        <v>4.3</v>
      </c>
      <c r="AC32">
        <v>3.5</v>
      </c>
      <c r="AD32">
        <v>1.39</v>
      </c>
      <c r="AE32">
        <v>1.34</v>
      </c>
      <c r="AF32">
        <v>1.85</v>
      </c>
      <c r="AG32">
        <v>1.94</v>
      </c>
      <c r="AH32">
        <v>2.0699999999999998</v>
      </c>
      <c r="AJ32">
        <f t="shared" si="24"/>
        <v>1.5511479513439126</v>
      </c>
      <c r="AK32">
        <f t="shared" si="30"/>
        <v>3.1724137931034485E-2</v>
      </c>
      <c r="AL32">
        <f t="shared" si="25"/>
        <v>1.6266092030309136</v>
      </c>
      <c r="AM32">
        <f t="shared" si="31"/>
        <v>2.9655172413793104E-2</v>
      </c>
      <c r="AN32">
        <f t="shared" si="26"/>
        <v>1.7356087888010263</v>
      </c>
      <c r="AO32">
        <f t="shared" si="32"/>
        <v>2.4137931034482762E-2</v>
      </c>
      <c r="AV32" s="6"/>
      <c r="AW32">
        <f t="shared" si="27"/>
        <v>1.1848393699183337</v>
      </c>
      <c r="AX32">
        <f t="shared" si="28"/>
        <v>1.446200995635613</v>
      </c>
      <c r="AY32">
        <f t="shared" si="29"/>
        <v>1.7075626213528925</v>
      </c>
      <c r="BA32">
        <f t="shared" si="33"/>
        <v>3.4331507459729294E-2</v>
      </c>
      <c r="BB32">
        <f t="shared" si="34"/>
        <v>3.1191430557924785E-2</v>
      </c>
      <c r="BC32">
        <f t="shared" si="35"/>
        <v>2.805135365612027E-2</v>
      </c>
      <c r="CJ32" s="6"/>
      <c r="CK32" s="6"/>
      <c r="CL32" s="6"/>
      <c r="CM32" s="6"/>
      <c r="CN32" s="6"/>
      <c r="CO32" s="6"/>
    </row>
    <row r="33" spans="22:93" x14ac:dyDescent="0.25">
      <c r="W33">
        <v>0.13</v>
      </c>
      <c r="X33">
        <v>3.86</v>
      </c>
      <c r="Y33">
        <v>6.4</v>
      </c>
      <c r="Z33">
        <v>3.9</v>
      </c>
      <c r="AA33">
        <v>1.9</v>
      </c>
      <c r="AB33">
        <v>1.8</v>
      </c>
      <c r="AD33">
        <v>0.84</v>
      </c>
      <c r="AE33">
        <v>1</v>
      </c>
      <c r="AK33">
        <f>AA33/1000/E11</f>
        <v>1.3768115942028984E-2</v>
      </c>
      <c r="AM33">
        <f>AB33/1000/E11</f>
        <v>1.3043478260869565E-2</v>
      </c>
      <c r="AV33" s="6"/>
      <c r="AW33">
        <f t="shared" si="27"/>
        <v>0.78262877507157047</v>
      </c>
      <c r="AX33">
        <f t="shared" si="28"/>
        <v>0.9626814073733122</v>
      </c>
      <c r="AY33">
        <f t="shared" si="29"/>
        <v>1.142734039675054</v>
      </c>
      <c r="BA33">
        <f t="shared" si="33"/>
        <v>2.2776552762875605E-2</v>
      </c>
      <c r="BB33">
        <f t="shared" si="34"/>
        <v>2.0580869655914592E-2</v>
      </c>
      <c r="BC33">
        <f t="shared" si="35"/>
        <v>1.8385186548953575E-2</v>
      </c>
      <c r="CJ33" s="6"/>
      <c r="CK33" s="6"/>
      <c r="CL33" s="6"/>
      <c r="CM33" s="6"/>
      <c r="CN33" s="6"/>
      <c r="CO33" s="6"/>
    </row>
    <row r="34" spans="22:93" x14ac:dyDescent="0.25">
      <c r="W34">
        <v>0.48</v>
      </c>
      <c r="X34">
        <v>12.15</v>
      </c>
      <c r="Y34">
        <v>20.399999999999999</v>
      </c>
      <c r="Z34">
        <v>14.2</v>
      </c>
      <c r="AA34">
        <v>7.6</v>
      </c>
      <c r="AB34">
        <v>6.5</v>
      </c>
      <c r="AC34">
        <v>5.6</v>
      </c>
      <c r="AD34">
        <v>1.64</v>
      </c>
      <c r="AE34">
        <v>1.42</v>
      </c>
      <c r="AF34">
        <v>2.09</v>
      </c>
      <c r="AG34">
        <v>2.38</v>
      </c>
      <c r="AH34">
        <v>2.4300000000000002</v>
      </c>
      <c r="AJ34">
        <f t="shared" si="24"/>
        <v>1.7404161917568786</v>
      </c>
      <c r="AK34">
        <f t="shared" ref="AK34" si="36">AA34/1000/E12</f>
        <v>5.1700680272108848E-2</v>
      </c>
      <c r="AL34">
        <f t="shared" si="25"/>
        <v>1.9819093475508953</v>
      </c>
      <c r="AM34">
        <f t="shared" ref="AM34" si="37">AB34/1000/E12</f>
        <v>4.4217687074829932E-2</v>
      </c>
      <c r="AN34">
        <f t="shared" si="26"/>
        <v>2.0235460985498639</v>
      </c>
      <c r="AO34">
        <f t="shared" ref="AO34" si="38">AC34/1000/E12</f>
        <v>3.8095238095238099E-2</v>
      </c>
      <c r="AW34">
        <f t="shared" si="27"/>
        <v>1.7057519608284339</v>
      </c>
      <c r="AX34">
        <f t="shared" si="28"/>
        <v>2.0776455569392844</v>
      </c>
      <c r="AY34">
        <f t="shared" si="29"/>
        <v>2.4495391530501349</v>
      </c>
      <c r="BA34">
        <f t="shared" si="33"/>
        <v>5.6013562425675623E-2</v>
      </c>
      <c r="BB34">
        <f t="shared" si="34"/>
        <v>5.0964262928168816E-2</v>
      </c>
      <c r="BC34">
        <f t="shared" si="35"/>
        <v>4.5914963430661988E-2</v>
      </c>
      <c r="CJ34" s="6"/>
      <c r="CK34" s="6"/>
      <c r="CL34" s="6"/>
      <c r="CM34" s="6"/>
      <c r="CN34" s="6"/>
      <c r="CO34" s="6"/>
    </row>
    <row r="35" spans="22:93" x14ac:dyDescent="0.25">
      <c r="W35">
        <v>0.37</v>
      </c>
      <c r="X35">
        <v>6.09</v>
      </c>
      <c r="Y35">
        <v>11.7</v>
      </c>
      <c r="Z35">
        <v>7</v>
      </c>
      <c r="AA35">
        <v>3.7</v>
      </c>
      <c r="AB35">
        <v>4.0999999999999996</v>
      </c>
      <c r="AC35">
        <v>3.5</v>
      </c>
      <c r="AD35">
        <v>1.32</v>
      </c>
      <c r="AE35">
        <v>1.29</v>
      </c>
      <c r="AF35">
        <v>1.86</v>
      </c>
      <c r="AG35">
        <v>1.84</v>
      </c>
      <c r="AH35">
        <v>1.81</v>
      </c>
      <c r="AJ35">
        <f t="shared" si="24"/>
        <v>1.5871370236523274</v>
      </c>
      <c r="AK35">
        <f t="shared" ref="AK35:AK42" si="39">AA35/1000/E13</f>
        <v>2.6428571428571426E-2</v>
      </c>
      <c r="AL35">
        <f t="shared" si="25"/>
        <v>1.5700710341506894</v>
      </c>
      <c r="AM35">
        <f t="shared" ref="AM35:AM42" si="40">AB35/1000/E13</f>
        <v>2.928571428571428E-2</v>
      </c>
      <c r="AN35">
        <f t="shared" si="26"/>
        <v>1.5444720498982325</v>
      </c>
      <c r="AO35">
        <f t="shared" ref="AO35:AO42" si="41">AC35/1000/E13</f>
        <v>2.4999999999999998E-2</v>
      </c>
      <c r="AW35">
        <f t="shared" si="27"/>
        <v>1.2168248364881087</v>
      </c>
      <c r="AX35">
        <f t="shared" si="28"/>
        <v>1.4933759356899514</v>
      </c>
      <c r="AY35">
        <f t="shared" si="29"/>
        <v>1.7699270348917944</v>
      </c>
      <c r="BA35">
        <f t="shared" si="33"/>
        <v>3.7642222178024126E-2</v>
      </c>
      <c r="BB35">
        <f t="shared" si="34"/>
        <v>3.4068593490237026E-2</v>
      </c>
      <c r="BC35">
        <f t="shared" si="35"/>
        <v>3.0494964802449922E-2</v>
      </c>
      <c r="CJ35" s="6"/>
      <c r="CK35" s="6"/>
      <c r="CL35" s="6"/>
      <c r="CM35" s="6"/>
      <c r="CN35" s="6"/>
      <c r="CO35" s="6"/>
    </row>
    <row r="36" spans="22:93" x14ac:dyDescent="0.25">
      <c r="W36">
        <v>0.62</v>
      </c>
      <c r="X36">
        <v>16.57</v>
      </c>
      <c r="Y36">
        <v>22.9</v>
      </c>
      <c r="Z36">
        <v>15.6</v>
      </c>
      <c r="AA36">
        <v>9.3000000000000007</v>
      </c>
      <c r="AB36">
        <v>7.4</v>
      </c>
      <c r="AC36">
        <v>6.6</v>
      </c>
      <c r="AD36">
        <v>1.7</v>
      </c>
      <c r="AE36">
        <v>1.47</v>
      </c>
      <c r="AF36">
        <v>2.11</v>
      </c>
      <c r="AG36">
        <v>2.44</v>
      </c>
      <c r="AH36">
        <v>2.46</v>
      </c>
      <c r="AJ36">
        <f t="shared" si="24"/>
        <v>1.7752793670006355</v>
      </c>
      <c r="AK36">
        <f t="shared" si="39"/>
        <v>6.458333333333334E-2</v>
      </c>
      <c r="AL36">
        <f t="shared" si="25"/>
        <v>2.0529296945410191</v>
      </c>
      <c r="AM36">
        <f t="shared" si="40"/>
        <v>5.1388888888888894E-2</v>
      </c>
      <c r="AN36">
        <f t="shared" si="26"/>
        <v>2.0697569871192245</v>
      </c>
      <c r="AO36">
        <f t="shared" si="41"/>
        <v>4.5833333333333337E-2</v>
      </c>
      <c r="AW36">
        <f t="shared" si="27"/>
        <v>1.8817965130013794</v>
      </c>
      <c r="AX36">
        <f t="shared" si="28"/>
        <v>2.2993549108567146</v>
      </c>
      <c r="AY36">
        <f t="shared" si="29"/>
        <v>2.7169133087120509</v>
      </c>
      <c r="BA36">
        <f t="shared" si="33"/>
        <v>7.0872081547368043E-2</v>
      </c>
      <c r="BB36">
        <f t="shared" si="34"/>
        <v>6.4342098603814471E-2</v>
      </c>
      <c r="BC36">
        <f t="shared" si="35"/>
        <v>5.7812115660260892E-2</v>
      </c>
      <c r="CJ36" s="6"/>
      <c r="CK36" s="6"/>
      <c r="CL36" s="6"/>
      <c r="CM36" s="6"/>
      <c r="CN36" s="6"/>
      <c r="CO36" s="6"/>
    </row>
    <row r="37" spans="22:93" x14ac:dyDescent="0.25">
      <c r="W37">
        <v>0.36</v>
      </c>
      <c r="X37">
        <v>10.92</v>
      </c>
      <c r="Y37">
        <v>16</v>
      </c>
      <c r="Z37">
        <v>11.3</v>
      </c>
      <c r="AA37">
        <v>5.8</v>
      </c>
      <c r="AB37">
        <v>5.7</v>
      </c>
      <c r="AC37">
        <v>4.9000000000000004</v>
      </c>
      <c r="AD37">
        <v>1.55</v>
      </c>
      <c r="AE37">
        <v>1.46</v>
      </c>
      <c r="AF37">
        <v>2.0699999999999998</v>
      </c>
      <c r="AG37">
        <v>2.2999999999999998</v>
      </c>
      <c r="AH37">
        <v>2.34</v>
      </c>
      <c r="AJ37">
        <f t="shared" si="24"/>
        <v>1.6951730831239469</v>
      </c>
      <c r="AK37">
        <f t="shared" si="39"/>
        <v>3.8157894736842106E-2</v>
      </c>
      <c r="AL37">
        <f t="shared" si="25"/>
        <v>1.8835256479154965</v>
      </c>
      <c r="AM37">
        <f t="shared" si="40"/>
        <v>3.7500000000000006E-2</v>
      </c>
      <c r="AN37">
        <f t="shared" si="26"/>
        <v>1.9162826157053312</v>
      </c>
      <c r="AO37">
        <f t="shared" si="41"/>
        <v>3.2236842105263161E-2</v>
      </c>
      <c r="AW37">
        <f t="shared" si="27"/>
        <v>1.5607719848735435</v>
      </c>
      <c r="AX37">
        <f t="shared" si="28"/>
        <v>1.8914440155670911</v>
      </c>
      <c r="AY37">
        <f t="shared" si="29"/>
        <v>2.2221160462606382</v>
      </c>
      <c r="BA37">
        <f t="shared" si="33"/>
        <v>4.688759615152089E-2</v>
      </c>
      <c r="BB37">
        <f t="shared" si="34"/>
        <v>4.2808048922560259E-2</v>
      </c>
      <c r="BC37">
        <f t="shared" si="35"/>
        <v>3.8728501693599621E-2</v>
      </c>
      <c r="CJ37" s="6"/>
      <c r="CK37" s="6"/>
      <c r="CL37" s="6"/>
      <c r="CM37" s="6"/>
      <c r="CN37" s="6"/>
      <c r="CO37" s="6"/>
    </row>
    <row r="38" spans="22:93" x14ac:dyDescent="0.25">
      <c r="W38">
        <v>0.28999999999999998</v>
      </c>
      <c r="X38">
        <v>9.19</v>
      </c>
      <c r="Y38">
        <v>14</v>
      </c>
      <c r="Z38">
        <v>9.6999999999999993</v>
      </c>
      <c r="AA38">
        <v>4.9000000000000004</v>
      </c>
      <c r="AB38">
        <v>4.7</v>
      </c>
      <c r="AC38">
        <v>4.5</v>
      </c>
      <c r="AD38">
        <v>1.53</v>
      </c>
      <c r="AE38">
        <v>1.35</v>
      </c>
      <c r="AF38">
        <v>1.96</v>
      </c>
      <c r="AG38">
        <v>2.12</v>
      </c>
      <c r="AH38">
        <v>2.09</v>
      </c>
      <c r="AJ38">
        <f t="shared" si="24"/>
        <v>1.6266372370613469</v>
      </c>
      <c r="AK38">
        <f t="shared" si="39"/>
        <v>3.3108108108108117E-2</v>
      </c>
      <c r="AL38">
        <f t="shared" si="25"/>
        <v>1.7594239502908446</v>
      </c>
      <c r="AM38">
        <f t="shared" si="40"/>
        <v>3.1756756756756759E-2</v>
      </c>
      <c r="AN38">
        <f t="shared" si="26"/>
        <v>1.7345264415603137</v>
      </c>
      <c r="AO38">
        <f t="shared" si="41"/>
        <v>3.0405405405405404E-2</v>
      </c>
      <c r="AW38">
        <f t="shared" si="27"/>
        <v>1.3643254221040313</v>
      </c>
      <c r="AX38">
        <f t="shared" si="28"/>
        <v>1.6600607014618416</v>
      </c>
      <c r="AY38">
        <f t="shared" si="29"/>
        <v>1.9557959808196521</v>
      </c>
      <c r="BA38">
        <f t="shared" si="33"/>
        <v>3.9560918569907032E-2</v>
      </c>
      <c r="BB38">
        <f t="shared" si="34"/>
        <v>3.602026356663373E-2</v>
      </c>
      <c r="BC38">
        <f t="shared" si="35"/>
        <v>3.2479608563360421E-2</v>
      </c>
      <c r="BG38" t="s">
        <v>120</v>
      </c>
      <c r="BH38" t="s">
        <v>161</v>
      </c>
      <c r="BI38">
        <f>vG_crest!$BT$82</f>
        <v>1.1000000000000001</v>
      </c>
      <c r="CJ38" s="6"/>
      <c r="CK38" s="6"/>
      <c r="CL38" s="6"/>
      <c r="CM38" s="6"/>
      <c r="CN38" s="6"/>
      <c r="CO38" s="6"/>
    </row>
    <row r="39" spans="22:93" x14ac:dyDescent="0.25">
      <c r="W39">
        <v>0.26</v>
      </c>
      <c r="X39">
        <v>8.09</v>
      </c>
      <c r="Y39">
        <v>11.7</v>
      </c>
      <c r="Z39">
        <v>8.1</v>
      </c>
      <c r="AA39">
        <v>4.0999999999999996</v>
      </c>
      <c r="AB39">
        <v>4.5</v>
      </c>
      <c r="AC39">
        <v>3.7</v>
      </c>
      <c r="AD39">
        <v>1.44</v>
      </c>
      <c r="AE39">
        <v>1.35</v>
      </c>
      <c r="AF39">
        <v>1.94</v>
      </c>
      <c r="AG39">
        <v>1.99</v>
      </c>
      <c r="AH39">
        <v>2.06</v>
      </c>
      <c r="AJ39">
        <f t="shared" si="24"/>
        <v>1.6613449899455872</v>
      </c>
      <c r="AK39">
        <f t="shared" si="39"/>
        <v>2.9496402877697836E-2</v>
      </c>
      <c r="AL39">
        <f t="shared" si="25"/>
        <v>1.7041631597895457</v>
      </c>
      <c r="AM39">
        <f t="shared" si="40"/>
        <v>3.2374100719424453E-2</v>
      </c>
      <c r="AN39">
        <f t="shared" si="26"/>
        <v>1.7641085975710875</v>
      </c>
      <c r="AO39">
        <f t="shared" si="41"/>
        <v>2.6618705035971222E-2</v>
      </c>
      <c r="AW39">
        <f t="shared" si="27"/>
        <v>1.2170420276209246</v>
      </c>
      <c r="AX39">
        <f t="shared" si="28"/>
        <v>1.4953290766196117</v>
      </c>
      <c r="AY39">
        <f t="shared" si="29"/>
        <v>1.7736161256182987</v>
      </c>
      <c r="BA39">
        <f t="shared" si="33"/>
        <v>3.3871623054786193E-2</v>
      </c>
      <c r="BB39">
        <f t="shared" si="34"/>
        <v>3.0631352992147212E-2</v>
      </c>
      <c r="BC39">
        <f t="shared" si="35"/>
        <v>2.7391082929508224E-2</v>
      </c>
      <c r="BH39" t="s">
        <v>160</v>
      </c>
      <c r="BI39">
        <f>vG_crest!BT83</f>
        <v>0.05</v>
      </c>
      <c r="CJ39" s="6"/>
      <c r="CK39" s="6"/>
      <c r="CL39" s="6"/>
      <c r="CM39" s="6"/>
      <c r="CN39" s="6"/>
      <c r="CO39" s="6"/>
    </row>
    <row r="40" spans="22:93" x14ac:dyDescent="0.25">
      <c r="W40">
        <v>0.22</v>
      </c>
      <c r="X40">
        <v>6.76</v>
      </c>
      <c r="Y40">
        <v>10.1</v>
      </c>
      <c r="Z40">
        <v>7.3</v>
      </c>
      <c r="AA40">
        <v>3.4</v>
      </c>
      <c r="AB40">
        <v>3.7</v>
      </c>
      <c r="AC40">
        <v>3.4</v>
      </c>
      <c r="AD40">
        <v>1.29</v>
      </c>
      <c r="AE40">
        <v>1.33</v>
      </c>
      <c r="AF40">
        <v>1.86</v>
      </c>
      <c r="AG40">
        <v>1.88</v>
      </c>
      <c r="AH40">
        <v>1.9</v>
      </c>
      <c r="AJ40">
        <f t="shared" si="24"/>
        <v>1.6470499279217505</v>
      </c>
      <c r="AK40">
        <f t="shared" si="39"/>
        <v>2.6153846153846153E-2</v>
      </c>
      <c r="AL40">
        <f t="shared" si="25"/>
        <v>1.6647601422004787</v>
      </c>
      <c r="AM40">
        <f t="shared" si="40"/>
        <v>2.8461538461538462E-2</v>
      </c>
      <c r="AN40">
        <f t="shared" si="26"/>
        <v>1.6824703564792074</v>
      </c>
      <c r="AO40">
        <f t="shared" si="41"/>
        <v>2.6153846153846153E-2</v>
      </c>
      <c r="AW40">
        <f t="shared" si="27"/>
        <v>1.2229359295962932</v>
      </c>
      <c r="AX40">
        <f t="shared" si="28"/>
        <v>1.5188075254663642</v>
      </c>
      <c r="AY40">
        <f t="shared" si="29"/>
        <v>1.8146791213364348</v>
      </c>
      <c r="BA40">
        <f t="shared" si="33"/>
        <v>3.2989934726601923E-2</v>
      </c>
      <c r="BB40">
        <f t="shared" si="34"/>
        <v>2.9600557871129123E-2</v>
      </c>
      <c r="BC40">
        <f t="shared" si="35"/>
        <v>2.6211181015656324E-2</v>
      </c>
      <c r="CJ40" s="6"/>
      <c r="CK40" s="6"/>
      <c r="CL40" s="6"/>
      <c r="CM40" s="6"/>
      <c r="CN40" s="6"/>
      <c r="CO40" s="6"/>
    </row>
    <row r="41" spans="22:93" x14ac:dyDescent="0.25">
      <c r="W41">
        <v>0.19</v>
      </c>
      <c r="X41">
        <v>5.63</v>
      </c>
      <c r="Y41">
        <v>7.6</v>
      </c>
      <c r="Z41">
        <v>5</v>
      </c>
      <c r="AA41">
        <v>2.4</v>
      </c>
      <c r="AB41">
        <v>3.1</v>
      </c>
      <c r="AC41">
        <v>2.4</v>
      </c>
      <c r="AD41">
        <v>1.0900000000000001</v>
      </c>
      <c r="AE41">
        <v>1.17</v>
      </c>
      <c r="AF41">
        <v>1.71</v>
      </c>
      <c r="AG41">
        <v>1.56</v>
      </c>
      <c r="AH41">
        <v>1.68</v>
      </c>
      <c r="AJ41">
        <f t="shared" si="24"/>
        <v>1.4488300148532012</v>
      </c>
      <c r="AK41">
        <f t="shared" si="39"/>
        <v>1.6901408450704224E-2</v>
      </c>
      <c r="AL41">
        <f t="shared" si="25"/>
        <v>1.3217396626730959</v>
      </c>
      <c r="AM41">
        <f t="shared" si="40"/>
        <v>2.183098591549296E-2</v>
      </c>
      <c r="AN41">
        <f t="shared" si="26"/>
        <v>1.4234119444171802</v>
      </c>
      <c r="AO41">
        <f t="shared" si="41"/>
        <v>1.6901408450704224E-2</v>
      </c>
      <c r="AW41">
        <f t="shared" si="27"/>
        <v>1.0323984155179085</v>
      </c>
      <c r="AX41">
        <f t="shared" si="28"/>
        <v>1.2642244070264208</v>
      </c>
      <c r="AY41">
        <f t="shared" si="29"/>
        <v>1.4960503985349332</v>
      </c>
      <c r="BA41">
        <f t="shared" si="33"/>
        <v>2.9582911802112911E-2</v>
      </c>
      <c r="BB41">
        <f t="shared" si="34"/>
        <v>2.6816430025107342E-2</v>
      </c>
      <c r="BC41">
        <f t="shared" si="35"/>
        <v>2.4049948248101766E-2</v>
      </c>
      <c r="CJ41" s="6"/>
      <c r="CK41" s="6"/>
      <c r="CL41" s="6"/>
      <c r="CM41" s="6"/>
      <c r="CN41" s="6"/>
      <c r="CO41" s="6"/>
    </row>
    <row r="42" spans="22:93" x14ac:dyDescent="0.25">
      <c r="W42">
        <v>0.17</v>
      </c>
      <c r="X42">
        <v>5.28</v>
      </c>
      <c r="Y42">
        <v>7.6</v>
      </c>
      <c r="Z42">
        <v>5</v>
      </c>
      <c r="AA42">
        <v>2.5</v>
      </c>
      <c r="AB42">
        <v>2.8</v>
      </c>
      <c r="AC42">
        <v>2.2000000000000002</v>
      </c>
      <c r="AD42">
        <v>1.08</v>
      </c>
      <c r="AE42">
        <v>1.1100000000000001</v>
      </c>
      <c r="AF42">
        <v>1.58</v>
      </c>
      <c r="AG42">
        <v>1.54</v>
      </c>
      <c r="AH42">
        <v>1.53</v>
      </c>
      <c r="AJ42">
        <f t="shared" si="24"/>
        <v>1.3579476881671655</v>
      </c>
      <c r="AK42">
        <f t="shared" si="39"/>
        <v>1.8115942028985504E-2</v>
      </c>
      <c r="AL42">
        <f t="shared" si="25"/>
        <v>1.3235692656819207</v>
      </c>
      <c r="AM42">
        <f t="shared" si="40"/>
        <v>2.0289855072463767E-2</v>
      </c>
      <c r="AN42">
        <f t="shared" si="26"/>
        <v>1.3149746600606096</v>
      </c>
      <c r="AO42">
        <f t="shared" si="41"/>
        <v>1.5942028985507246E-2</v>
      </c>
      <c r="AW42">
        <f t="shared" si="27"/>
        <v>0.91331168773905724</v>
      </c>
      <c r="AX42">
        <f t="shared" si="28"/>
        <v>1.1234294073109263</v>
      </c>
      <c r="AY42">
        <f t="shared" si="29"/>
        <v>1.3335471268827954</v>
      </c>
      <c r="BA42">
        <f t="shared" si="33"/>
        <v>2.5646151544928237E-2</v>
      </c>
      <c r="BB42">
        <f t="shared" si="34"/>
        <v>2.3173836164633102E-2</v>
      </c>
      <c r="BC42">
        <f t="shared" si="35"/>
        <v>2.070152078433796E-2</v>
      </c>
      <c r="CJ42" s="6"/>
      <c r="CK42" s="6"/>
      <c r="CL42" s="6"/>
      <c r="CM42" s="6"/>
      <c r="CN42" s="6"/>
      <c r="CO42" s="6"/>
    </row>
    <row r="43" spans="22:93" x14ac:dyDescent="0.25">
      <c r="W43">
        <v>0.09</v>
      </c>
      <c r="X43">
        <v>2.85</v>
      </c>
      <c r="Y43">
        <v>3.3</v>
      </c>
      <c r="Z43">
        <v>1.9</v>
      </c>
      <c r="AA43">
        <v>1.1000000000000001</v>
      </c>
      <c r="AB43">
        <v>1.3</v>
      </c>
      <c r="AD43">
        <v>0.76</v>
      </c>
      <c r="AK43">
        <f t="shared" ref="AK43" si="42">AA43/1000/E21</f>
        <v>8.2706766917293225E-3</v>
      </c>
      <c r="AM43">
        <f t="shared" ref="AM43" si="43">AB43/1000/E21</f>
        <v>9.7744360902255623E-3</v>
      </c>
      <c r="AW43" s="6"/>
      <c r="AX43" s="6"/>
      <c r="AY43" s="6"/>
      <c r="BA43">
        <f t="shared" si="33"/>
        <v>1.9848237771972047E-2</v>
      </c>
      <c r="BB43">
        <f t="shared" si="34"/>
        <v>1.7858106979327791E-2</v>
      </c>
      <c r="BC43">
        <f t="shared" si="35"/>
        <v>1.5867976186683536E-2</v>
      </c>
      <c r="BH43" t="s">
        <v>163</v>
      </c>
      <c r="BI43">
        <v>1</v>
      </c>
      <c r="CJ43" s="6"/>
      <c r="CK43" s="6"/>
      <c r="CL43" s="6"/>
      <c r="CM43" s="6"/>
      <c r="CN43" s="6"/>
      <c r="CO43" s="6"/>
    </row>
    <row r="44" spans="22:93" x14ac:dyDescent="0.25">
      <c r="W44">
        <v>0.08</v>
      </c>
      <c r="X44">
        <v>1.93</v>
      </c>
      <c r="Y44">
        <v>2.5</v>
      </c>
      <c r="Z44">
        <v>1.5</v>
      </c>
      <c r="AB44">
        <v>1.1000000000000001</v>
      </c>
      <c r="AD44">
        <v>0.71</v>
      </c>
      <c r="AM44">
        <f t="shared" ref="AM44" si="44">AB44/1000/E22</f>
        <v>8.7301587301587304E-3</v>
      </c>
      <c r="AW44" s="6"/>
      <c r="AX44" s="6"/>
      <c r="AY44" s="6"/>
      <c r="BA44">
        <f t="shared" si="33"/>
        <v>1.8858192349062171E-2</v>
      </c>
      <c r="BB44">
        <f t="shared" si="34"/>
        <v>1.6854843303481911E-2</v>
      </c>
      <c r="BC44">
        <f t="shared" si="35"/>
        <v>1.4851494257901651E-2</v>
      </c>
      <c r="BH44" t="s">
        <v>164</v>
      </c>
      <c r="BI44">
        <v>1</v>
      </c>
      <c r="CJ44" s="6"/>
      <c r="CK44" s="6"/>
      <c r="CL44" s="6"/>
      <c r="CM44" s="6"/>
      <c r="CN44" s="6"/>
      <c r="CO44" s="6"/>
    </row>
    <row r="45" spans="22:93" x14ac:dyDescent="0.25">
      <c r="BG45">
        <f>1/2.5</f>
        <v>0.4</v>
      </c>
      <c r="BH45" t="s">
        <v>156</v>
      </c>
      <c r="BI45">
        <f>1/2.5</f>
        <v>0.4</v>
      </c>
    </row>
    <row r="46" spans="22:93" x14ac:dyDescent="0.25">
      <c r="V46" t="s">
        <v>32</v>
      </c>
      <c r="AK46" s="6" t="s">
        <v>111</v>
      </c>
      <c r="AM46" s="6" t="s">
        <v>113</v>
      </c>
      <c r="AO46" s="6" t="s">
        <v>114</v>
      </c>
      <c r="AW46" t="s">
        <v>104</v>
      </c>
      <c r="AX46" t="s">
        <v>106</v>
      </c>
      <c r="AY46" t="s">
        <v>105</v>
      </c>
      <c r="BA46" t="s">
        <v>104</v>
      </c>
      <c r="BB46" t="s">
        <v>106</v>
      </c>
      <c r="BC46" t="s">
        <v>105</v>
      </c>
      <c r="BG46" s="4"/>
      <c r="BH46" t="s">
        <v>155</v>
      </c>
      <c r="BI46">
        <f>1/4</f>
        <v>0.25</v>
      </c>
    </row>
    <row r="47" spans="22:93" x14ac:dyDescent="0.25">
      <c r="V47" t="s">
        <v>12</v>
      </c>
      <c r="W47" t="s">
        <v>13</v>
      </c>
      <c r="X47" t="s">
        <v>14</v>
      </c>
      <c r="Y47" t="s">
        <v>15</v>
      </c>
      <c r="AD47" t="s">
        <v>21</v>
      </c>
      <c r="AK47" t="s">
        <v>110</v>
      </c>
      <c r="AM47" t="s">
        <v>110</v>
      </c>
      <c r="AO47" t="s">
        <v>110</v>
      </c>
      <c r="AW47" t="s">
        <v>116</v>
      </c>
      <c r="BA47" t="s">
        <v>112</v>
      </c>
      <c r="BG47">
        <f>1/4</f>
        <v>0.25</v>
      </c>
    </row>
    <row r="48" spans="22:93" x14ac:dyDescent="0.25">
      <c r="X48" t="s">
        <v>22</v>
      </c>
      <c r="Y48" t="s">
        <v>16</v>
      </c>
      <c r="Z48" t="s">
        <v>17</v>
      </c>
      <c r="AA48" t="s">
        <v>18</v>
      </c>
      <c r="AB48" t="s">
        <v>19</v>
      </c>
      <c r="AC48" t="s">
        <v>20</v>
      </c>
      <c r="AD48" t="s">
        <v>16</v>
      </c>
      <c r="AE48" t="s">
        <v>17</v>
      </c>
      <c r="AF48" t="s">
        <v>18</v>
      </c>
      <c r="AG48" t="s">
        <v>19</v>
      </c>
      <c r="AH48" t="s">
        <v>20</v>
      </c>
    </row>
    <row r="49" spans="23:61" x14ac:dyDescent="0.25">
      <c r="W49">
        <v>0.13</v>
      </c>
      <c r="X49">
        <v>6.12</v>
      </c>
      <c r="Y49">
        <v>7.1</v>
      </c>
      <c r="Z49">
        <v>6.5</v>
      </c>
      <c r="AA49">
        <v>2.8</v>
      </c>
      <c r="AB49">
        <v>2.8</v>
      </c>
      <c r="AC49">
        <v>2.2999999999999998</v>
      </c>
      <c r="AD49">
        <v>1.1200000000000001</v>
      </c>
      <c r="AE49">
        <v>0.63</v>
      </c>
      <c r="AF49">
        <v>1.48</v>
      </c>
      <c r="AG49">
        <v>1.64</v>
      </c>
      <c r="AH49">
        <v>1.44</v>
      </c>
      <c r="AJ49">
        <f>AF49/(9.81*E5)^0.5</f>
        <v>1.2452196507871756</v>
      </c>
      <c r="AK49">
        <f>AA49/1000/E5</f>
        <v>1.9444444444444445E-2</v>
      </c>
      <c r="AL49">
        <f>AG49/(9.81*E5)^0.5</f>
        <v>1.3798379914128163</v>
      </c>
      <c r="AM49">
        <f>AB49/1000/E5</f>
        <v>1.9444444444444445E-2</v>
      </c>
      <c r="AN49">
        <f>AH49/(9.81*E5)^0.5</f>
        <v>1.2115650656307655</v>
      </c>
      <c r="AO49">
        <f>AC49/1000/E5</f>
        <v>1.5972222222222224E-2</v>
      </c>
      <c r="AT49">
        <f>AQ5*($BI$38-$BI$39*1.1/E5)</f>
        <v>0.59941095449139603</v>
      </c>
      <c r="AU49">
        <f>AR5*($BI$57-$BI$58*1.1/E5)</f>
        <v>3.9915374206820987E-2</v>
      </c>
      <c r="AW49">
        <f>($BI$43+$BI$44*$BI$45*0.1/E5)*AT49</f>
        <v>0.76591399740567279</v>
      </c>
      <c r="AX49">
        <f>($BI$43+$BI$44*$BI$45*0.25/E5)*AT49</f>
        <v>1.0156685617770878</v>
      </c>
      <c r="AY49">
        <f>($BI$43+$BI$44*$BI$45*0.4/E5)*AT49</f>
        <v>1.2654231261485029</v>
      </c>
      <c r="BA49">
        <f>($BI$61-$BI$62*$BI$45*0.1/E5)*AU49</f>
        <v>2.1731703734824758E-2</v>
      </c>
      <c r="BB49">
        <f>($BI$61-$BI$62*$BI$45*0.25/E5)*AU49</f>
        <v>1.8405422550923006E-2</v>
      </c>
      <c r="BC49">
        <f>($BI$61-$BI$62*$BI$45*0.4/E5)*AU49</f>
        <v>1.5079141367021258E-2</v>
      </c>
      <c r="BH49">
        <v>0</v>
      </c>
      <c r="BI49">
        <v>0</v>
      </c>
    </row>
    <row r="50" spans="23:61" x14ac:dyDescent="0.25">
      <c r="AT50">
        <f t="shared" ref="AT50:AT66" si="45">AQ6*($BI$38-$BI$39*1.1/E6)</f>
        <v>0.35863850999786889</v>
      </c>
      <c r="AU50">
        <f t="shared" ref="AU50:AU66" si="46">AR6*($BI$57-$BI$58*1.1/E6)</f>
        <v>2.7082468425784552E-2</v>
      </c>
      <c r="BH50">
        <v>4</v>
      </c>
      <c r="BI50">
        <v>4</v>
      </c>
    </row>
    <row r="51" spans="23:61" x14ac:dyDescent="0.25">
      <c r="W51">
        <v>0.2</v>
      </c>
      <c r="Y51">
        <v>13.9</v>
      </c>
      <c r="Z51">
        <v>10.5</v>
      </c>
      <c r="AA51">
        <v>6.9</v>
      </c>
      <c r="AB51">
        <v>5.7</v>
      </c>
      <c r="AC51">
        <v>5.0999999999999996</v>
      </c>
      <c r="AD51">
        <v>1.57</v>
      </c>
      <c r="AE51">
        <v>1.1599999999999999</v>
      </c>
      <c r="AF51">
        <v>1.76</v>
      </c>
      <c r="AG51">
        <v>2.2000000000000002</v>
      </c>
      <c r="AJ51">
        <f t="shared" ref="AJ51:AJ64" si="47">AF51/(9.81*E7)^0.5</f>
        <v>1.4508834760331941</v>
      </c>
      <c r="AK51">
        <f>AA51/1000/E7</f>
        <v>4.6000000000000006E-2</v>
      </c>
      <c r="AL51">
        <f t="shared" ref="AL51:AL64" si="48">AG51/(9.81*E7)^0.5</f>
        <v>1.8136043450414927</v>
      </c>
      <c r="AM51">
        <f t="shared" ref="AM51:AM56" si="49">AB51/1000/E7</f>
        <v>3.8000000000000006E-2</v>
      </c>
      <c r="AO51">
        <f>AC51/1000/E7</f>
        <v>3.3999999999999996E-2</v>
      </c>
      <c r="AT51">
        <f t="shared" si="45"/>
        <v>0.80315041895299832</v>
      </c>
      <c r="AU51">
        <f t="shared" si="46"/>
        <v>5.5216280400484867E-2</v>
      </c>
      <c r="AW51">
        <f>($BI$43+$BI$44*$BI$45*0.1/E7)*AT51</f>
        <v>1.0173238640071312</v>
      </c>
      <c r="AX51">
        <f>($BI$43+$BI$44*$BI$45*0.25/E7)*AT51</f>
        <v>1.3385840315883306</v>
      </c>
      <c r="BA51">
        <f t="shared" ref="BA51:BA66" si="50">($BI$61-$BI$62*$BI$45*0.1/E7)*AU51</f>
        <v>3.018489995226506E-2</v>
      </c>
      <c r="BB51">
        <f t="shared" ref="BB51:BB66" si="51">($BI$61-$BI$62*$BI$45*0.25/E7)*AU51</f>
        <v>2.5767597520226268E-2</v>
      </c>
      <c r="BC51">
        <f t="shared" ref="BC51:BC66" si="52">($BI$61-$BI$62*$BI$45*0.4/E7)*AU51</f>
        <v>2.135029508818748E-2</v>
      </c>
    </row>
    <row r="52" spans="23:61" x14ac:dyDescent="0.25">
      <c r="W52">
        <v>0.1</v>
      </c>
      <c r="X52">
        <v>5.56</v>
      </c>
      <c r="Y52">
        <v>5.7</v>
      </c>
      <c r="Z52">
        <v>4.2</v>
      </c>
      <c r="AB52">
        <v>1.7</v>
      </c>
      <c r="AC52">
        <v>1.4</v>
      </c>
      <c r="AD52">
        <v>0.94</v>
      </c>
      <c r="AM52">
        <f t="shared" si="49"/>
        <v>1.1971830985915493E-2</v>
      </c>
      <c r="AO52">
        <f>AC52/1000/E8</f>
        <v>9.8591549295774655E-3</v>
      </c>
      <c r="AT52">
        <f t="shared" si="45"/>
        <v>0.51513576358187163</v>
      </c>
      <c r="AU52">
        <f t="shared" si="46"/>
        <v>3.6118255588578153E-2</v>
      </c>
      <c r="BA52">
        <f t="shared" si="50"/>
        <v>1.9636122052381924E-2</v>
      </c>
      <c r="BB52">
        <f t="shared" si="51"/>
        <v>1.6583875101234474E-2</v>
      </c>
      <c r="BC52">
        <f t="shared" si="52"/>
        <v>1.3531628150087025E-2</v>
      </c>
    </row>
    <row r="53" spans="23:61" x14ac:dyDescent="0.25">
      <c r="W53">
        <v>0.2</v>
      </c>
      <c r="Y53">
        <v>20.9</v>
      </c>
      <c r="Z53">
        <v>14.2</v>
      </c>
      <c r="AA53">
        <v>11.3</v>
      </c>
      <c r="AB53">
        <v>8.9</v>
      </c>
      <c r="AC53">
        <v>7.9</v>
      </c>
      <c r="AD53">
        <v>1.83</v>
      </c>
      <c r="AE53">
        <v>1.34</v>
      </c>
      <c r="AF53">
        <v>1.83</v>
      </c>
      <c r="AG53">
        <v>2.4500000000000002</v>
      </c>
      <c r="AJ53">
        <f t="shared" si="47"/>
        <v>1.4937257598634626</v>
      </c>
      <c r="AK53">
        <f>AA53/1000/E9</f>
        <v>7.3856209150326799E-2</v>
      </c>
      <c r="AL53">
        <f t="shared" si="48"/>
        <v>1.9997967823308651</v>
      </c>
      <c r="AM53">
        <f t="shared" si="49"/>
        <v>5.8169934640522877E-2</v>
      </c>
      <c r="AO53">
        <f>AC53/1000/E9</f>
        <v>5.1633986928104579E-2</v>
      </c>
      <c r="AT53">
        <f t="shared" si="45"/>
        <v>1.0755259459154489</v>
      </c>
      <c r="AU53">
        <f t="shared" si="46"/>
        <v>8.0067256924236066E-2</v>
      </c>
      <c r="AW53">
        <f>($BI$43+$BI$44*$BI$45*0.1/E9)*AT53</f>
        <v>1.3567091997495531</v>
      </c>
      <c r="AX53">
        <f>($BI$43+$BI$44*$BI$45*0.25/E9)*AT53</f>
        <v>1.7784840805007096</v>
      </c>
      <c r="BA53">
        <f t="shared" si="50"/>
        <v>4.3853830916673081E-2</v>
      </c>
      <c r="BB53">
        <f t="shared" si="51"/>
        <v>3.7574046059870254E-2</v>
      </c>
      <c r="BC53">
        <f t="shared" si="52"/>
        <v>3.1294261203067428E-2</v>
      </c>
    </row>
    <row r="54" spans="23:61" x14ac:dyDescent="0.25">
      <c r="W54">
        <v>0.18</v>
      </c>
      <c r="Y54">
        <v>12</v>
      </c>
      <c r="Z54">
        <v>9.3000000000000007</v>
      </c>
      <c r="AA54">
        <v>4.9000000000000004</v>
      </c>
      <c r="AB54">
        <v>4.3</v>
      </c>
      <c r="AC54">
        <v>4.3</v>
      </c>
      <c r="AD54">
        <v>1.42</v>
      </c>
      <c r="AE54">
        <v>0.93</v>
      </c>
      <c r="AF54">
        <v>1.63</v>
      </c>
      <c r="AG54">
        <v>1.98</v>
      </c>
      <c r="AJ54">
        <f t="shared" si="47"/>
        <v>1.3666871138867984</v>
      </c>
      <c r="AK54">
        <f>AA54/1000/E10</f>
        <v>3.3793103448275873E-2</v>
      </c>
      <c r="AL54">
        <f t="shared" si="48"/>
        <v>1.6601475371140253</v>
      </c>
      <c r="AM54">
        <f t="shared" si="49"/>
        <v>2.9655172413793104E-2</v>
      </c>
      <c r="AO54">
        <f>AC54/1000/E10</f>
        <v>2.9655172413793104E-2</v>
      </c>
      <c r="AT54">
        <f t="shared" si="45"/>
        <v>0.70640482206128452</v>
      </c>
      <c r="AU54">
        <f t="shared" si="46"/>
        <v>5.0951485918566013E-2</v>
      </c>
      <c r="AW54">
        <f>($BI$43+$BI$44*$BI$45*0.1/E10)*AT54</f>
        <v>0.90127511780232861</v>
      </c>
      <c r="AX54">
        <f>($BI$43+$BI$44*$BI$45*0.25/E10)*AT54</f>
        <v>1.1935805614138946</v>
      </c>
      <c r="BA54">
        <f t="shared" si="50"/>
        <v>2.7759775086667E-2</v>
      </c>
      <c r="BB54">
        <f t="shared" si="51"/>
        <v>2.3543100389958084E-2</v>
      </c>
      <c r="BC54">
        <f t="shared" si="52"/>
        <v>1.9326425693249171E-2</v>
      </c>
    </row>
    <row r="55" spans="23:61" x14ac:dyDescent="0.25">
      <c r="W55">
        <v>0.09</v>
      </c>
      <c r="Y55">
        <v>5.3</v>
      </c>
      <c r="Z55">
        <v>4.2</v>
      </c>
      <c r="AB55">
        <v>1.2</v>
      </c>
      <c r="AD55">
        <v>0.97</v>
      </c>
      <c r="AM55">
        <f t="shared" si="49"/>
        <v>8.6956521739130418E-3</v>
      </c>
      <c r="AT55">
        <f t="shared" si="45"/>
        <v>0.45232065507091429</v>
      </c>
      <c r="AU55">
        <f t="shared" si="46"/>
        <v>3.3565886414083743E-2</v>
      </c>
      <c r="BA55">
        <f t="shared" si="50"/>
        <v>1.8193683360677271E-2</v>
      </c>
      <c r="BB55">
        <f t="shared" si="51"/>
        <v>1.527491062901782E-2</v>
      </c>
      <c r="BC55">
        <f t="shared" si="52"/>
        <v>1.2356137897358361E-2</v>
      </c>
    </row>
    <row r="56" spans="23:61" x14ac:dyDescent="0.25">
      <c r="W56">
        <v>0.12</v>
      </c>
      <c r="X56">
        <v>13.4</v>
      </c>
      <c r="Y56">
        <v>20.3</v>
      </c>
      <c r="Z56">
        <v>12.3</v>
      </c>
      <c r="AA56">
        <v>7.9</v>
      </c>
      <c r="AB56">
        <v>6.4</v>
      </c>
      <c r="AC56">
        <v>5.3</v>
      </c>
      <c r="AD56">
        <v>1.59</v>
      </c>
      <c r="AE56">
        <v>1.17</v>
      </c>
      <c r="AF56">
        <v>1.78</v>
      </c>
      <c r="AG56">
        <v>2.31</v>
      </c>
      <c r="AH56">
        <v>2.37</v>
      </c>
      <c r="AJ56">
        <f t="shared" si="47"/>
        <v>1.4822683355632746</v>
      </c>
      <c r="AK56">
        <f>AA56/1000/E12</f>
        <v>5.3741496598639464E-2</v>
      </c>
      <c r="AL56">
        <f t="shared" si="48"/>
        <v>1.9236178961523398</v>
      </c>
      <c r="AM56">
        <f t="shared" si="49"/>
        <v>4.3537414965986398E-2</v>
      </c>
      <c r="AN56">
        <f t="shared" ref="AN56:AN64" si="53">AH56/(9.81*E12)^0.5</f>
        <v>1.9735819973511017</v>
      </c>
      <c r="AO56">
        <f>AC56/1000/E12</f>
        <v>3.6054421768707483E-2</v>
      </c>
      <c r="AT56">
        <f t="shared" si="45"/>
        <v>1.0253770803144941</v>
      </c>
      <c r="AU56">
        <f t="shared" si="46"/>
        <v>8.3284994951130051E-2</v>
      </c>
      <c r="AW56">
        <f>($BI$43+$BI$44*$BI$45*0.1/E12)*AT56</f>
        <v>1.3043912518286422</v>
      </c>
      <c r="AX56">
        <f>($BI$43+$BI$44*$BI$45*0.25/E12)*AT56</f>
        <v>1.7229125090998645</v>
      </c>
      <c r="AY56">
        <f>($BI$43+$BI$44*$BI$45*0.4/E12)*AT56</f>
        <v>2.1414337663710867</v>
      </c>
      <c r="BA56">
        <f t="shared" si="50"/>
        <v>4.5438480238643733E-2</v>
      </c>
      <c r="BB56">
        <f t="shared" si="51"/>
        <v>3.8639705140592305E-2</v>
      </c>
      <c r="BC56">
        <f t="shared" si="52"/>
        <v>3.184093004254087E-2</v>
      </c>
    </row>
    <row r="57" spans="23:61" x14ac:dyDescent="0.25">
      <c r="W57">
        <v>0.2</v>
      </c>
      <c r="X57">
        <v>6.99</v>
      </c>
      <c r="Y57">
        <v>12.9</v>
      </c>
      <c r="Z57">
        <v>7.9</v>
      </c>
      <c r="AA57">
        <v>3.4</v>
      </c>
      <c r="AB57">
        <v>3.4</v>
      </c>
      <c r="AC57">
        <v>3</v>
      </c>
      <c r="AD57">
        <v>1.2</v>
      </c>
      <c r="AE57">
        <v>0.75</v>
      </c>
      <c r="AF57">
        <v>1.57</v>
      </c>
      <c r="AG57">
        <v>1.76</v>
      </c>
      <c r="AH57">
        <v>1.57</v>
      </c>
      <c r="AJ57">
        <f t="shared" si="47"/>
        <v>1.3396801758785775</v>
      </c>
      <c r="AK57">
        <f t="shared" ref="AK57:AK64" si="54">AA57/1000/E13</f>
        <v>2.4285714285714282E-2</v>
      </c>
      <c r="AL57">
        <f t="shared" si="48"/>
        <v>1.5018070761441378</v>
      </c>
      <c r="AM57">
        <f t="shared" ref="AM57:AM64" si="55">AB57/1000/E13</f>
        <v>2.4285714285714282E-2</v>
      </c>
      <c r="AN57">
        <f t="shared" si="53"/>
        <v>1.3396801758785775</v>
      </c>
      <c r="AO57">
        <f t="shared" ref="AO57:AO64" si="56">AC57/1000/E13</f>
        <v>2.1428571428571425E-2</v>
      </c>
      <c r="AT57">
        <f t="shared" si="45"/>
        <v>0.70981448795139668</v>
      </c>
      <c r="AU57">
        <f t="shared" si="46"/>
        <v>5.558977958779935E-2</v>
      </c>
      <c r="AW57">
        <f t="shared" ref="AW57:AW64" si="57">($BI$43+$BI$44*$BI$45*0.1/E13)*AT57</f>
        <v>0.91261862736608146</v>
      </c>
      <c r="AX57">
        <f t="shared" ref="AX57:AX64" si="58">($BI$43+$BI$44*$BI$45*0.25/E13)*AT57</f>
        <v>1.2168248364881087</v>
      </c>
      <c r="AY57">
        <f t="shared" ref="AY57:AY64" si="59">($BI$43+$BI$44*$BI$45*0.4/E13)*AT57</f>
        <v>1.5210310456101359</v>
      </c>
      <c r="BA57">
        <f t="shared" si="50"/>
        <v>3.0177308919091074E-2</v>
      </c>
      <c r="BB57">
        <f t="shared" si="51"/>
        <v>2.5412470668708269E-2</v>
      </c>
      <c r="BC57">
        <f t="shared" si="52"/>
        <v>2.0647632418325471E-2</v>
      </c>
      <c r="BG57" t="s">
        <v>120</v>
      </c>
      <c r="BH57" t="s">
        <v>162</v>
      </c>
      <c r="BI57">
        <f>vG_crest!CB80</f>
        <v>0.8</v>
      </c>
    </row>
    <row r="58" spans="23:61" x14ac:dyDescent="0.25">
      <c r="W58">
        <v>0.16</v>
      </c>
      <c r="X58">
        <v>18.41</v>
      </c>
      <c r="Y58">
        <v>22</v>
      </c>
      <c r="Z58">
        <v>14.9</v>
      </c>
      <c r="AA58">
        <v>10.1</v>
      </c>
      <c r="AB58">
        <v>6.7</v>
      </c>
      <c r="AC58">
        <v>6.4</v>
      </c>
      <c r="AD58">
        <v>1.65</v>
      </c>
      <c r="AE58">
        <v>1.19</v>
      </c>
      <c r="AF58">
        <v>1.78</v>
      </c>
      <c r="AG58">
        <v>2.48</v>
      </c>
      <c r="AH58">
        <v>2.4700000000000002</v>
      </c>
      <c r="AJ58">
        <f t="shared" si="47"/>
        <v>1.4976290394602518</v>
      </c>
      <c r="AK58">
        <f t="shared" si="54"/>
        <v>7.013888888888889E-2</v>
      </c>
      <c r="AL58">
        <f t="shared" si="48"/>
        <v>2.0865842796974294</v>
      </c>
      <c r="AM58">
        <f t="shared" si="55"/>
        <v>4.6527777777777786E-2</v>
      </c>
      <c r="AN58">
        <f t="shared" si="53"/>
        <v>2.0781706334083272</v>
      </c>
      <c r="AO58">
        <f t="shared" si="56"/>
        <v>4.4444444444444453E-2</v>
      </c>
      <c r="AT58">
        <f t="shared" si="45"/>
        <v>1.1172106955447987</v>
      </c>
      <c r="AU58">
        <f t="shared" si="46"/>
        <v>0.10508104926719869</v>
      </c>
      <c r="AW58">
        <f t="shared" si="57"/>
        <v>1.4275469998627985</v>
      </c>
      <c r="AX58">
        <f t="shared" si="58"/>
        <v>1.893051456339798</v>
      </c>
      <c r="AY58">
        <f t="shared" si="59"/>
        <v>2.3585559128167977</v>
      </c>
      <c r="BA58">
        <f t="shared" si="50"/>
        <v>5.7210793489919282E-2</v>
      </c>
      <c r="BB58">
        <f t="shared" si="51"/>
        <v>4.8454039384319386E-2</v>
      </c>
      <c r="BC58">
        <f t="shared" si="52"/>
        <v>3.9697285278719491E-2</v>
      </c>
      <c r="BH58" t="s">
        <v>147</v>
      </c>
      <c r="BI58">
        <f>vG_crest!CB81</f>
        <v>0.02</v>
      </c>
    </row>
    <row r="59" spans="23:61" x14ac:dyDescent="0.25">
      <c r="W59">
        <v>0.21</v>
      </c>
      <c r="X59">
        <v>11.23</v>
      </c>
      <c r="Y59">
        <v>16.3</v>
      </c>
      <c r="Z59">
        <v>11.9</v>
      </c>
      <c r="AA59">
        <v>7.5</v>
      </c>
      <c r="AB59">
        <v>6.1</v>
      </c>
      <c r="AC59">
        <v>5.6</v>
      </c>
      <c r="AD59">
        <v>1.6</v>
      </c>
      <c r="AE59">
        <v>1.1200000000000001</v>
      </c>
      <c r="AF59">
        <v>1.74</v>
      </c>
      <c r="AG59">
        <v>2.2599999999999998</v>
      </c>
      <c r="AH59">
        <v>2.2400000000000002</v>
      </c>
      <c r="AJ59">
        <f t="shared" si="47"/>
        <v>1.4249280988578106</v>
      </c>
      <c r="AK59">
        <f t="shared" si="54"/>
        <v>4.9342105263157895E-2</v>
      </c>
      <c r="AL59">
        <f t="shared" si="48"/>
        <v>1.8507686801256618</v>
      </c>
      <c r="AM59">
        <f t="shared" si="55"/>
        <v>4.0131578947368421E-2</v>
      </c>
      <c r="AN59">
        <f t="shared" si="53"/>
        <v>1.8343901962307447</v>
      </c>
      <c r="AO59">
        <f t="shared" si="56"/>
        <v>3.6842105263157898E-2</v>
      </c>
      <c r="AT59">
        <f t="shared" si="45"/>
        <v>0.95664344024767334</v>
      </c>
      <c r="AU59">
        <f t="shared" si="46"/>
        <v>7.0023901823901169E-2</v>
      </c>
      <c r="AW59">
        <f t="shared" si="57"/>
        <v>1.208391713997061</v>
      </c>
      <c r="AX59">
        <f t="shared" si="58"/>
        <v>1.5860141246211428</v>
      </c>
      <c r="AY59">
        <f t="shared" si="59"/>
        <v>1.9636365352452243</v>
      </c>
      <c r="BA59">
        <f t="shared" si="50"/>
        <v>3.8328872577293269E-2</v>
      </c>
      <c r="BB59">
        <f t="shared" si="51"/>
        <v>3.2800669801722124E-2</v>
      </c>
      <c r="BC59">
        <f t="shared" si="52"/>
        <v>2.7272467026150975E-2</v>
      </c>
    </row>
    <row r="60" spans="23:61" x14ac:dyDescent="0.25">
      <c r="W60">
        <v>0.21</v>
      </c>
      <c r="X60">
        <v>10.57</v>
      </c>
      <c r="Y60">
        <v>13</v>
      </c>
      <c r="Z60">
        <v>10.6</v>
      </c>
      <c r="AA60">
        <v>6</v>
      </c>
      <c r="AB60">
        <v>5.0999999999999996</v>
      </c>
      <c r="AC60">
        <v>4.8</v>
      </c>
      <c r="AD60">
        <v>1.49</v>
      </c>
      <c r="AE60">
        <v>1.02</v>
      </c>
      <c r="AF60">
        <v>1.68</v>
      </c>
      <c r="AG60">
        <v>2.21</v>
      </c>
      <c r="AH60">
        <v>2.14</v>
      </c>
      <c r="AJ60">
        <f t="shared" si="47"/>
        <v>1.3942604889097259</v>
      </c>
      <c r="AK60">
        <f t="shared" si="54"/>
        <v>4.0540540540540543E-2</v>
      </c>
      <c r="AL60">
        <f t="shared" si="48"/>
        <v>1.8341164764824371</v>
      </c>
      <c r="AM60">
        <f t="shared" si="55"/>
        <v>3.4459459459459454E-2</v>
      </c>
      <c r="AN60">
        <f t="shared" si="53"/>
        <v>1.7760222894445319</v>
      </c>
      <c r="AO60">
        <f t="shared" si="56"/>
        <v>3.2432432432432434E-2</v>
      </c>
      <c r="AT60">
        <f t="shared" si="45"/>
        <v>0.82343437015466792</v>
      </c>
      <c r="AU60">
        <f t="shared" si="46"/>
        <v>5.8875563010140852E-2</v>
      </c>
      <c r="AW60">
        <f t="shared" si="57"/>
        <v>1.0459841999261998</v>
      </c>
      <c r="AX60">
        <f t="shared" si="58"/>
        <v>1.3798089445834978</v>
      </c>
      <c r="AY60">
        <f t="shared" si="59"/>
        <v>1.7136336892407957</v>
      </c>
      <c r="BA60">
        <f t="shared" si="50"/>
        <v>3.2142874940671494E-2</v>
      </c>
      <c r="BB60">
        <f t="shared" si="51"/>
        <v>2.7369180642551959E-2</v>
      </c>
      <c r="BC60">
        <f t="shared" si="52"/>
        <v>2.2595486344432428E-2</v>
      </c>
    </row>
    <row r="61" spans="23:61" x14ac:dyDescent="0.25">
      <c r="W61">
        <v>0.18</v>
      </c>
      <c r="X61">
        <v>8.6999999999999993</v>
      </c>
      <c r="Y61">
        <v>12.2</v>
      </c>
      <c r="Z61">
        <v>10.1</v>
      </c>
      <c r="AA61">
        <v>5.7</v>
      </c>
      <c r="AB61">
        <v>4.5</v>
      </c>
      <c r="AC61">
        <v>4.4000000000000004</v>
      </c>
      <c r="AD61">
        <v>1.41</v>
      </c>
      <c r="AE61">
        <v>0.96</v>
      </c>
      <c r="AF61">
        <v>1.6</v>
      </c>
      <c r="AG61">
        <v>1.94</v>
      </c>
      <c r="AH61">
        <v>1.93</v>
      </c>
      <c r="AJ61">
        <f t="shared" si="47"/>
        <v>1.3701814350066699</v>
      </c>
      <c r="AK61">
        <f t="shared" si="54"/>
        <v>4.1007194244604313E-2</v>
      </c>
      <c r="AL61">
        <f t="shared" si="48"/>
        <v>1.6613449899455872</v>
      </c>
      <c r="AM61">
        <f t="shared" si="55"/>
        <v>3.2374100719424453E-2</v>
      </c>
      <c r="AN61">
        <f t="shared" si="53"/>
        <v>1.6527813559767954</v>
      </c>
      <c r="AO61">
        <f t="shared" si="56"/>
        <v>3.1654676258992806E-2</v>
      </c>
      <c r="AT61">
        <f t="shared" si="45"/>
        <v>0.70668681903037722</v>
      </c>
      <c r="AU61">
        <f t="shared" si="46"/>
        <v>4.9969478174935647E-2</v>
      </c>
      <c r="AW61">
        <f t="shared" si="57"/>
        <v>0.91004993242041388</v>
      </c>
      <c r="AX61">
        <f t="shared" si="58"/>
        <v>1.2150946025054687</v>
      </c>
      <c r="AY61">
        <f t="shared" si="59"/>
        <v>1.5201392725905236</v>
      </c>
      <c r="BA61">
        <f t="shared" si="50"/>
        <v>2.7105745715037034E-2</v>
      </c>
      <c r="BB61">
        <f t="shared" si="51"/>
        <v>2.2791833930150503E-2</v>
      </c>
      <c r="BC61">
        <f t="shared" si="52"/>
        <v>1.8477922145263972E-2</v>
      </c>
      <c r="BH61" t="s">
        <v>165</v>
      </c>
      <c r="BI61">
        <v>0.6</v>
      </c>
    </row>
    <row r="62" spans="23:61" x14ac:dyDescent="0.25">
      <c r="W62">
        <v>0.16</v>
      </c>
      <c r="X62">
        <v>7.38</v>
      </c>
      <c r="Y62">
        <v>10.4</v>
      </c>
      <c r="Z62">
        <v>7.6</v>
      </c>
      <c r="AA62">
        <v>3.8</v>
      </c>
      <c r="AB62">
        <v>3.6</v>
      </c>
      <c r="AC62">
        <v>3</v>
      </c>
      <c r="AD62">
        <v>1.27</v>
      </c>
      <c r="AE62">
        <v>0.89</v>
      </c>
      <c r="AF62">
        <v>1.62</v>
      </c>
      <c r="AG62">
        <v>1.82</v>
      </c>
      <c r="AH62">
        <v>1.75</v>
      </c>
      <c r="AJ62">
        <f t="shared" si="47"/>
        <v>1.4345273565770085</v>
      </c>
      <c r="AK62">
        <f t="shared" si="54"/>
        <v>2.923076923076923E-2</v>
      </c>
      <c r="AL62">
        <f t="shared" si="48"/>
        <v>1.6116294993642934</v>
      </c>
      <c r="AM62">
        <f t="shared" si="55"/>
        <v>2.769230769230769E-2</v>
      </c>
      <c r="AN62">
        <f t="shared" si="53"/>
        <v>1.5496437493887436</v>
      </c>
      <c r="AO62">
        <f t="shared" si="56"/>
        <v>2.3076923076923078E-2</v>
      </c>
      <c r="AT62">
        <f t="shared" si="45"/>
        <v>0.67865083844683927</v>
      </c>
      <c r="AU62">
        <f t="shared" si="46"/>
        <v>4.8174343039120063E-2</v>
      </c>
      <c r="AW62">
        <f t="shared" si="57"/>
        <v>0.88746648104586678</v>
      </c>
      <c r="AX62">
        <f t="shared" si="58"/>
        <v>1.2006899449444079</v>
      </c>
      <c r="AY62">
        <f t="shared" si="59"/>
        <v>1.5139134088429491</v>
      </c>
      <c r="BA62">
        <f t="shared" si="50"/>
        <v>2.5940030867218494E-2</v>
      </c>
      <c r="BB62">
        <f t="shared" si="51"/>
        <v>2.1493168432838182E-2</v>
      </c>
      <c r="BC62">
        <f t="shared" si="52"/>
        <v>1.7046305998457866E-2</v>
      </c>
      <c r="BH62" t="s">
        <v>166</v>
      </c>
      <c r="BI62">
        <v>0.2</v>
      </c>
    </row>
    <row r="63" spans="23:61" x14ac:dyDescent="0.25">
      <c r="W63">
        <v>0.22</v>
      </c>
      <c r="X63">
        <v>5.85</v>
      </c>
      <c r="Y63">
        <v>8</v>
      </c>
      <c r="Z63">
        <v>6.3</v>
      </c>
      <c r="AA63">
        <v>2.5</v>
      </c>
      <c r="AB63">
        <v>2.4</v>
      </c>
      <c r="AC63">
        <v>2</v>
      </c>
      <c r="AD63">
        <v>1.1100000000000001</v>
      </c>
      <c r="AE63">
        <v>0.67</v>
      </c>
      <c r="AF63">
        <v>1.52</v>
      </c>
      <c r="AG63">
        <v>1.64</v>
      </c>
      <c r="AH63">
        <v>0</v>
      </c>
      <c r="AJ63">
        <f t="shared" si="47"/>
        <v>1.2878489020917345</v>
      </c>
      <c r="AK63">
        <f t="shared" si="54"/>
        <v>1.7605633802816902E-2</v>
      </c>
      <c r="AL63">
        <f t="shared" si="48"/>
        <v>1.3895211838358188</v>
      </c>
      <c r="AM63">
        <f t="shared" si="55"/>
        <v>1.6901408450704224E-2</v>
      </c>
      <c r="AO63">
        <f t="shared" si="56"/>
        <v>1.4084507042253523E-2</v>
      </c>
      <c r="AT63">
        <f t="shared" si="45"/>
        <v>0.60764837726838583</v>
      </c>
      <c r="AU63">
        <f t="shared" si="46"/>
        <v>4.3776376848986463E-2</v>
      </c>
      <c r="AW63">
        <f t="shared" si="57"/>
        <v>0.778816934245396</v>
      </c>
      <c r="AX63">
        <f t="shared" si="58"/>
        <v>1.035569769710911</v>
      </c>
      <c r="BA63">
        <f t="shared" si="50"/>
        <v>2.3799551357336302E-2</v>
      </c>
      <c r="BB63">
        <f t="shared" si="51"/>
        <v>2.0100139229252936E-2</v>
      </c>
      <c r="BC63">
        <f t="shared" si="52"/>
        <v>1.6400727101169573E-2</v>
      </c>
    </row>
    <row r="64" spans="23:61" x14ac:dyDescent="0.25">
      <c r="W64">
        <v>0.14000000000000001</v>
      </c>
      <c r="X64">
        <v>5.52</v>
      </c>
      <c r="Y64">
        <v>7.3</v>
      </c>
      <c r="Z64">
        <v>5.8</v>
      </c>
      <c r="AA64">
        <v>2.4</v>
      </c>
      <c r="AB64">
        <v>2.2999999999999998</v>
      </c>
      <c r="AC64">
        <v>2.1</v>
      </c>
      <c r="AD64">
        <v>1.1399999999999999</v>
      </c>
      <c r="AE64">
        <v>0.56000000000000005</v>
      </c>
      <c r="AF64">
        <v>1.33</v>
      </c>
      <c r="AG64">
        <v>1.41</v>
      </c>
      <c r="AH64">
        <v>1.24</v>
      </c>
      <c r="AJ64">
        <f t="shared" si="47"/>
        <v>1.1430825476343862</v>
      </c>
      <c r="AK64">
        <f t="shared" si="54"/>
        <v>1.7391304347826084E-2</v>
      </c>
      <c r="AL64">
        <f t="shared" si="48"/>
        <v>1.2118393926048754</v>
      </c>
      <c r="AM64">
        <f t="shared" si="55"/>
        <v>1.6666666666666666E-2</v>
      </c>
      <c r="AN64">
        <f t="shared" si="53"/>
        <v>1.0657310970425855</v>
      </c>
      <c r="AO64">
        <f t="shared" si="56"/>
        <v>1.5217391304347827E-2</v>
      </c>
      <c r="AT64">
        <f t="shared" si="45"/>
        <v>0.52784890364435455</v>
      </c>
      <c r="AU64">
        <f t="shared" si="46"/>
        <v>3.7794824294857719E-2</v>
      </c>
      <c r="AW64">
        <f t="shared" si="57"/>
        <v>0.68084858586010943</v>
      </c>
      <c r="AX64">
        <f t="shared" si="58"/>
        <v>0.91034810918374198</v>
      </c>
      <c r="AY64">
        <f t="shared" si="59"/>
        <v>1.1398476325073743</v>
      </c>
      <c r="BA64">
        <f t="shared" si="50"/>
        <v>2.0485890269966354E-2</v>
      </c>
      <c r="BB64">
        <f t="shared" si="51"/>
        <v>1.7199383809543948E-2</v>
      </c>
      <c r="BC64">
        <f t="shared" si="52"/>
        <v>1.3912877349121536E-2</v>
      </c>
    </row>
    <row r="65" spans="22:63" x14ac:dyDescent="0.25">
      <c r="W65">
        <v>7.0000000000000007E-2</v>
      </c>
      <c r="X65">
        <v>1.48</v>
      </c>
      <c r="Y65">
        <v>3</v>
      </c>
      <c r="Z65">
        <v>2.2999999999999998</v>
      </c>
      <c r="AD65">
        <v>0.68</v>
      </c>
      <c r="AT65">
        <f t="shared" si="45"/>
        <v>0.38542954243111111</v>
      </c>
      <c r="AU65">
        <f t="shared" si="46"/>
        <v>2.9088041892695711E-2</v>
      </c>
      <c r="BA65">
        <f t="shared" si="50"/>
        <v>1.5703168480417685E-2</v>
      </c>
      <c r="BB65">
        <f t="shared" si="51"/>
        <v>1.3078683497618071E-2</v>
      </c>
      <c r="BC65">
        <f t="shared" si="52"/>
        <v>1.0454198514818457E-2</v>
      </c>
    </row>
    <row r="66" spans="22:63" x14ac:dyDescent="0.25">
      <c r="W66">
        <v>7.0000000000000007E-2</v>
      </c>
      <c r="X66">
        <v>2.17</v>
      </c>
      <c r="Y66">
        <v>2.5</v>
      </c>
      <c r="Z66">
        <v>2.2999999999999998</v>
      </c>
      <c r="AD66">
        <v>0.69</v>
      </c>
      <c r="AT66">
        <f t="shared" si="45"/>
        <v>0.35332223914106498</v>
      </c>
      <c r="AU66">
        <f t="shared" si="46"/>
        <v>2.7397867773770349E-2</v>
      </c>
      <c r="BA66">
        <f t="shared" si="50"/>
        <v>1.4699173504022821E-2</v>
      </c>
      <c r="BB66">
        <f t="shared" si="51"/>
        <v>1.2089852763663742E-2</v>
      </c>
      <c r="BC66">
        <f t="shared" si="52"/>
        <v>9.4805320233046584E-3</v>
      </c>
    </row>
    <row r="68" spans="22:63" x14ac:dyDescent="0.25">
      <c r="V68" t="s">
        <v>33</v>
      </c>
      <c r="AK68" s="6" t="s">
        <v>111</v>
      </c>
      <c r="AM68" s="6" t="s">
        <v>113</v>
      </c>
      <c r="AO68" s="6" t="s">
        <v>114</v>
      </c>
      <c r="AW68" t="s">
        <v>104</v>
      </c>
      <c r="AX68" t="s">
        <v>106</v>
      </c>
      <c r="AY68" t="s">
        <v>105</v>
      </c>
      <c r="BA68" t="s">
        <v>104</v>
      </c>
      <c r="BB68" t="s">
        <v>106</v>
      </c>
      <c r="BC68" t="s">
        <v>105</v>
      </c>
    </row>
    <row r="69" spans="22:63" x14ac:dyDescent="0.25">
      <c r="V69" t="s">
        <v>12</v>
      </c>
      <c r="W69" t="s">
        <v>13</v>
      </c>
      <c r="X69" t="s">
        <v>14</v>
      </c>
      <c r="Y69" t="s">
        <v>15</v>
      </c>
      <c r="AD69" t="s">
        <v>21</v>
      </c>
      <c r="AK69" t="s">
        <v>110</v>
      </c>
      <c r="AM69" t="s">
        <v>110</v>
      </c>
      <c r="AO69" t="s">
        <v>110</v>
      </c>
      <c r="AW69" t="s">
        <v>116</v>
      </c>
      <c r="BA69" t="s">
        <v>112</v>
      </c>
      <c r="BH69">
        <v>0</v>
      </c>
      <c r="BI69">
        <v>0</v>
      </c>
    </row>
    <row r="70" spans="22:63" x14ac:dyDescent="0.25">
      <c r="X70" t="s">
        <v>22</v>
      </c>
      <c r="Y70" t="s">
        <v>16</v>
      </c>
      <c r="Z70" t="s">
        <v>17</v>
      </c>
      <c r="AA70" t="s">
        <v>18</v>
      </c>
      <c r="AB70" t="s">
        <v>19</v>
      </c>
      <c r="AC70" t="s">
        <v>20</v>
      </c>
      <c r="AD70" t="s">
        <v>16</v>
      </c>
      <c r="AE70" t="s">
        <v>17</v>
      </c>
      <c r="AF70" t="s">
        <v>18</v>
      </c>
      <c r="AG70" t="s">
        <v>19</v>
      </c>
      <c r="AH70" t="s">
        <v>20</v>
      </c>
      <c r="BH70">
        <v>0.2</v>
      </c>
      <c r="BI70">
        <v>0.2</v>
      </c>
    </row>
    <row r="71" spans="22:63" x14ac:dyDescent="0.25">
      <c r="W71">
        <v>0.15</v>
      </c>
      <c r="X71">
        <v>5.59</v>
      </c>
      <c r="Y71">
        <v>6.4</v>
      </c>
      <c r="Z71">
        <v>5.3</v>
      </c>
      <c r="AA71">
        <v>2.8</v>
      </c>
      <c r="AB71">
        <v>2.8</v>
      </c>
      <c r="AC71">
        <v>2.2000000000000002</v>
      </c>
      <c r="AD71">
        <v>0.68</v>
      </c>
      <c r="AE71">
        <v>0.56999999999999995</v>
      </c>
      <c r="AF71">
        <v>1.21</v>
      </c>
      <c r="AG71">
        <v>1.26</v>
      </c>
      <c r="AH71">
        <v>1.39</v>
      </c>
      <c r="AJ71">
        <f>AF71/(9.81*E5)^0.5</f>
        <v>1.0180512009814071</v>
      </c>
      <c r="AK71">
        <f>AA71/1000/E5</f>
        <v>1.9444444444444445E-2</v>
      </c>
      <c r="AL71">
        <f>AG71/(9.81*E5)^0.5</f>
        <v>1.0601194324269199</v>
      </c>
      <c r="AM71">
        <f>AB71/1000/E5</f>
        <v>1.9444444444444445E-2</v>
      </c>
      <c r="AN71">
        <f>AH71*(9.81*E5)^0.5</f>
        <v>1.6520780078434549</v>
      </c>
      <c r="AO71">
        <f>AC71/1000/E5</f>
        <v>1.5277777777777779E-2</v>
      </c>
      <c r="AW71">
        <f>($BI$43+$BI$44*$BI$46*0.1/E5)*AT49</f>
        <v>0.70347535631281899</v>
      </c>
      <c r="AX71">
        <f>($BI$43+$BI$44*$BI$46*0.25/E5)*AT49</f>
        <v>0.85957195904495332</v>
      </c>
      <c r="AY71">
        <f>($BI$43+$BI$44*$BI$46*0.4/E5)*AT49</f>
        <v>1.0156685617770878</v>
      </c>
      <c r="BA71">
        <f>($BI$61-$BI$62*$BI$46*0.1/E5)*AU49</f>
        <v>2.2563274030800197E-2</v>
      </c>
      <c r="BB71">
        <f>($BI$61-$BI$62*$BI$46*0.25/E5)*AU49</f>
        <v>2.0484348290861602E-2</v>
      </c>
      <c r="BC71">
        <f>($BI$61-$BI$62*$BI$46*0.4/E5)*AU49</f>
        <v>1.8405422550923006E-2</v>
      </c>
    </row>
    <row r="72" spans="22:63" x14ac:dyDescent="0.25">
      <c r="BA72">
        <f t="shared" ref="BA72:BA88" si="60">($BI$61-$BI$62*$BI$46*0.1/E6)*AU50</f>
        <v>1.5275291543751861E-2</v>
      </c>
      <c r="BB72">
        <f t="shared" ref="BB72:BB88" si="61">($BI$61-$BI$62*$BI$46*0.25/E6)*AU50</f>
        <v>1.3814007276173559E-2</v>
      </c>
      <c r="BC72">
        <f t="shared" ref="BC72:BC88" si="62">($BI$61-$BI$62*$BI$46*0.4/E6)*AU50</f>
        <v>1.2352723008595256E-2</v>
      </c>
      <c r="BH72">
        <v>0</v>
      </c>
      <c r="BI72">
        <v>0</v>
      </c>
    </row>
    <row r="73" spans="22:63" x14ac:dyDescent="0.25">
      <c r="W73">
        <v>0.23</v>
      </c>
      <c r="X73">
        <v>11.79</v>
      </c>
      <c r="Y73">
        <v>13.6</v>
      </c>
      <c r="Z73">
        <v>9.1999999999999993</v>
      </c>
      <c r="AA73">
        <v>6.3</v>
      </c>
      <c r="AB73">
        <v>6</v>
      </c>
      <c r="AC73">
        <v>5</v>
      </c>
      <c r="AD73">
        <v>1.43</v>
      </c>
      <c r="AE73">
        <v>1.18</v>
      </c>
      <c r="AF73">
        <v>1.92</v>
      </c>
      <c r="AG73">
        <v>2.15</v>
      </c>
      <c r="AH73">
        <v>2.2400000000000002</v>
      </c>
      <c r="AJ73">
        <f t="shared" ref="AJ73:AJ86" si="63">AF73/(9.81*E7)^0.5</f>
        <v>1.5827819738543933</v>
      </c>
      <c r="AK73">
        <f>AA73/1000/E7</f>
        <v>4.2000000000000003E-2</v>
      </c>
      <c r="AL73">
        <f t="shared" ref="AL73:AL86" si="64">AG73/(9.81*E7)^0.5</f>
        <v>1.7723860644723677</v>
      </c>
      <c r="AM73">
        <f>AB73/1000/E7</f>
        <v>0.04</v>
      </c>
      <c r="AN73">
        <f t="shared" ref="AN73:AN86" si="65">AH73*(9.81*E7)^0.5</f>
        <v>2.7172409536145303</v>
      </c>
      <c r="AO73">
        <f>AC73/1000/E7</f>
        <v>3.3333333333333333E-2</v>
      </c>
      <c r="AW73">
        <f>($BI$43+$BI$44*$BI$46*0.1/E7)*AT51</f>
        <v>0.93700882211183145</v>
      </c>
      <c r="AX73">
        <f>($BI$43+$BI$44*$BI$46*0.25/E7)*AT51</f>
        <v>1.1377964268500811</v>
      </c>
      <c r="AY73">
        <f>($BI$43+$BI$44*$BI$46*0.4/E7)*AT51</f>
        <v>1.3385840315883306</v>
      </c>
      <c r="BA73">
        <f t="shared" si="60"/>
        <v>3.1289225560274754E-2</v>
      </c>
      <c r="BB73">
        <f t="shared" si="61"/>
        <v>2.8528411540250511E-2</v>
      </c>
      <c r="BC73">
        <f t="shared" si="62"/>
        <v>2.5767597520226268E-2</v>
      </c>
      <c r="BH73">
        <v>0.15</v>
      </c>
      <c r="BI73">
        <v>0.15</v>
      </c>
    </row>
    <row r="74" spans="22:63" x14ac:dyDescent="0.25">
      <c r="W74">
        <v>0.14000000000000001</v>
      </c>
      <c r="X74">
        <v>4.3899999999999997</v>
      </c>
      <c r="Y74">
        <v>5</v>
      </c>
      <c r="Z74">
        <v>3.8</v>
      </c>
      <c r="AA74">
        <v>1.7</v>
      </c>
      <c r="AB74">
        <v>1.8</v>
      </c>
      <c r="AC74">
        <v>1.2</v>
      </c>
      <c r="AD74">
        <v>0.56000000000000005</v>
      </c>
      <c r="AK74">
        <f t="shared" ref="AK74:AK86" si="66">AA74/1000/E8</f>
        <v>1.1971830985915493E-2</v>
      </c>
      <c r="AM74">
        <f t="shared" ref="AM74:AM86" si="67">AB74/1000/E8</f>
        <v>1.2676056338028169E-2</v>
      </c>
      <c r="AO74">
        <f t="shared" ref="AO74:AO86" si="68">AC74/1000/E8</f>
        <v>8.4507042253521118E-3</v>
      </c>
      <c r="BA74">
        <f t="shared" si="60"/>
        <v>2.0399183790168786E-2</v>
      </c>
      <c r="BB74">
        <f t="shared" si="61"/>
        <v>1.8491529445701631E-2</v>
      </c>
      <c r="BC74">
        <f t="shared" si="62"/>
        <v>1.6583875101234474E-2</v>
      </c>
    </row>
    <row r="75" spans="22:63" x14ac:dyDescent="0.25">
      <c r="W75">
        <v>0.27</v>
      </c>
      <c r="X75">
        <v>16.100000000000001</v>
      </c>
      <c r="Y75">
        <v>20.8</v>
      </c>
      <c r="Z75">
        <v>13</v>
      </c>
      <c r="AA75">
        <v>10.1</v>
      </c>
      <c r="AB75">
        <v>9.4</v>
      </c>
      <c r="AC75">
        <v>8.3000000000000007</v>
      </c>
      <c r="AD75">
        <v>1.59</v>
      </c>
      <c r="AE75">
        <v>1.26</v>
      </c>
      <c r="AF75">
        <v>1.98</v>
      </c>
      <c r="AG75">
        <v>2.2000000000000002</v>
      </c>
      <c r="AH75">
        <v>2.2799999999999998</v>
      </c>
      <c r="AJ75">
        <f t="shared" si="63"/>
        <v>1.6161622975571888</v>
      </c>
      <c r="AK75">
        <f t="shared" si="66"/>
        <v>6.6013071895424838E-2</v>
      </c>
      <c r="AL75">
        <f t="shared" si="64"/>
        <v>1.7957358861746544</v>
      </c>
      <c r="AM75">
        <f t="shared" si="67"/>
        <v>6.143790849673203E-2</v>
      </c>
      <c r="AN75">
        <f>AH75*(9.81*E9)^0.5</f>
        <v>2.7932838223138012</v>
      </c>
      <c r="AO75">
        <f t="shared" si="68"/>
        <v>5.4248366013071897E-2</v>
      </c>
      <c r="AW75">
        <f>($BI$43+$BI$44*$BI$46*0.1/E9)*AT53</f>
        <v>1.2512654795617641</v>
      </c>
      <c r="AX75">
        <f>($BI$43+$BI$44*$BI$46*0.25/E9)*AT53</f>
        <v>1.5148747800312368</v>
      </c>
      <c r="AY75">
        <f>($BI$43+$BI$44*$BI$46*0.4/E9)*AT53</f>
        <v>1.7784840805007096</v>
      </c>
      <c r="BA75">
        <f t="shared" si="60"/>
        <v>4.5423777130873789E-2</v>
      </c>
      <c r="BB75">
        <f t="shared" si="61"/>
        <v>4.1498911595372022E-2</v>
      </c>
      <c r="BC75">
        <f t="shared" si="62"/>
        <v>3.7574046059870254E-2</v>
      </c>
    </row>
    <row r="76" spans="22:63" x14ac:dyDescent="0.25">
      <c r="W76">
        <v>0.19</v>
      </c>
      <c r="X76">
        <v>8.56</v>
      </c>
      <c r="Y76">
        <v>11.4</v>
      </c>
      <c r="Z76">
        <v>8</v>
      </c>
      <c r="AA76">
        <v>4.7</v>
      </c>
      <c r="AB76">
        <v>4.7</v>
      </c>
      <c r="AC76">
        <v>4.2</v>
      </c>
      <c r="AD76">
        <v>1.21</v>
      </c>
      <c r="AE76">
        <v>0.91</v>
      </c>
      <c r="AF76">
        <v>1.74</v>
      </c>
      <c r="AG76">
        <v>1.7</v>
      </c>
      <c r="AH76">
        <v>1.82</v>
      </c>
      <c r="AJ76">
        <f t="shared" si="63"/>
        <v>1.4589175326153556</v>
      </c>
      <c r="AK76">
        <f t="shared" si="66"/>
        <v>3.2413793103448281E-2</v>
      </c>
      <c r="AL76">
        <f t="shared" si="64"/>
        <v>1.4253791985322439</v>
      </c>
      <c r="AM76">
        <f t="shared" si="67"/>
        <v>3.2413793103448281E-2</v>
      </c>
      <c r="AN76">
        <f t="shared" si="65"/>
        <v>2.170650450901757</v>
      </c>
      <c r="AO76">
        <f t="shared" si="68"/>
        <v>2.8965517241379315E-2</v>
      </c>
      <c r="AW76">
        <f>($BI$43+$BI$44*$BI$46*0.1/E10)*AT54</f>
        <v>0.82819875689943712</v>
      </c>
      <c r="AX76">
        <f>($BI$43+$BI$44*$BI$46*0.25/E10)*AT54</f>
        <v>1.0108896591566658</v>
      </c>
      <c r="AY76">
        <f>($BI$43+$BI$44*$BI$46*0.4/E10)*AT54</f>
        <v>1.1935805614138946</v>
      </c>
      <c r="BA76">
        <f t="shared" si="60"/>
        <v>2.8813943760844229E-2</v>
      </c>
      <c r="BB76">
        <f t="shared" si="61"/>
        <v>2.617852207540116E-2</v>
      </c>
      <c r="BC76">
        <f t="shared" si="62"/>
        <v>2.3543100389958084E-2</v>
      </c>
      <c r="BK76" t="s">
        <v>99</v>
      </c>
    </row>
    <row r="77" spans="22:63" x14ac:dyDescent="0.25">
      <c r="W77">
        <v>0.09</v>
      </c>
      <c r="X77">
        <v>3.39</v>
      </c>
      <c r="Y77">
        <v>5.0999999999999996</v>
      </c>
      <c r="Z77">
        <v>3.7</v>
      </c>
      <c r="AA77">
        <v>1.5</v>
      </c>
      <c r="AB77">
        <v>1.6</v>
      </c>
      <c r="AC77">
        <v>1.1000000000000001</v>
      </c>
      <c r="AD77">
        <v>0.56000000000000005</v>
      </c>
      <c r="AK77">
        <f t="shared" si="66"/>
        <v>1.0869565217391304E-2</v>
      </c>
      <c r="AM77">
        <f t="shared" si="67"/>
        <v>1.1594202898550725E-2</v>
      </c>
      <c r="AO77">
        <f t="shared" si="68"/>
        <v>7.9710144927536229E-3</v>
      </c>
      <c r="BA77">
        <f t="shared" si="60"/>
        <v>1.8923376543592135E-2</v>
      </c>
      <c r="BB77">
        <f t="shared" si="61"/>
        <v>1.7099143586304981E-2</v>
      </c>
      <c r="BC77">
        <f t="shared" si="62"/>
        <v>1.527491062901782E-2</v>
      </c>
    </row>
    <row r="78" spans="22:63" x14ac:dyDescent="0.25">
      <c r="W78">
        <v>0.24</v>
      </c>
      <c r="X78">
        <v>12.66</v>
      </c>
      <c r="Y78">
        <v>18.5</v>
      </c>
      <c r="Z78">
        <v>10.5</v>
      </c>
      <c r="AA78">
        <v>7.1</v>
      </c>
      <c r="AB78">
        <v>6.8</v>
      </c>
      <c r="AC78">
        <v>6.3</v>
      </c>
      <c r="AD78">
        <v>1.44</v>
      </c>
      <c r="AE78">
        <v>1.1100000000000001</v>
      </c>
      <c r="AF78">
        <v>1.84</v>
      </c>
      <c r="AG78">
        <v>1.99</v>
      </c>
      <c r="AH78">
        <v>2.09</v>
      </c>
      <c r="AJ78">
        <f t="shared" si="63"/>
        <v>1.5322324367620368</v>
      </c>
      <c r="AK78">
        <f t="shared" si="66"/>
        <v>4.8299319727891157E-2</v>
      </c>
      <c r="AL78">
        <f t="shared" si="64"/>
        <v>1.6571426897589419</v>
      </c>
      <c r="AM78">
        <f t="shared" si="67"/>
        <v>4.6258503401360541E-2</v>
      </c>
      <c r="AN78">
        <f t="shared" si="65"/>
        <v>2.5098019776468421</v>
      </c>
      <c r="AO78">
        <f t="shared" si="68"/>
        <v>4.2857142857142858E-2</v>
      </c>
      <c r="AW78">
        <f>($BI$43+$BI$44*$BI$46*0.1/E12)*AT56</f>
        <v>1.1997609375108367</v>
      </c>
      <c r="AX78">
        <f>($BI$43+$BI$44*$BI$46*0.25/E12)*AT56</f>
        <v>1.4613367233053507</v>
      </c>
      <c r="AY78">
        <f>($BI$43+$BI$44*$BI$46*0.4/E12)*AT56</f>
        <v>1.7229125090998645</v>
      </c>
      <c r="BA78">
        <f t="shared" si="60"/>
        <v>4.7138174013156592E-2</v>
      </c>
      <c r="BB78">
        <f t="shared" si="61"/>
        <v>4.2888939576874452E-2</v>
      </c>
      <c r="BC78">
        <f t="shared" si="62"/>
        <v>3.8639705140592305E-2</v>
      </c>
    </row>
    <row r="79" spans="22:63" x14ac:dyDescent="0.25">
      <c r="W79">
        <v>0.21</v>
      </c>
      <c r="X79">
        <v>6.95</v>
      </c>
      <c r="Y79">
        <v>10.7</v>
      </c>
      <c r="Z79">
        <v>6.8</v>
      </c>
      <c r="AA79">
        <v>3.8</v>
      </c>
      <c r="AB79">
        <v>4.0999999999999996</v>
      </c>
      <c r="AC79">
        <v>3.5</v>
      </c>
      <c r="AD79">
        <v>0.95</v>
      </c>
      <c r="AE79">
        <v>0.75</v>
      </c>
      <c r="AF79">
        <v>1.51</v>
      </c>
      <c r="AG79">
        <v>1.49</v>
      </c>
      <c r="AH79">
        <v>1.65</v>
      </c>
      <c r="AJ79">
        <f t="shared" si="63"/>
        <v>1.2884822073736637</v>
      </c>
      <c r="AK79">
        <f t="shared" si="66"/>
        <v>2.7142857142857139E-2</v>
      </c>
      <c r="AL79">
        <f t="shared" si="64"/>
        <v>1.2714162178720256</v>
      </c>
      <c r="AM79">
        <f t="shared" si="67"/>
        <v>2.928571428571428E-2</v>
      </c>
      <c r="AN79">
        <f t="shared" si="65"/>
        <v>1.9336704734778365</v>
      </c>
      <c r="AO79">
        <f t="shared" si="68"/>
        <v>2.4999999999999998E-2</v>
      </c>
      <c r="AW79">
        <f t="shared" ref="AW79:AW86" si="69">($BI$43+$BI$44*$BI$46*0.1/E13)*AT57</f>
        <v>0.83656707508557471</v>
      </c>
      <c r="AX79">
        <f t="shared" ref="AX79:AX86" si="70">($BI$43+$BI$44*$BI$46*0.25/E13)*AT57</f>
        <v>1.0266959557868416</v>
      </c>
      <c r="AY79">
        <f t="shared" ref="AY79:AY86" si="71">($BI$43+$BI$44*$BI$46*0.4/E13)*AT57</f>
        <v>1.2168248364881087</v>
      </c>
      <c r="BA79">
        <f t="shared" si="60"/>
        <v>3.1368518481686779E-2</v>
      </c>
      <c r="BB79">
        <f t="shared" si="61"/>
        <v>2.8390494575197524E-2</v>
      </c>
      <c r="BC79">
        <f t="shared" si="62"/>
        <v>2.5412470668708269E-2</v>
      </c>
      <c r="BG79">
        <v>1</v>
      </c>
    </row>
    <row r="80" spans="22:63" x14ac:dyDescent="0.25">
      <c r="W80">
        <v>0.21</v>
      </c>
      <c r="X80">
        <v>18.25</v>
      </c>
      <c r="Y80">
        <v>21.2</v>
      </c>
      <c r="Z80">
        <v>12.8</v>
      </c>
      <c r="AA80">
        <v>8.4</v>
      </c>
      <c r="AB80">
        <v>7.7</v>
      </c>
      <c r="AC80">
        <v>7.2</v>
      </c>
      <c r="AD80">
        <v>1.54</v>
      </c>
      <c r="AE80">
        <v>1.07</v>
      </c>
      <c r="AF80">
        <v>1.89</v>
      </c>
      <c r="AG80">
        <v>2.1</v>
      </c>
      <c r="AH80">
        <v>2.2200000000000002</v>
      </c>
      <c r="AJ80">
        <f t="shared" si="63"/>
        <v>1.5901791486403796</v>
      </c>
      <c r="AK80">
        <f t="shared" si="66"/>
        <v>5.8333333333333348E-2</v>
      </c>
      <c r="AL80">
        <f t="shared" si="64"/>
        <v>1.766865720711533</v>
      </c>
      <c r="AM80">
        <f t="shared" si="67"/>
        <v>5.3472222222222227E-2</v>
      </c>
      <c r="AN80">
        <f t="shared" si="65"/>
        <v>2.6385706312319934</v>
      </c>
      <c r="AO80">
        <f t="shared" si="68"/>
        <v>0.05</v>
      </c>
      <c r="AW80">
        <f t="shared" si="69"/>
        <v>1.3111708857435485</v>
      </c>
      <c r="AX80">
        <f t="shared" si="70"/>
        <v>1.6021111710416731</v>
      </c>
      <c r="AY80">
        <f t="shared" si="71"/>
        <v>1.893051456339798</v>
      </c>
      <c r="BA80">
        <f t="shared" si="60"/>
        <v>5.9399982016319255E-2</v>
      </c>
      <c r="BB80">
        <f t="shared" si="61"/>
        <v>5.3927010700319321E-2</v>
      </c>
      <c r="BC80">
        <f t="shared" si="62"/>
        <v>4.8454039384319386E-2</v>
      </c>
      <c r="BG80">
        <v>4</v>
      </c>
      <c r="BH80">
        <f>SIN(ATAN(0.25))</f>
        <v>0.24253562503633297</v>
      </c>
    </row>
    <row r="81" spans="22:72" x14ac:dyDescent="0.25">
      <c r="W81">
        <v>0.25</v>
      </c>
      <c r="X81">
        <v>12.21</v>
      </c>
      <c r="Y81">
        <v>15.5</v>
      </c>
      <c r="Z81">
        <v>10.199999999999999</v>
      </c>
      <c r="AA81">
        <v>6.5</v>
      </c>
      <c r="AB81">
        <v>6.4</v>
      </c>
      <c r="AC81">
        <v>5.8</v>
      </c>
      <c r="AD81">
        <v>1.48</v>
      </c>
      <c r="AE81">
        <v>1.1100000000000001</v>
      </c>
      <c r="AF81">
        <v>1.86</v>
      </c>
      <c r="AG81">
        <v>2.0699999999999998</v>
      </c>
      <c r="AH81">
        <v>2.12</v>
      </c>
      <c r="AJ81">
        <f t="shared" si="63"/>
        <v>1.5231990022273147</v>
      </c>
      <c r="AK81">
        <f t="shared" si="66"/>
        <v>4.2763157894736843E-2</v>
      </c>
      <c r="AL81">
        <f t="shared" si="64"/>
        <v>1.6951730831239469</v>
      </c>
      <c r="AM81">
        <f t="shared" si="67"/>
        <v>4.2105263157894743E-2</v>
      </c>
      <c r="AN81">
        <f t="shared" si="65"/>
        <v>2.5887621999712529</v>
      </c>
      <c r="AO81">
        <f t="shared" si="68"/>
        <v>3.8157894736842106E-2</v>
      </c>
      <c r="AW81">
        <f t="shared" si="69"/>
        <v>1.1139861113410408</v>
      </c>
      <c r="AX81">
        <f t="shared" si="70"/>
        <v>1.3500001179810919</v>
      </c>
      <c r="AY81">
        <f t="shared" si="71"/>
        <v>1.5860141246211428</v>
      </c>
      <c r="BA81">
        <f t="shared" si="60"/>
        <v>3.9710923271186055E-2</v>
      </c>
      <c r="BB81">
        <f t="shared" si="61"/>
        <v>3.6255796536454089E-2</v>
      </c>
      <c r="BC81">
        <f t="shared" si="62"/>
        <v>3.2800669801722124E-2</v>
      </c>
    </row>
    <row r="82" spans="22:72" x14ac:dyDescent="0.25">
      <c r="W82">
        <v>0.22</v>
      </c>
      <c r="X82">
        <v>10.91</v>
      </c>
      <c r="Y82">
        <v>12.8</v>
      </c>
      <c r="Z82">
        <v>8.9</v>
      </c>
      <c r="AA82">
        <v>5.8</v>
      </c>
      <c r="AB82">
        <v>5.6</v>
      </c>
      <c r="AC82">
        <v>4.8</v>
      </c>
      <c r="AD82">
        <v>1.26</v>
      </c>
      <c r="AE82">
        <v>1.05</v>
      </c>
      <c r="AF82">
        <v>1.79</v>
      </c>
      <c r="AG82">
        <v>1.96</v>
      </c>
      <c r="AH82">
        <v>2</v>
      </c>
      <c r="AJ82">
        <f t="shared" si="63"/>
        <v>1.4855513542550056</v>
      </c>
      <c r="AK82">
        <f t="shared" si="66"/>
        <v>3.9189189189189191E-2</v>
      </c>
      <c r="AL82">
        <f t="shared" si="64"/>
        <v>1.6266372370613469</v>
      </c>
      <c r="AM82">
        <f t="shared" si="67"/>
        <v>3.783783783783784E-2</v>
      </c>
      <c r="AN82">
        <f t="shared" si="65"/>
        <v>2.4098796650455392</v>
      </c>
      <c r="AO82">
        <f t="shared" si="68"/>
        <v>3.2432432432432434E-2</v>
      </c>
      <c r="AW82">
        <f t="shared" si="69"/>
        <v>0.96252801376187525</v>
      </c>
      <c r="AX82">
        <f t="shared" si="70"/>
        <v>1.1711684791726866</v>
      </c>
      <c r="AY82">
        <f t="shared" si="71"/>
        <v>1.3798089445834978</v>
      </c>
      <c r="BA82">
        <f t="shared" si="60"/>
        <v>3.3336298515201375E-2</v>
      </c>
      <c r="BB82">
        <f t="shared" si="61"/>
        <v>3.0352739578876669E-2</v>
      </c>
      <c r="BC82">
        <f t="shared" si="62"/>
        <v>2.7369180642551959E-2</v>
      </c>
    </row>
    <row r="83" spans="22:72" x14ac:dyDescent="0.25">
      <c r="W83">
        <v>0.2</v>
      </c>
      <c r="X83">
        <v>8.26</v>
      </c>
      <c r="Y83">
        <v>10.8</v>
      </c>
      <c r="Z83">
        <v>7.9</v>
      </c>
      <c r="AA83">
        <v>4.9000000000000004</v>
      </c>
      <c r="AB83">
        <v>4.9000000000000004</v>
      </c>
      <c r="AC83">
        <v>4</v>
      </c>
      <c r="AD83">
        <v>1.1200000000000001</v>
      </c>
      <c r="AE83">
        <v>0.93</v>
      </c>
      <c r="AF83">
        <v>1.72</v>
      </c>
      <c r="AG83">
        <v>1.74</v>
      </c>
      <c r="AH83">
        <v>1.89</v>
      </c>
      <c r="AJ83">
        <f t="shared" si="63"/>
        <v>1.4729450426321702</v>
      </c>
      <c r="AK83">
        <f t="shared" si="66"/>
        <v>3.5251798561151078E-2</v>
      </c>
      <c r="AL83">
        <f t="shared" si="64"/>
        <v>1.4900723105697535</v>
      </c>
      <c r="AM83">
        <f t="shared" si="67"/>
        <v>3.5251798561151078E-2</v>
      </c>
      <c r="AN83">
        <f t="shared" si="65"/>
        <v>2.2070069866223805</v>
      </c>
      <c r="AO83">
        <f t="shared" si="68"/>
        <v>2.8776978417266185E-2</v>
      </c>
      <c r="AW83">
        <f t="shared" si="69"/>
        <v>0.8337887648991501</v>
      </c>
      <c r="AX83">
        <f t="shared" si="70"/>
        <v>1.0244416837023094</v>
      </c>
      <c r="AY83">
        <f t="shared" si="71"/>
        <v>1.2150946025054687</v>
      </c>
      <c r="BA83">
        <f t="shared" si="60"/>
        <v>2.8184223661258667E-2</v>
      </c>
      <c r="BB83">
        <f t="shared" si="61"/>
        <v>2.5488028795704585E-2</v>
      </c>
      <c r="BC83">
        <f t="shared" si="62"/>
        <v>2.2791833930150503E-2</v>
      </c>
      <c r="BT83" s="4"/>
    </row>
    <row r="84" spans="22:72" x14ac:dyDescent="0.25">
      <c r="W84">
        <v>0.16</v>
      </c>
      <c r="X84">
        <v>6.92</v>
      </c>
      <c r="Y84">
        <v>10.4</v>
      </c>
      <c r="Z84">
        <v>6.7</v>
      </c>
      <c r="AA84">
        <v>4.2</v>
      </c>
      <c r="AB84">
        <v>4.2</v>
      </c>
      <c r="AC84">
        <v>3.6</v>
      </c>
      <c r="AD84">
        <v>1</v>
      </c>
      <c r="AE84">
        <v>0.82</v>
      </c>
      <c r="AF84">
        <v>1.6</v>
      </c>
      <c r="AG84">
        <v>1.63</v>
      </c>
      <c r="AH84">
        <v>1.77</v>
      </c>
      <c r="AJ84">
        <f t="shared" si="63"/>
        <v>1.41681714229828</v>
      </c>
      <c r="AK84">
        <f t="shared" si="66"/>
        <v>3.2307692307692308E-2</v>
      </c>
      <c r="AL84">
        <f t="shared" si="64"/>
        <v>1.4433824637163726</v>
      </c>
      <c r="AM84">
        <f t="shared" si="67"/>
        <v>3.2307692307692308E-2</v>
      </c>
      <c r="AN84">
        <f t="shared" si="65"/>
        <v>1.9988465098651271</v>
      </c>
      <c r="AO84">
        <f t="shared" si="68"/>
        <v>2.769230769230769E-2</v>
      </c>
      <c r="AW84">
        <f t="shared" si="69"/>
        <v>0.80916061507123138</v>
      </c>
      <c r="AX84">
        <f t="shared" si="70"/>
        <v>1.0049252800078197</v>
      </c>
      <c r="AY84">
        <f t="shared" si="71"/>
        <v>1.2006899449444079</v>
      </c>
      <c r="BA84">
        <f t="shared" si="60"/>
        <v>2.7051746475813574E-2</v>
      </c>
      <c r="BB84">
        <f t="shared" si="61"/>
        <v>2.4272457454325876E-2</v>
      </c>
      <c r="BC84">
        <f t="shared" si="62"/>
        <v>2.1493168432838182E-2</v>
      </c>
    </row>
    <row r="85" spans="22:72" x14ac:dyDescent="0.25">
      <c r="W85">
        <v>0.13</v>
      </c>
      <c r="X85">
        <v>5.99</v>
      </c>
      <c r="Y85">
        <v>8</v>
      </c>
      <c r="Z85">
        <v>5.7</v>
      </c>
      <c r="AA85">
        <v>2.8</v>
      </c>
      <c r="AB85">
        <v>3.1</v>
      </c>
      <c r="AC85">
        <v>2.6</v>
      </c>
      <c r="AD85">
        <v>0.9</v>
      </c>
      <c r="AE85">
        <v>0.65</v>
      </c>
      <c r="AF85">
        <v>1.37</v>
      </c>
      <c r="AG85">
        <v>1.28</v>
      </c>
      <c r="AH85">
        <v>1.37</v>
      </c>
      <c r="AJ85">
        <f t="shared" si="63"/>
        <v>1.1607585499116293</v>
      </c>
      <c r="AK85">
        <f t="shared" si="66"/>
        <v>1.9718309859154931E-2</v>
      </c>
      <c r="AL85">
        <f t="shared" si="64"/>
        <v>1.084504338603566</v>
      </c>
      <c r="AM85">
        <f t="shared" si="67"/>
        <v>2.183098591549296E-2</v>
      </c>
      <c r="AN85">
        <f t="shared" si="65"/>
        <v>1.6169598751978973</v>
      </c>
      <c r="AO85">
        <f t="shared" si="68"/>
        <v>1.8309859154929577E-2</v>
      </c>
      <c r="AW85">
        <f t="shared" si="69"/>
        <v>0.71462872537901712</v>
      </c>
      <c r="AX85">
        <f t="shared" si="70"/>
        <v>0.87509924754496404</v>
      </c>
      <c r="AY85">
        <f t="shared" si="71"/>
        <v>1.035569769710911</v>
      </c>
      <c r="BA85">
        <f t="shared" si="60"/>
        <v>2.4724404389357139E-2</v>
      </c>
      <c r="BB85">
        <f t="shared" si="61"/>
        <v>2.2412271809305041E-2</v>
      </c>
      <c r="BC85">
        <f t="shared" si="62"/>
        <v>2.0100139229252936E-2</v>
      </c>
    </row>
    <row r="86" spans="22:72" x14ac:dyDescent="0.25">
      <c r="W86">
        <v>0.13</v>
      </c>
      <c r="X86">
        <v>5.28</v>
      </c>
      <c r="Y86">
        <v>6.7</v>
      </c>
      <c r="Z86">
        <v>5.2</v>
      </c>
      <c r="AA86">
        <v>2.7</v>
      </c>
      <c r="AB86">
        <v>2.9</v>
      </c>
      <c r="AC86">
        <v>2.2999999999999998</v>
      </c>
      <c r="AD86">
        <v>0.68</v>
      </c>
      <c r="AE86">
        <v>0.62</v>
      </c>
      <c r="AF86">
        <v>1.36</v>
      </c>
      <c r="AG86">
        <v>1.28</v>
      </c>
      <c r="AH86">
        <v>1.37</v>
      </c>
      <c r="AJ86">
        <f t="shared" si="63"/>
        <v>1.1688663644983197</v>
      </c>
      <c r="AK86">
        <f t="shared" si="66"/>
        <v>1.9565217391304346E-2</v>
      </c>
      <c r="AL86">
        <f t="shared" si="64"/>
        <v>1.1001095195278303</v>
      </c>
      <c r="AM86">
        <f t="shared" si="67"/>
        <v>2.1014492753623184E-2</v>
      </c>
      <c r="AN86">
        <f t="shared" si="65"/>
        <v>1.594023112128554</v>
      </c>
      <c r="AO86">
        <f t="shared" si="68"/>
        <v>1.6666666666666666E-2</v>
      </c>
      <c r="AW86">
        <f t="shared" si="69"/>
        <v>0.6234737050292013</v>
      </c>
      <c r="AX86">
        <f t="shared" si="70"/>
        <v>0.7669109071064717</v>
      </c>
      <c r="AY86">
        <f t="shared" si="71"/>
        <v>0.91034810918374198</v>
      </c>
      <c r="BA86">
        <f t="shared" si="60"/>
        <v>2.1307516885071959E-2</v>
      </c>
      <c r="BB86">
        <f t="shared" si="61"/>
        <v>1.9253450347307955E-2</v>
      </c>
      <c r="BC86">
        <f t="shared" si="62"/>
        <v>1.7199383809543948E-2</v>
      </c>
    </row>
    <row r="87" spans="22:72" x14ac:dyDescent="0.25">
      <c r="W87">
        <v>0.06</v>
      </c>
      <c r="X87">
        <v>2.2599999999999998</v>
      </c>
      <c r="Y87">
        <v>2.1</v>
      </c>
      <c r="Z87">
        <v>1.2</v>
      </c>
      <c r="BA87">
        <f t="shared" si="60"/>
        <v>1.6359289726117585E-2</v>
      </c>
      <c r="BB87">
        <f t="shared" si="61"/>
        <v>1.4718986611867829E-2</v>
      </c>
      <c r="BC87">
        <f t="shared" si="62"/>
        <v>1.3078683497618071E-2</v>
      </c>
    </row>
    <row r="88" spans="22:72" x14ac:dyDescent="0.25">
      <c r="W88">
        <v>7.0000000000000007E-2</v>
      </c>
      <c r="X88">
        <v>2.17</v>
      </c>
      <c r="Y88">
        <v>2.9</v>
      </c>
      <c r="Z88">
        <v>1.3</v>
      </c>
      <c r="AN88" s="1"/>
      <c r="AO88" s="1"/>
      <c r="BA88">
        <f t="shared" si="60"/>
        <v>1.5351503689112592E-2</v>
      </c>
      <c r="BB88">
        <f t="shared" si="61"/>
        <v>1.3720678226388167E-2</v>
      </c>
      <c r="BC88">
        <f t="shared" si="62"/>
        <v>1.2089852763663742E-2</v>
      </c>
    </row>
    <row r="89" spans="22:72" x14ac:dyDescent="0.25">
      <c r="AN89" s="1" t="s">
        <v>137</v>
      </c>
      <c r="AO89" s="1">
        <f>vG_crest!BE92</f>
        <v>0.3</v>
      </c>
      <c r="AQ89" t="s">
        <v>153</v>
      </c>
      <c r="AR89">
        <f>AO89*BI46</f>
        <v>7.4999999999999997E-2</v>
      </c>
      <c r="BE89">
        <f>MAX(BA5:BC88)</f>
        <v>7.0872081547368043E-2</v>
      </c>
      <c r="BF89">
        <f>MAX(AW5:AY86)</f>
        <v>3.3850067452805885</v>
      </c>
    </row>
    <row r="90" spans="22:72" x14ac:dyDescent="0.25">
      <c r="V90" t="s">
        <v>34</v>
      </c>
      <c r="AN90" s="1" t="s">
        <v>136</v>
      </c>
      <c r="AO90" s="1">
        <f>vG_crest!BE93</f>
        <v>0.2</v>
      </c>
      <c r="AQ90" t="s">
        <v>154</v>
      </c>
      <c r="AR90">
        <f>AO90*BI46</f>
        <v>0.05</v>
      </c>
      <c r="AW90" s="1" t="s">
        <v>150</v>
      </c>
      <c r="AX90" s="1"/>
      <c r="AY90" s="1"/>
      <c r="AZ90" s="1"/>
      <c r="BA90" s="1"/>
      <c r="BB90" s="1"/>
      <c r="BC90" s="1"/>
    </row>
    <row r="91" spans="22:72" x14ac:dyDescent="0.25">
      <c r="V91" t="s">
        <v>12</v>
      </c>
      <c r="W91" t="s">
        <v>13</v>
      </c>
      <c r="X91" t="s">
        <v>14</v>
      </c>
      <c r="Y91" t="s">
        <v>15</v>
      </c>
      <c r="AD91" t="s">
        <v>21</v>
      </c>
      <c r="AR91">
        <f>AO90*SIN(ATAN(1/4))</f>
        <v>4.8507125007266595E-2</v>
      </c>
      <c r="AS91" t="s">
        <v>149</v>
      </c>
      <c r="AW91" t="s">
        <v>104</v>
      </c>
      <c r="AX91" t="s">
        <v>106</v>
      </c>
      <c r="AY91" t="s">
        <v>105</v>
      </c>
      <c r="BA91" t="s">
        <v>104</v>
      </c>
      <c r="BB91" t="s">
        <v>106</v>
      </c>
      <c r="BC91" t="s">
        <v>105</v>
      </c>
    </row>
    <row r="92" spans="22:72" x14ac:dyDescent="0.25">
      <c r="X92" t="s">
        <v>22</v>
      </c>
      <c r="Y92" t="s">
        <v>16</v>
      </c>
      <c r="Z92" t="s">
        <v>17</v>
      </c>
      <c r="AA92" t="s">
        <v>18</v>
      </c>
      <c r="AB92" t="s">
        <v>19</v>
      </c>
      <c r="AC92" t="s">
        <v>20</v>
      </c>
      <c r="AD92" t="s">
        <v>16</v>
      </c>
      <c r="AE92" t="s">
        <v>17</v>
      </c>
      <c r="AF92" t="s">
        <v>18</v>
      </c>
      <c r="AG92" t="s">
        <v>19</v>
      </c>
      <c r="AH92" t="s">
        <v>20</v>
      </c>
      <c r="AT92" t="s">
        <v>117</v>
      </c>
      <c r="AU92" t="s">
        <v>148</v>
      </c>
      <c r="AW92" t="s">
        <v>116</v>
      </c>
      <c r="BA92" t="s">
        <v>112</v>
      </c>
    </row>
    <row r="93" spans="22:72" x14ac:dyDescent="0.25">
      <c r="W93">
        <v>0.05</v>
      </c>
      <c r="X93">
        <v>3.98</v>
      </c>
      <c r="Y93">
        <v>7.1</v>
      </c>
      <c r="Z93">
        <v>4.5</v>
      </c>
      <c r="AA93">
        <v>3</v>
      </c>
      <c r="AB93">
        <v>3</v>
      </c>
      <c r="AC93">
        <v>2.9</v>
      </c>
      <c r="AK93">
        <f>AA93/1000/E5</f>
        <v>2.0833333333333336E-2</v>
      </c>
      <c r="AM93">
        <f>AB93/1000/E5</f>
        <v>2.0833333333333336E-2</v>
      </c>
      <c r="AO93">
        <f>AC93/1000/E5</f>
        <v>2.013888888888889E-2</v>
      </c>
      <c r="AT93">
        <f t="shared" ref="AT93:AT110" si="72">AQ5*($BI$38-$BI$39*1.1/E5)*(1-$AO$89)</f>
        <v>0.41958766814397719</v>
      </c>
      <c r="AU93">
        <f t="shared" ref="AU93:AU110" si="73">AR5*($BI$57-$BI$58*1.1/E5)*(1+$AO$90)</f>
        <v>4.7898449048185181E-2</v>
      </c>
      <c r="AW93">
        <f>($BI$43+$BI$44*$BI$46*0.1/E5)*AT93*(1-$AR$89)</f>
        <v>0.45550029321255026</v>
      </c>
      <c r="AX93">
        <f>($BI$43+$BI$44*$BI$46*0.25/E5)*AT93*(1-$AR$89)</f>
        <v>0.55657284348160718</v>
      </c>
      <c r="AY93">
        <f>($BI$43+$BI$44*$BI$46*0.4/E5)*AT93*(1-$AR$89)</f>
        <v>0.65764539375066433</v>
      </c>
      <c r="BA93">
        <f>($BI$61-$BI$62*$BI$46*0.1/E5)*AU93*(1+$AR$90)</f>
        <v>2.8429725278808247E-2</v>
      </c>
      <c r="BB93">
        <f>($BI$61-$BI$62*$BI$46*0.25/E5)*AU93*(1+$AR$90)</f>
        <v>2.5810278846485617E-2</v>
      </c>
      <c r="BC93">
        <f>($BI$61-$BI$62*$BI$46*0.4/E5)*AU93*(1+$AR$90)</f>
        <v>2.3190832414162987E-2</v>
      </c>
    </row>
    <row r="94" spans="22:72" x14ac:dyDescent="0.25">
      <c r="AT94">
        <f t="shared" si="72"/>
        <v>0.25104695699850821</v>
      </c>
      <c r="AU94">
        <f t="shared" si="73"/>
        <v>3.2498962110941464E-2</v>
      </c>
      <c r="AW94">
        <f t="shared" ref="AW94:AW110" si="74">($BI$43+$BI$44*$BI$46*0.1/E6)*AT94*(1-$AR$89)</f>
        <v>0.27398434083937911</v>
      </c>
      <c r="AX94">
        <f t="shared" ref="AX94:AX110" si="75">($BI$43+$BI$44*$BI$46*0.25/E6)*AT94*(1-$AR$89)</f>
        <v>0.3366331992630176</v>
      </c>
      <c r="AY94">
        <f t="shared" ref="AY94:AY110" si="76">($BI$43+$BI$44*$BI$46*0.4/E6)*AT94*(1-$AR$89)</f>
        <v>0.39928205768665614</v>
      </c>
      <c r="BA94">
        <f t="shared" ref="BA94:BA110" si="77">($BI$61-$BI$62*$BI$46*0.1/E6)*AU94*(1+$AR$90)</f>
        <v>1.9246867345127348E-2</v>
      </c>
      <c r="BB94">
        <f t="shared" ref="BB94:BB110" si="78">($BI$61-$BI$62*$BI$46*0.25/E6)*AU94*(1+$AR$90)</f>
        <v>1.7405649167978689E-2</v>
      </c>
      <c r="BC94">
        <f t="shared" ref="BC94:BC110" si="79">($BI$61-$BI$62*$BI$46*0.4/E6)*AU94*(1+$AR$90)</f>
        <v>1.5564430990830023E-2</v>
      </c>
    </row>
    <row r="95" spans="22:72" x14ac:dyDescent="0.25">
      <c r="W95">
        <v>0.14000000000000001</v>
      </c>
      <c r="X95">
        <v>11.82</v>
      </c>
      <c r="Y95">
        <v>15.1</v>
      </c>
      <c r="Z95">
        <v>12</v>
      </c>
      <c r="AA95">
        <v>7.6</v>
      </c>
      <c r="AB95">
        <v>7.4</v>
      </c>
      <c r="AC95">
        <v>5.4</v>
      </c>
      <c r="AD95">
        <v>1.33</v>
      </c>
      <c r="AE95">
        <v>0.74</v>
      </c>
      <c r="AF95">
        <v>1.03</v>
      </c>
      <c r="AG95">
        <v>1.01</v>
      </c>
      <c r="AH95">
        <v>0.95</v>
      </c>
      <c r="AJ95">
        <f t="shared" ref="AJ95:AJ105" si="80">AF95/(9.81*E7)^0.5</f>
        <v>0.84909657972397157</v>
      </c>
      <c r="AK95">
        <f t="shared" ref="AK95:AK108" si="81">AA95/1000/E7</f>
        <v>5.0666666666666665E-2</v>
      </c>
      <c r="AL95">
        <f t="shared" ref="AL95:AL105" si="82">AG95/(9.81*E7)^0.5</f>
        <v>0.83260926749632158</v>
      </c>
      <c r="AM95">
        <f t="shared" ref="AM95:AM108" si="83">AB95/1000/E7</f>
        <v>4.933333333333334E-2</v>
      </c>
      <c r="AN95">
        <f t="shared" ref="AN95:AN104" si="84">AH95/(9.81*E7)^0.5</f>
        <v>0.78314733081337173</v>
      </c>
      <c r="AO95">
        <f t="shared" ref="AO95:AO108" si="85">AC95/1000/E7</f>
        <v>3.6000000000000004E-2</v>
      </c>
      <c r="AT95">
        <f t="shared" si="72"/>
        <v>0.56220529326709878</v>
      </c>
      <c r="AU95">
        <f t="shared" si="73"/>
        <v>6.6259536480581832E-2</v>
      </c>
      <c r="AW95">
        <f t="shared" si="74"/>
        <v>0.60671321231741093</v>
      </c>
      <c r="AX95">
        <f t="shared" si="75"/>
        <v>0.73672318638542744</v>
      </c>
      <c r="AY95">
        <f t="shared" si="76"/>
        <v>0.86673316045344406</v>
      </c>
      <c r="BA95">
        <f t="shared" si="77"/>
        <v>3.942442420594619E-2</v>
      </c>
      <c r="BB95">
        <f t="shared" si="78"/>
        <v>3.594579854071564E-2</v>
      </c>
      <c r="BC95">
        <f t="shared" si="79"/>
        <v>3.2467172875485097E-2</v>
      </c>
    </row>
    <row r="96" spans="22:72" x14ac:dyDescent="0.25">
      <c r="W96">
        <v>0.01</v>
      </c>
      <c r="X96">
        <v>0</v>
      </c>
      <c r="Y96">
        <v>5.0999999999999996</v>
      </c>
      <c r="AC96">
        <v>2.1</v>
      </c>
      <c r="AD96">
        <v>0.75</v>
      </c>
      <c r="AO96">
        <f t="shared" si="85"/>
        <v>1.47887323943662E-2</v>
      </c>
      <c r="AT96">
        <f t="shared" si="72"/>
        <v>0.36059503450731012</v>
      </c>
      <c r="AU96">
        <f t="shared" si="73"/>
        <v>4.334190670629378E-2</v>
      </c>
      <c r="AW96">
        <f t="shared" si="74"/>
        <v>0.39227407010927273</v>
      </c>
      <c r="AX96">
        <f t="shared" si="75"/>
        <v>0.48035956489428905</v>
      </c>
      <c r="AY96">
        <f t="shared" si="76"/>
        <v>0.56844505967930548</v>
      </c>
      <c r="BA96">
        <f t="shared" si="77"/>
        <v>2.5702971575612667E-2</v>
      </c>
      <c r="BB96">
        <f t="shared" si="78"/>
        <v>2.3299327101584052E-2</v>
      </c>
      <c r="BC96">
        <f t="shared" si="79"/>
        <v>2.0895682627555433E-2</v>
      </c>
    </row>
    <row r="97" spans="20:81" x14ac:dyDescent="0.25">
      <c r="W97">
        <v>0.22</v>
      </c>
      <c r="X97">
        <v>20.260000000000002</v>
      </c>
      <c r="Y97">
        <v>22.9</v>
      </c>
      <c r="Z97">
        <v>16.2</v>
      </c>
      <c r="AA97">
        <v>10</v>
      </c>
      <c r="AB97">
        <v>9.8000000000000007</v>
      </c>
      <c r="AC97">
        <v>7.7</v>
      </c>
      <c r="AD97">
        <v>1.58</v>
      </c>
      <c r="AE97">
        <v>0.91</v>
      </c>
      <c r="AF97">
        <v>1.34</v>
      </c>
      <c r="AG97">
        <v>1.41</v>
      </c>
      <c r="AH97">
        <v>1.53</v>
      </c>
      <c r="AJ97">
        <f t="shared" si="80"/>
        <v>1.0937664033972896</v>
      </c>
      <c r="AK97">
        <f t="shared" si="81"/>
        <v>6.535947712418301E-2</v>
      </c>
      <c r="AL97">
        <f t="shared" si="82"/>
        <v>1.1509034543210284</v>
      </c>
      <c r="AM97">
        <f t="shared" si="83"/>
        <v>6.4052287581699355E-2</v>
      </c>
      <c r="AN97">
        <f t="shared" si="84"/>
        <v>1.2488526844760095</v>
      </c>
      <c r="AO97">
        <f t="shared" si="85"/>
        <v>5.0326797385620917E-2</v>
      </c>
      <c r="AT97">
        <f t="shared" si="72"/>
        <v>0.7528681621408142</v>
      </c>
      <c r="AU97">
        <f t="shared" si="73"/>
        <v>9.6080708309083274E-2</v>
      </c>
      <c r="AW97">
        <f t="shared" si="74"/>
        <v>0.81019439801624227</v>
      </c>
      <c r="AX97">
        <f t="shared" si="75"/>
        <v>0.98088142007022583</v>
      </c>
      <c r="AY97">
        <f t="shared" si="76"/>
        <v>1.1515684421242094</v>
      </c>
      <c r="BA97">
        <f t="shared" si="77"/>
        <v>5.7233959184900984E-2</v>
      </c>
      <c r="BB97">
        <f t="shared" si="78"/>
        <v>5.2288628610168746E-2</v>
      </c>
      <c r="BC97">
        <f t="shared" si="79"/>
        <v>4.7343298035436521E-2</v>
      </c>
      <c r="BJ97" t="s">
        <v>98</v>
      </c>
    </row>
    <row r="98" spans="20:81" x14ac:dyDescent="0.25">
      <c r="W98">
        <v>0.09</v>
      </c>
      <c r="X98">
        <v>8.35</v>
      </c>
      <c r="Y98">
        <v>12</v>
      </c>
      <c r="Z98">
        <v>7.7</v>
      </c>
      <c r="AA98">
        <v>5.0999999999999996</v>
      </c>
      <c r="AB98">
        <v>4.9000000000000004</v>
      </c>
      <c r="AC98">
        <v>3.8</v>
      </c>
      <c r="AD98">
        <v>1.19</v>
      </c>
      <c r="AE98">
        <v>0.59</v>
      </c>
      <c r="AF98">
        <v>0.68</v>
      </c>
      <c r="AG98">
        <v>0.77</v>
      </c>
      <c r="AJ98">
        <f t="shared" si="80"/>
        <v>0.57015167941289757</v>
      </c>
      <c r="AK98">
        <f t="shared" si="81"/>
        <v>3.5172413793103451E-2</v>
      </c>
      <c r="AL98">
        <f t="shared" si="82"/>
        <v>0.6456129310998987</v>
      </c>
      <c r="AM98">
        <f t="shared" si="83"/>
        <v>3.3793103448275873E-2</v>
      </c>
      <c r="AO98">
        <f t="shared" si="85"/>
        <v>2.6206896551724139E-2</v>
      </c>
      <c r="AT98">
        <f t="shared" si="72"/>
        <v>0.49448337544289911</v>
      </c>
      <c r="AU98">
        <f t="shared" si="73"/>
        <v>6.1141783102279211E-2</v>
      </c>
      <c r="AW98">
        <f t="shared" si="74"/>
        <v>0.53625869509238555</v>
      </c>
      <c r="AX98">
        <f t="shared" si="75"/>
        <v>0.654551054303941</v>
      </c>
      <c r="AY98">
        <f t="shared" si="76"/>
        <v>0.77284341351549668</v>
      </c>
      <c r="BA98">
        <f t="shared" si="77"/>
        <v>3.6305569138663729E-2</v>
      </c>
      <c r="BB98">
        <f t="shared" si="78"/>
        <v>3.2984937815005458E-2</v>
      </c>
      <c r="BC98">
        <f t="shared" si="79"/>
        <v>2.9664306491347187E-2</v>
      </c>
    </row>
    <row r="99" spans="20:81" x14ac:dyDescent="0.25">
      <c r="W99">
        <v>0.01</v>
      </c>
      <c r="Y99">
        <v>4</v>
      </c>
      <c r="AD99">
        <v>0.74</v>
      </c>
      <c r="AT99">
        <f t="shared" si="72"/>
        <v>0.31662445854964</v>
      </c>
      <c r="AU99">
        <f t="shared" si="73"/>
        <v>4.0279063696900493E-2</v>
      </c>
      <c r="AW99">
        <f t="shared" si="74"/>
        <v>0.34593516476682584</v>
      </c>
      <c r="AX99">
        <f t="shared" si="75"/>
        <v>0.42552147567943921</v>
      </c>
      <c r="AY99">
        <f t="shared" si="76"/>
        <v>0.50510778659205258</v>
      </c>
      <c r="BA99">
        <f t="shared" si="77"/>
        <v>2.3843454444926096E-2</v>
      </c>
      <c r="BB99">
        <f t="shared" si="78"/>
        <v>2.1544920918744277E-2</v>
      </c>
      <c r="BC99">
        <f t="shared" si="79"/>
        <v>1.9246387392562452E-2</v>
      </c>
    </row>
    <row r="100" spans="20:81" x14ac:dyDescent="0.25">
      <c r="W100">
        <v>0.2</v>
      </c>
      <c r="X100">
        <v>12.66</v>
      </c>
      <c r="Y100">
        <v>22</v>
      </c>
      <c r="Z100">
        <v>13.2</v>
      </c>
      <c r="AA100">
        <v>8.1999999999999993</v>
      </c>
      <c r="AB100">
        <v>8.3000000000000007</v>
      </c>
      <c r="AC100">
        <v>6.5</v>
      </c>
      <c r="AD100">
        <v>1.43</v>
      </c>
      <c r="AE100">
        <v>0.78</v>
      </c>
      <c r="AF100">
        <v>1.1000000000000001</v>
      </c>
      <c r="AG100">
        <v>1.22</v>
      </c>
      <c r="AH100">
        <v>1.22</v>
      </c>
      <c r="AJ100">
        <f t="shared" si="80"/>
        <v>0.91600852197730465</v>
      </c>
      <c r="AK100">
        <f t="shared" si="81"/>
        <v>5.5782312925170066E-2</v>
      </c>
      <c r="AL100">
        <f t="shared" si="82"/>
        <v>1.0159367243748287</v>
      </c>
      <c r="AM100">
        <f t="shared" si="83"/>
        <v>5.6462585034013607E-2</v>
      </c>
      <c r="AN100">
        <f t="shared" si="84"/>
        <v>1.0159367243748287</v>
      </c>
      <c r="AO100">
        <f t="shared" si="85"/>
        <v>4.4217687074829932E-2</v>
      </c>
      <c r="AT100">
        <f t="shared" si="72"/>
        <v>0.71776395622014588</v>
      </c>
      <c r="AU100">
        <f t="shared" si="73"/>
        <v>9.9941993941356055E-2</v>
      </c>
      <c r="AW100">
        <f t="shared" si="74"/>
        <v>0.77684520703826676</v>
      </c>
      <c r="AX100">
        <f t="shared" si="75"/>
        <v>0.94621552834021461</v>
      </c>
      <c r="AY100">
        <f t="shared" si="76"/>
        <v>1.1155858496421622</v>
      </c>
      <c r="BA100">
        <f t="shared" si="77"/>
        <v>5.9394099256577307E-2</v>
      </c>
      <c r="BB100">
        <f t="shared" si="78"/>
        <v>5.4040063866861811E-2</v>
      </c>
      <c r="BC100">
        <f t="shared" si="79"/>
        <v>4.8686028477146301E-2</v>
      </c>
    </row>
    <row r="101" spans="20:81" x14ac:dyDescent="0.25">
      <c r="W101">
        <v>0.11</v>
      </c>
      <c r="X101">
        <v>5.8</v>
      </c>
      <c r="Y101">
        <v>11.3</v>
      </c>
      <c r="Z101">
        <v>6.4</v>
      </c>
      <c r="AA101">
        <v>4</v>
      </c>
      <c r="AB101">
        <v>4</v>
      </c>
      <c r="AC101">
        <v>3.7</v>
      </c>
      <c r="AD101">
        <v>1.06</v>
      </c>
      <c r="AK101">
        <f t="shared" si="81"/>
        <v>2.8571428571428571E-2</v>
      </c>
      <c r="AM101">
        <f t="shared" si="83"/>
        <v>2.8571428571428571E-2</v>
      </c>
      <c r="AO101">
        <f t="shared" si="85"/>
        <v>2.6428571428571426E-2</v>
      </c>
      <c r="AT101">
        <f t="shared" si="72"/>
        <v>0.49687014156597764</v>
      </c>
      <c r="AU101">
        <f t="shared" si="73"/>
        <v>6.6707735505359217E-2</v>
      </c>
      <c r="AW101">
        <f t="shared" si="74"/>
        <v>0.54167718111790952</v>
      </c>
      <c r="AX101">
        <f t="shared" si="75"/>
        <v>0.66478563137197999</v>
      </c>
      <c r="AY101">
        <f t="shared" si="76"/>
        <v>0.78789408162605035</v>
      </c>
      <c r="BA101">
        <f t="shared" si="77"/>
        <v>3.9524333286925332E-2</v>
      </c>
      <c r="BB101">
        <f t="shared" si="78"/>
        <v>3.5772023164748881E-2</v>
      </c>
      <c r="BC101">
        <f t="shared" si="79"/>
        <v>3.2019713042572416E-2</v>
      </c>
    </row>
    <row r="102" spans="20:81" x14ac:dyDescent="0.25">
      <c r="W102">
        <v>0.28999999999999998</v>
      </c>
      <c r="X102">
        <v>16.18</v>
      </c>
      <c r="Y102">
        <v>23.1</v>
      </c>
      <c r="Z102">
        <v>15.5</v>
      </c>
      <c r="AA102">
        <v>9.4</v>
      </c>
      <c r="AB102">
        <v>10</v>
      </c>
      <c r="AC102">
        <v>8.3000000000000007</v>
      </c>
      <c r="AD102">
        <v>1.46</v>
      </c>
      <c r="AE102">
        <v>0.84</v>
      </c>
      <c r="AF102">
        <v>1.21</v>
      </c>
      <c r="AG102">
        <v>1.33</v>
      </c>
      <c r="AH102">
        <v>1.46</v>
      </c>
      <c r="AJ102">
        <f t="shared" si="80"/>
        <v>1.0180512009814071</v>
      </c>
      <c r="AK102">
        <f t="shared" si="81"/>
        <v>6.5277777777777782E-2</v>
      </c>
      <c r="AL102">
        <f t="shared" si="82"/>
        <v>1.1190149564506375</v>
      </c>
      <c r="AM102">
        <f t="shared" si="83"/>
        <v>6.9444444444444448E-2</v>
      </c>
      <c r="AN102">
        <f t="shared" si="84"/>
        <v>1.2283923582089706</v>
      </c>
      <c r="AO102">
        <f t="shared" si="85"/>
        <v>5.7638888888888892E-2</v>
      </c>
      <c r="AT102">
        <f t="shared" si="72"/>
        <v>0.78204748688135906</v>
      </c>
      <c r="AU102">
        <f t="shared" si="73"/>
        <v>0.12609725912063843</v>
      </c>
      <c r="AW102">
        <f t="shared" si="74"/>
        <v>0.84898314851894763</v>
      </c>
      <c r="AX102">
        <f t="shared" si="75"/>
        <v>1.0373669832494832</v>
      </c>
      <c r="AY102">
        <f t="shared" si="76"/>
        <v>1.2257508179800192</v>
      </c>
      <c r="BA102">
        <f t="shared" si="77"/>
        <v>7.4843977340562265E-2</v>
      </c>
      <c r="BB102">
        <f t="shared" si="78"/>
        <v>6.7948033482402359E-2</v>
      </c>
      <c r="BC102">
        <f t="shared" si="79"/>
        <v>6.1052089624242432E-2</v>
      </c>
    </row>
    <row r="103" spans="20:81" x14ac:dyDescent="0.25">
      <c r="W103">
        <v>0.19</v>
      </c>
      <c r="X103">
        <v>10.99</v>
      </c>
      <c r="Y103">
        <v>17.5</v>
      </c>
      <c r="Z103">
        <v>12</v>
      </c>
      <c r="AA103">
        <v>7.3</v>
      </c>
      <c r="AB103">
        <v>7.6</v>
      </c>
      <c r="AC103">
        <v>5.6</v>
      </c>
      <c r="AD103">
        <v>1.32</v>
      </c>
      <c r="AE103">
        <v>0.75</v>
      </c>
      <c r="AF103">
        <v>1.06</v>
      </c>
      <c r="AG103">
        <v>1.1599999999999999</v>
      </c>
      <c r="AH103">
        <v>1.1200000000000001</v>
      </c>
      <c r="AJ103">
        <f t="shared" si="80"/>
        <v>0.86805964643062028</v>
      </c>
      <c r="AK103">
        <f t="shared" si="81"/>
        <v>4.8026315789473688E-2</v>
      </c>
      <c r="AL103">
        <f t="shared" si="82"/>
        <v>0.94995206590520698</v>
      </c>
      <c r="AM103">
        <f t="shared" si="83"/>
        <v>0.05</v>
      </c>
      <c r="AN103">
        <f t="shared" si="84"/>
        <v>0.91719509811537236</v>
      </c>
      <c r="AO103">
        <f t="shared" si="85"/>
        <v>3.6842105263157898E-2</v>
      </c>
      <c r="AT103">
        <f t="shared" si="72"/>
        <v>0.66965040817337129</v>
      </c>
      <c r="AU103">
        <f t="shared" si="73"/>
        <v>8.4028682188681397E-2</v>
      </c>
      <c r="AW103">
        <f t="shared" si="74"/>
        <v>0.72130600709332382</v>
      </c>
      <c r="AX103">
        <f t="shared" si="75"/>
        <v>0.87412507639275694</v>
      </c>
      <c r="AY103">
        <f t="shared" si="76"/>
        <v>1.0269441456921899</v>
      </c>
      <c r="BA103">
        <f t="shared" si="77"/>
        <v>5.0035763321694425E-2</v>
      </c>
      <c r="BB103">
        <f t="shared" si="78"/>
        <v>4.5682303635932155E-2</v>
      </c>
      <c r="BC103">
        <f t="shared" si="79"/>
        <v>4.1328843950169877E-2</v>
      </c>
    </row>
    <row r="104" spans="20:81" x14ac:dyDescent="0.25">
      <c r="W104">
        <v>0.15</v>
      </c>
      <c r="X104">
        <v>9.8699999999999992</v>
      </c>
      <c r="Y104">
        <v>13.4</v>
      </c>
      <c r="Z104">
        <v>10.1</v>
      </c>
      <c r="AA104">
        <v>6.5</v>
      </c>
      <c r="AB104">
        <v>6.5</v>
      </c>
      <c r="AC104">
        <v>5</v>
      </c>
      <c r="AD104">
        <v>1.32</v>
      </c>
      <c r="AE104">
        <v>0.64</v>
      </c>
      <c r="AF104">
        <v>0.89</v>
      </c>
      <c r="AG104">
        <v>0.99</v>
      </c>
      <c r="AH104">
        <v>0.87</v>
      </c>
      <c r="AJ104">
        <f t="shared" si="80"/>
        <v>0.73862609233908105</v>
      </c>
      <c r="AK104">
        <f t="shared" si="81"/>
        <v>4.3918918918918921E-2</v>
      </c>
      <c r="AL104">
        <f t="shared" si="82"/>
        <v>0.82161778810751707</v>
      </c>
      <c r="AM104">
        <f t="shared" si="83"/>
        <v>4.3918918918918921E-2</v>
      </c>
      <c r="AN104">
        <f t="shared" si="84"/>
        <v>0.72202775318539381</v>
      </c>
      <c r="AO104">
        <f t="shared" si="85"/>
        <v>3.3783783783783786E-2</v>
      </c>
      <c r="AT104">
        <f t="shared" si="72"/>
        <v>0.57640405910826753</v>
      </c>
      <c r="AU104">
        <f t="shared" si="73"/>
        <v>7.065067561216902E-2</v>
      </c>
      <c r="AW104">
        <f t="shared" si="74"/>
        <v>0.6232368889108143</v>
      </c>
      <c r="AX104">
        <f t="shared" si="75"/>
        <v>0.75833159026431451</v>
      </c>
      <c r="AY104">
        <f t="shared" si="76"/>
        <v>0.89342629161781484</v>
      </c>
      <c r="BA104">
        <f t="shared" si="77"/>
        <v>4.2003736129153736E-2</v>
      </c>
      <c r="BB104">
        <f t="shared" si="78"/>
        <v>3.8244451869384605E-2</v>
      </c>
      <c r="BC104">
        <f t="shared" si="79"/>
        <v>3.4485167609615466E-2</v>
      </c>
    </row>
    <row r="105" spans="20:81" x14ac:dyDescent="0.25">
      <c r="W105">
        <v>0.1</v>
      </c>
      <c r="X105">
        <v>8.33</v>
      </c>
      <c r="Y105">
        <v>12</v>
      </c>
      <c r="Z105">
        <v>7.8</v>
      </c>
      <c r="AA105">
        <v>5.3</v>
      </c>
      <c r="AB105">
        <v>4.8</v>
      </c>
      <c r="AC105">
        <v>4.0999999999999996</v>
      </c>
      <c r="AD105">
        <v>1.2</v>
      </c>
      <c r="AF105">
        <v>0.71</v>
      </c>
      <c r="AG105">
        <v>0.79</v>
      </c>
      <c r="AJ105">
        <f t="shared" si="80"/>
        <v>0.60801801178420978</v>
      </c>
      <c r="AK105">
        <f t="shared" si="81"/>
        <v>3.8129496402877695E-2</v>
      </c>
      <c r="AL105">
        <f t="shared" si="82"/>
        <v>0.67652708353454327</v>
      </c>
      <c r="AM105">
        <f t="shared" si="83"/>
        <v>3.4532374100719417E-2</v>
      </c>
      <c r="AO105">
        <f t="shared" si="85"/>
        <v>2.9496402877697836E-2</v>
      </c>
      <c r="AT105">
        <f t="shared" si="72"/>
        <v>0.49468077332126403</v>
      </c>
      <c r="AU105">
        <f t="shared" si="73"/>
        <v>5.9963373809922775E-2</v>
      </c>
      <c r="AW105">
        <f t="shared" si="74"/>
        <v>0.53987822527219975</v>
      </c>
      <c r="AX105">
        <f t="shared" si="75"/>
        <v>0.66332599019724525</v>
      </c>
      <c r="AY105">
        <f t="shared" si="76"/>
        <v>0.78677375512229109</v>
      </c>
      <c r="BA105">
        <f t="shared" si="77"/>
        <v>3.5512121813185922E-2</v>
      </c>
      <c r="BB105">
        <f t="shared" si="78"/>
        <v>3.2114916282587773E-2</v>
      </c>
      <c r="BC105">
        <f t="shared" si="79"/>
        <v>2.8717710751989634E-2</v>
      </c>
    </row>
    <row r="106" spans="20:81" x14ac:dyDescent="0.25">
      <c r="W106">
        <v>0.09</v>
      </c>
      <c r="X106">
        <v>7.09</v>
      </c>
      <c r="Y106">
        <v>10.7</v>
      </c>
      <c r="Z106">
        <v>6.8</v>
      </c>
      <c r="AA106">
        <v>4.2</v>
      </c>
      <c r="AB106">
        <v>4.2</v>
      </c>
      <c r="AC106">
        <v>3.6</v>
      </c>
      <c r="AD106">
        <v>1.0900000000000001</v>
      </c>
      <c r="AK106">
        <f t="shared" si="81"/>
        <v>3.2307692307692308E-2</v>
      </c>
      <c r="AM106">
        <f t="shared" si="83"/>
        <v>3.2307692307692308E-2</v>
      </c>
      <c r="AO106">
        <f t="shared" si="85"/>
        <v>2.769230769230769E-2</v>
      </c>
      <c r="AT106">
        <f t="shared" si="72"/>
        <v>0.47505558691278743</v>
      </c>
      <c r="AU106">
        <f t="shared" si="73"/>
        <v>5.7809211646944074E-2</v>
      </c>
      <c r="AW106">
        <f t="shared" si="74"/>
        <v>0.52393149825862229</v>
      </c>
      <c r="AX106">
        <f t="shared" si="75"/>
        <v>0.65068911880506319</v>
      </c>
      <c r="AY106">
        <f t="shared" si="76"/>
        <v>0.7774467393515041</v>
      </c>
      <c r="BA106">
        <f t="shared" si="77"/>
        <v>3.4085200559525103E-2</v>
      </c>
      <c r="BB106">
        <f t="shared" si="78"/>
        <v>3.0583296392450603E-2</v>
      </c>
      <c r="BC106">
        <f t="shared" si="79"/>
        <v>2.7081392225376106E-2</v>
      </c>
    </row>
    <row r="107" spans="20:81" x14ac:dyDescent="0.25">
      <c r="W107">
        <v>0.04</v>
      </c>
      <c r="X107">
        <v>1.46</v>
      </c>
      <c r="Y107">
        <v>7.7</v>
      </c>
      <c r="Z107">
        <v>3.8</v>
      </c>
      <c r="AA107">
        <v>2.6</v>
      </c>
      <c r="AB107">
        <v>2</v>
      </c>
      <c r="AC107">
        <v>2.6</v>
      </c>
      <c r="AD107">
        <v>0.99</v>
      </c>
      <c r="AK107">
        <f t="shared" si="81"/>
        <v>1.8309859154929577E-2</v>
      </c>
      <c r="AM107">
        <f t="shared" si="83"/>
        <v>1.4084507042253523E-2</v>
      </c>
      <c r="AO107">
        <f t="shared" si="85"/>
        <v>1.8309859154929577E-2</v>
      </c>
      <c r="AT107">
        <f t="shared" si="72"/>
        <v>0.42535386408787007</v>
      </c>
      <c r="AU107">
        <f t="shared" si="73"/>
        <v>5.2531652218783753E-2</v>
      </c>
      <c r="AW107">
        <f t="shared" si="74"/>
        <v>0.46272209968291367</v>
      </c>
      <c r="AX107">
        <f t="shared" si="75"/>
        <v>0.56662676278536428</v>
      </c>
      <c r="AY107">
        <f t="shared" si="76"/>
        <v>0.67053142588781489</v>
      </c>
      <c r="BA107">
        <f t="shared" si="77"/>
        <v>3.1152749530589996E-2</v>
      </c>
      <c r="BB107">
        <f t="shared" si="78"/>
        <v>2.823946247972435E-2</v>
      </c>
      <c r="BC107">
        <f t="shared" si="79"/>
        <v>2.5326175428858698E-2</v>
      </c>
    </row>
    <row r="108" spans="20:81" x14ac:dyDescent="0.25">
      <c r="W108">
        <v>0.04</v>
      </c>
      <c r="X108">
        <v>1.41</v>
      </c>
      <c r="Y108">
        <v>6.9</v>
      </c>
      <c r="Z108">
        <v>3.7</v>
      </c>
      <c r="AA108">
        <v>2.7</v>
      </c>
      <c r="AB108">
        <v>2.1</v>
      </c>
      <c r="AC108">
        <v>2.6</v>
      </c>
      <c r="AD108">
        <v>0.92</v>
      </c>
      <c r="AK108">
        <f t="shared" si="81"/>
        <v>1.9565217391304346E-2</v>
      </c>
      <c r="AM108">
        <f t="shared" si="83"/>
        <v>1.5217391304347827E-2</v>
      </c>
      <c r="AO108">
        <f t="shared" si="85"/>
        <v>1.8840579710144925E-2</v>
      </c>
      <c r="AT108">
        <f t="shared" si="72"/>
        <v>0.36949423255104819</v>
      </c>
      <c r="AU108">
        <f t="shared" si="73"/>
        <v>4.535378915382926E-2</v>
      </c>
      <c r="AW108">
        <f t="shared" si="74"/>
        <v>0.40369922400640784</v>
      </c>
      <c r="AX108">
        <f t="shared" si="75"/>
        <v>0.49657481235144046</v>
      </c>
      <c r="AY108">
        <f t="shared" si="76"/>
        <v>0.58945040069647292</v>
      </c>
      <c r="BA108">
        <f t="shared" si="77"/>
        <v>2.6847471275190667E-2</v>
      </c>
      <c r="BB108">
        <f t="shared" si="78"/>
        <v>2.4259347437608023E-2</v>
      </c>
      <c r="BC108">
        <f t="shared" si="79"/>
        <v>2.1671223600025373E-2</v>
      </c>
    </row>
    <row r="109" spans="20:81" x14ac:dyDescent="0.25">
      <c r="X109">
        <v>0</v>
      </c>
      <c r="Y109">
        <v>1.6</v>
      </c>
      <c r="AT109">
        <f t="shared" si="72"/>
        <v>0.26980067970177773</v>
      </c>
      <c r="AU109">
        <f t="shared" si="73"/>
        <v>3.490565027123485E-2</v>
      </c>
      <c r="AW109">
        <f t="shared" si="74"/>
        <v>0.29647646119108884</v>
      </c>
      <c r="AX109">
        <f t="shared" si="75"/>
        <v>0.36684270989150553</v>
      </c>
      <c r="AY109">
        <f t="shared" si="76"/>
        <v>0.43720895859192216</v>
      </c>
      <c r="BA109">
        <f t="shared" si="77"/>
        <v>2.061270505490816E-2</v>
      </c>
      <c r="BB109">
        <f t="shared" si="78"/>
        <v>1.8545923130953466E-2</v>
      </c>
      <c r="BC109">
        <f t="shared" si="79"/>
        <v>1.6479141206998772E-2</v>
      </c>
      <c r="CB109">
        <v>0</v>
      </c>
      <c r="CC109">
        <v>0</v>
      </c>
    </row>
    <row r="110" spans="20:81" x14ac:dyDescent="0.25">
      <c r="X110">
        <v>0</v>
      </c>
      <c r="Y110">
        <v>1.6</v>
      </c>
      <c r="AK110" s="7"/>
      <c r="AL110" s="7"/>
      <c r="AM110" s="7"/>
      <c r="AN110" s="7"/>
      <c r="AO110" s="7"/>
      <c r="AP110" s="7"/>
      <c r="AQ110" s="7"/>
      <c r="AT110">
        <f t="shared" si="72"/>
        <v>0.24732556739874548</v>
      </c>
      <c r="AU110">
        <f t="shared" si="73"/>
        <v>3.2877441328524416E-2</v>
      </c>
      <c r="AW110">
        <f t="shared" si="74"/>
        <v>0.27416824306682364</v>
      </c>
      <c r="AX110">
        <f t="shared" si="75"/>
        <v>0.34225638290129967</v>
      </c>
      <c r="AY110">
        <f t="shared" si="76"/>
        <v>0.41034452273577576</v>
      </c>
      <c r="BA110">
        <f t="shared" si="77"/>
        <v>1.9342894648281865E-2</v>
      </c>
      <c r="BB110">
        <f t="shared" si="78"/>
        <v>1.7288054565249091E-2</v>
      </c>
      <c r="BC110">
        <f t="shared" si="79"/>
        <v>1.5233214482216314E-2</v>
      </c>
      <c r="CB110">
        <v>4</v>
      </c>
      <c r="CC110">
        <v>4</v>
      </c>
    </row>
    <row r="111" spans="20:81" x14ac:dyDescent="0.25">
      <c r="T111" t="s">
        <v>130</v>
      </c>
      <c r="U111" s="7" t="s">
        <v>131</v>
      </c>
      <c r="V111" s="7"/>
      <c r="W111" s="7"/>
      <c r="Z111" t="s">
        <v>93</v>
      </c>
      <c r="AE111" t="s">
        <v>94</v>
      </c>
      <c r="AI111" s="7" t="s">
        <v>62</v>
      </c>
      <c r="AJ111" t="s">
        <v>17</v>
      </c>
      <c r="AL111" t="s">
        <v>18</v>
      </c>
      <c r="AN111" t="s">
        <v>19</v>
      </c>
      <c r="AP111" t="s">
        <v>20</v>
      </c>
    </row>
    <row r="112" spans="20:81" x14ac:dyDescent="0.25">
      <c r="T112" t="s">
        <v>17</v>
      </c>
      <c r="U112" t="s">
        <v>18</v>
      </c>
      <c r="V112" t="s">
        <v>19</v>
      </c>
      <c r="W112" t="s">
        <v>20</v>
      </c>
      <c r="Z112" t="s">
        <v>92</v>
      </c>
      <c r="AB112" t="s">
        <v>90</v>
      </c>
      <c r="AC112" t="s">
        <v>91</v>
      </c>
      <c r="AE112" t="s">
        <v>92</v>
      </c>
      <c r="AG112" t="s">
        <v>139</v>
      </c>
      <c r="AH112" t="s">
        <v>140</v>
      </c>
      <c r="AJ112" t="s">
        <v>63</v>
      </c>
      <c r="AK112" t="s">
        <v>64</v>
      </c>
      <c r="AL112" t="s">
        <v>63</v>
      </c>
      <c r="AM112" t="s">
        <v>64</v>
      </c>
      <c r="AN112" t="s">
        <v>63</v>
      </c>
      <c r="AO112" t="s">
        <v>64</v>
      </c>
      <c r="AP112" t="s">
        <v>63</v>
      </c>
      <c r="AQ112" t="s">
        <v>64</v>
      </c>
    </row>
    <row r="113" spans="18:55" x14ac:dyDescent="0.25">
      <c r="R113">
        <v>1</v>
      </c>
      <c r="T113">
        <f>1.1/E5</f>
        <v>7.6388888888888902</v>
      </c>
      <c r="U113">
        <f>0.1/SIN(ATAN(1/4))/E5</f>
        <v>2.8632677955678201</v>
      </c>
      <c r="V113">
        <f>(0.25-0.1)/SIN(ATAN(1/4))/E5</f>
        <v>4.2949016933517292</v>
      </c>
      <c r="W113">
        <f>(0.4-0.1)/SIN(ATAN(1/4))/E5</f>
        <v>8.5898033867034602</v>
      </c>
      <c r="Z113" s="1">
        <f>(Z93-Y71)/Y71</f>
        <v>-0.29687500000000006</v>
      </c>
      <c r="AB113">
        <f>(AB93-AA71)/AA71</f>
        <v>7.1428571428571494E-2</v>
      </c>
      <c r="AC113">
        <f>(AC93-AA71)/AA71</f>
        <v>3.5714285714285747E-2</v>
      </c>
      <c r="AJ113">
        <f>(Z93-Z71)/Z71</f>
        <v>-0.15094339622641506</v>
      </c>
      <c r="AL113">
        <f>(AA93-AA71)/AA71</f>
        <v>7.1428571428571494E-2</v>
      </c>
      <c r="AN113">
        <f>(AB93-AB71)/AB71</f>
        <v>7.1428571428571494E-2</v>
      </c>
      <c r="AP113">
        <f>(AC93-AC71)/AC71</f>
        <v>0.31818181818181801</v>
      </c>
    </row>
    <row r="114" spans="18:55" x14ac:dyDescent="0.25">
      <c r="R114">
        <v>2</v>
      </c>
      <c r="T114">
        <f t="shared" ref="T114:T130" si="86">1.1/E6</f>
        <v>7.9136690647482011</v>
      </c>
      <c r="U114">
        <f t="shared" ref="U114:U130" si="87">0.1/SIN(ATAN(1/4))/E6</f>
        <v>2.9662630400127052</v>
      </c>
      <c r="V114">
        <f t="shared" ref="V114:V130" si="88">(0.25-0.1)/SIN(ATAN(1/4))/E6</f>
        <v>4.4493945600190576</v>
      </c>
      <c r="W114">
        <f t="shared" ref="W114:W130" si="89">(0.4-0.1)/SIN(ATAN(1/4))/E6</f>
        <v>8.8987891200381171</v>
      </c>
      <c r="Z114" s="1"/>
    </row>
    <row r="115" spans="18:55" x14ac:dyDescent="0.25">
      <c r="R115">
        <v>3</v>
      </c>
      <c r="T115">
        <f t="shared" si="86"/>
        <v>7.3333333333333339</v>
      </c>
      <c r="U115">
        <f t="shared" si="87"/>
        <v>2.7487370837451071</v>
      </c>
      <c r="V115">
        <f t="shared" si="88"/>
        <v>4.1231056256176606</v>
      </c>
      <c r="W115">
        <f t="shared" si="89"/>
        <v>8.2462112512353229</v>
      </c>
      <c r="Z115" s="1">
        <f t="shared" ref="Z115:Z128" si="90">(Z95-Y73)/Y73</f>
        <v>-0.11764705882352938</v>
      </c>
      <c r="AB115">
        <f>(AB95-AA73)/AA73</f>
        <v>0.1746031746031747</v>
      </c>
      <c r="AC115">
        <f>(AC95-AA73)/AA73</f>
        <v>-0.14285714285714277</v>
      </c>
      <c r="AE115">
        <f t="shared" ref="AE115:AE124" si="91">(AE95-AD73)/AD73</f>
        <v>-0.4825174825174825</v>
      </c>
      <c r="AG115">
        <f>(AG95-AF73)/AF73</f>
        <v>-0.47395833333333331</v>
      </c>
      <c r="AH115">
        <f>(AH95-AF73)/AF73</f>
        <v>-0.50520833333333337</v>
      </c>
      <c r="AJ115">
        <f t="shared" ref="AJ115:AJ128" si="92">(Z95-Z73)/Z73</f>
        <v>0.3043478260869566</v>
      </c>
      <c r="AK115">
        <f t="shared" ref="AK115:AK124" si="93">(AE95-AE73)/AE73</f>
        <v>-0.37288135593220334</v>
      </c>
      <c r="AL115">
        <f>(AA95-AA73)/AA73</f>
        <v>0.20634920634920634</v>
      </c>
      <c r="AM115">
        <f>(AF95-AF73)/AF73</f>
        <v>-0.46354166666666663</v>
      </c>
      <c r="AN115">
        <f>(AB95-AB73)/AB73</f>
        <v>0.23333333333333339</v>
      </c>
      <c r="AO115">
        <f>(AG95-AG73)/AG73</f>
        <v>-0.53023255813953485</v>
      </c>
      <c r="AP115">
        <f>(AC95-AC73)/AC73</f>
        <v>8.0000000000000071E-2</v>
      </c>
      <c r="AQ115">
        <f>(AH95-AH73)/AH73</f>
        <v>-0.57589285714285721</v>
      </c>
    </row>
    <row r="116" spans="18:55" x14ac:dyDescent="0.25">
      <c r="R116">
        <v>4</v>
      </c>
      <c r="T116">
        <f t="shared" si="86"/>
        <v>7.7464788732394378</v>
      </c>
      <c r="U116">
        <f t="shared" si="87"/>
        <v>2.9035955109983527</v>
      </c>
      <c r="V116">
        <f t="shared" si="88"/>
        <v>4.3553932664975283</v>
      </c>
      <c r="W116">
        <f t="shared" si="89"/>
        <v>8.7107865329950585</v>
      </c>
      <c r="Z116" s="1"/>
      <c r="AC116">
        <f>(AC96-AA74)/AA74</f>
        <v>0.2352941176470589</v>
      </c>
      <c r="AI116" s="6"/>
      <c r="AP116">
        <f>(AC96-AC74)/AC74</f>
        <v>0.75000000000000011</v>
      </c>
    </row>
    <row r="117" spans="18:55" x14ac:dyDescent="0.25">
      <c r="R117">
        <v>5</v>
      </c>
      <c r="T117">
        <f t="shared" si="86"/>
        <v>7.1895424836601318</v>
      </c>
      <c r="U117">
        <f t="shared" si="87"/>
        <v>2.6948402781814775</v>
      </c>
      <c r="V117">
        <f t="shared" si="88"/>
        <v>4.0422604172722156</v>
      </c>
      <c r="W117">
        <f t="shared" si="89"/>
        <v>8.084520834544433</v>
      </c>
      <c r="Z117" s="1">
        <f t="shared" si="90"/>
        <v>-0.2211538461538462</v>
      </c>
      <c r="AB117">
        <f>(AB97-AA75)/AA75</f>
        <v>-2.9702970297029598E-2</v>
      </c>
      <c r="AC117">
        <f>(AC97-AA75)/AA75</f>
        <v>-0.23762376237623759</v>
      </c>
      <c r="AE117">
        <f t="shared" si="91"/>
        <v>-0.42767295597484278</v>
      </c>
      <c r="AG117">
        <f>(AG97-AF75)/AF75</f>
        <v>-0.2878787878787879</v>
      </c>
      <c r="AH117">
        <f>(AH97-AF75)/AF75</f>
        <v>-0.22727272727272727</v>
      </c>
      <c r="AJ117">
        <f t="shared" si="92"/>
        <v>0.24615384615384611</v>
      </c>
      <c r="AK117">
        <f t="shared" si="93"/>
        <v>-0.27777777777777773</v>
      </c>
      <c r="AL117">
        <f>(AA97-AA75)/AA75</f>
        <v>-9.9009900990098664E-3</v>
      </c>
      <c r="AM117">
        <f>(AF97-AF75)/AF75</f>
        <v>-0.3232323232323232</v>
      </c>
      <c r="AN117">
        <f>(AB97-AB75)/AB75</f>
        <v>4.2553191489361736E-2</v>
      </c>
      <c r="AO117">
        <f>(AG97-AG75)/AG75</f>
        <v>-0.35909090909090918</v>
      </c>
      <c r="AP117">
        <f>(AC97-AC75)/AC75</f>
        <v>-7.2289156626506076E-2</v>
      </c>
      <c r="AQ117">
        <f>(AH97-AH75)/AH75</f>
        <v>-0.32894736842105254</v>
      </c>
      <c r="BC117" t="s">
        <v>97</v>
      </c>
    </row>
    <row r="118" spans="18:55" x14ac:dyDescent="0.25">
      <c r="R118">
        <v>6</v>
      </c>
      <c r="T118">
        <f t="shared" si="86"/>
        <v>7.5862068965517251</v>
      </c>
      <c r="U118">
        <f t="shared" si="87"/>
        <v>2.8435211211156282</v>
      </c>
      <c r="V118">
        <f t="shared" si="88"/>
        <v>4.265281681673442</v>
      </c>
      <c r="W118">
        <f t="shared" si="89"/>
        <v>8.5305633633468858</v>
      </c>
      <c r="Z118" s="1">
        <f t="shared" si="90"/>
        <v>-0.32456140350877194</v>
      </c>
      <c r="AB118">
        <f>(AB98-AA76)/AA76</f>
        <v>4.2553191489361736E-2</v>
      </c>
      <c r="AC118">
        <f>(AC98-AA76)/AA76</f>
        <v>-0.19148936170212774</v>
      </c>
      <c r="AE118">
        <f t="shared" si="91"/>
        <v>-0.51239669421487599</v>
      </c>
      <c r="AG118">
        <f>(AG98-AF76)/AF76</f>
        <v>-0.55747126436781613</v>
      </c>
      <c r="AJ118">
        <f t="shared" si="92"/>
        <v>-3.7499999999999978E-2</v>
      </c>
      <c r="AK118">
        <f t="shared" si="93"/>
        <v>-0.35164835164835173</v>
      </c>
      <c r="AL118">
        <f>(AA98-AA76)/AA76</f>
        <v>8.5106382978723291E-2</v>
      </c>
      <c r="AM118">
        <f>(AF98-AF76)/AF76</f>
        <v>-0.60919540229885061</v>
      </c>
      <c r="AN118">
        <f>(AB98-AB76)/AB76</f>
        <v>4.2553191489361736E-2</v>
      </c>
      <c r="AO118">
        <f>(AG98-AG76)/AG76</f>
        <v>-0.54705882352941171</v>
      </c>
      <c r="AP118">
        <f>(AC98-AC76)/AC76</f>
        <v>-9.5238095238095316E-2</v>
      </c>
    </row>
    <row r="119" spans="18:55" x14ac:dyDescent="0.25">
      <c r="R119">
        <v>7</v>
      </c>
      <c r="T119">
        <f t="shared" si="86"/>
        <v>7.9710144927536231</v>
      </c>
      <c r="U119">
        <f t="shared" si="87"/>
        <v>2.9877576997229425</v>
      </c>
      <c r="V119">
        <f t="shared" si="88"/>
        <v>4.4816365495844126</v>
      </c>
      <c r="W119">
        <f t="shared" si="89"/>
        <v>8.963273099168827</v>
      </c>
      <c r="Z119" s="1"/>
    </row>
    <row r="120" spans="18:55" x14ac:dyDescent="0.25">
      <c r="R120">
        <v>8</v>
      </c>
      <c r="T120">
        <f t="shared" si="86"/>
        <v>7.4829931972789128</v>
      </c>
      <c r="U120">
        <f t="shared" si="87"/>
        <v>2.804833758923579</v>
      </c>
      <c r="V120">
        <f t="shared" si="88"/>
        <v>4.2072506383853678</v>
      </c>
      <c r="W120">
        <f t="shared" si="89"/>
        <v>8.4145012767707374</v>
      </c>
      <c r="Z120" s="1">
        <f t="shared" si="90"/>
        <v>-0.2864864864864865</v>
      </c>
      <c r="AB120">
        <f>(AB100-AA78)/AA78</f>
        <v>0.16901408450704242</v>
      </c>
      <c r="AC120">
        <f>(AC100-AA78)/AA78</f>
        <v>-8.4507042253521084E-2</v>
      </c>
      <c r="AE120">
        <f t="shared" si="91"/>
        <v>-0.45833333333333331</v>
      </c>
      <c r="AG120">
        <f>(AG100-AF78)/AF78</f>
        <v>-0.33695652173913049</v>
      </c>
      <c r="AH120">
        <f>(AH100-AF78)/AF78</f>
        <v>-0.33695652173913049</v>
      </c>
      <c r="AJ120">
        <f t="shared" si="92"/>
        <v>0.25714285714285706</v>
      </c>
      <c r="AK120">
        <f t="shared" si="93"/>
        <v>-0.29729729729729731</v>
      </c>
      <c r="AL120">
        <f t="shared" ref="AL120:AL125" si="94">(AA100-AA78)/AA78</f>
        <v>0.15492957746478869</v>
      </c>
      <c r="AM120">
        <f>(AF100-AF78)/AF78</f>
        <v>-0.40217391304347822</v>
      </c>
      <c r="AN120">
        <f t="shared" ref="AN120:AN125" si="95">(AB100-AB78)/AB78</f>
        <v>0.22058823529411778</v>
      </c>
      <c r="AO120">
        <f>(AG100-AG78)/AG78</f>
        <v>-0.38693467336683418</v>
      </c>
      <c r="AP120">
        <f t="shared" ref="AP120:AP125" si="96">(AC100-AC78)/AC78</f>
        <v>3.1746031746031772E-2</v>
      </c>
      <c r="AQ120">
        <f>(AH100-AH78)/AH78</f>
        <v>-0.41626794258373201</v>
      </c>
    </row>
    <row r="121" spans="18:55" x14ac:dyDescent="0.25">
      <c r="R121">
        <v>9</v>
      </c>
      <c r="T121">
        <f t="shared" si="86"/>
        <v>7.8571428571428568</v>
      </c>
      <c r="U121">
        <f t="shared" si="87"/>
        <v>2.9450754468697573</v>
      </c>
      <c r="V121">
        <f t="shared" si="88"/>
        <v>4.4176131703046355</v>
      </c>
      <c r="W121">
        <f t="shared" si="89"/>
        <v>8.8352263406092728</v>
      </c>
      <c r="Z121" s="1">
        <f t="shared" si="90"/>
        <v>-0.40186915887850461</v>
      </c>
      <c r="AB121">
        <f t="shared" ref="AB121:AB128" si="97">(AB101-AA79)/AA79</f>
        <v>5.2631578947368474E-2</v>
      </c>
      <c r="AC121">
        <f t="shared" ref="AC121:AC128" si="98">(AC101-AA79)/AA79</f>
        <v>-2.6315789473684119E-2</v>
      </c>
      <c r="AJ121">
        <f t="shared" si="92"/>
        <v>-5.8823529411764629E-2</v>
      </c>
      <c r="AL121">
        <f t="shared" si="94"/>
        <v>5.2631578947368474E-2</v>
      </c>
      <c r="AN121">
        <f t="shared" si="95"/>
        <v>-2.4390243902438939E-2</v>
      </c>
      <c r="AP121">
        <f t="shared" si="96"/>
        <v>5.7142857142857197E-2</v>
      </c>
    </row>
    <row r="122" spans="18:55" x14ac:dyDescent="0.25">
      <c r="R122">
        <v>10</v>
      </c>
      <c r="T122">
        <f t="shared" si="86"/>
        <v>7.6388888888888902</v>
      </c>
      <c r="U122">
        <f t="shared" si="87"/>
        <v>2.8632677955678201</v>
      </c>
      <c r="V122">
        <f t="shared" si="88"/>
        <v>4.2949016933517292</v>
      </c>
      <c r="W122">
        <f t="shared" si="89"/>
        <v>8.5898033867034602</v>
      </c>
      <c r="Z122" s="1">
        <f t="shared" si="90"/>
        <v>-0.26886792452830188</v>
      </c>
      <c r="AB122">
        <f t="shared" si="97"/>
        <v>0.19047619047619044</v>
      </c>
      <c r="AC122">
        <f t="shared" si="98"/>
        <v>-1.1904761904761862E-2</v>
      </c>
      <c r="AE122">
        <f t="shared" si="91"/>
        <v>-0.45454545454545459</v>
      </c>
      <c r="AG122">
        <f>(AG102-AF80)/AF80</f>
        <v>-0.29629629629629622</v>
      </c>
      <c r="AH122">
        <f>(AH102-AF80)/AF80</f>
        <v>-0.2275132275132275</v>
      </c>
      <c r="AJ122">
        <f t="shared" si="92"/>
        <v>0.21093749999999994</v>
      </c>
      <c r="AK122">
        <f t="shared" si="93"/>
        <v>-0.21495327102803746</v>
      </c>
      <c r="AL122">
        <f t="shared" si="94"/>
        <v>0.11904761904761904</v>
      </c>
      <c r="AM122">
        <f>(AF102-AF80)/AF80</f>
        <v>-0.35978835978835977</v>
      </c>
      <c r="AN122">
        <f t="shared" si="95"/>
        <v>0.29870129870129869</v>
      </c>
      <c r="AO122">
        <f>(AG102-AG80)/AG80</f>
        <v>-0.36666666666666664</v>
      </c>
      <c r="AP122">
        <f t="shared" si="96"/>
        <v>0.15277777777777785</v>
      </c>
      <c r="AQ122">
        <f>(AH102-AH80)/AH80</f>
        <v>-0.3423423423423424</v>
      </c>
    </row>
    <row r="123" spans="18:55" x14ac:dyDescent="0.25">
      <c r="R123">
        <v>11</v>
      </c>
      <c r="T123">
        <f t="shared" si="86"/>
        <v>7.2368421052631584</v>
      </c>
      <c r="U123">
        <f t="shared" si="87"/>
        <v>2.7125694905379349</v>
      </c>
      <c r="V123">
        <f t="shared" si="88"/>
        <v>4.068854235806902</v>
      </c>
      <c r="W123">
        <f t="shared" si="89"/>
        <v>8.137708471613804</v>
      </c>
      <c r="Z123" s="1">
        <f t="shared" si="90"/>
        <v>-0.22580645161290322</v>
      </c>
      <c r="AB123">
        <f t="shared" si="97"/>
        <v>0.16923076923076918</v>
      </c>
      <c r="AC123">
        <f t="shared" si="98"/>
        <v>-0.13846153846153852</v>
      </c>
      <c r="AE123">
        <f t="shared" si="91"/>
        <v>-0.49324324324324326</v>
      </c>
      <c r="AG123">
        <f>(AG103-AF81)/AF81</f>
        <v>-0.37634408602150543</v>
      </c>
      <c r="AH123">
        <f>(AH103-AF81)/AF81</f>
        <v>-0.39784946236559138</v>
      </c>
      <c r="AJ123">
        <f t="shared" si="92"/>
        <v>0.17647058823529421</v>
      </c>
      <c r="AK123">
        <f t="shared" si="93"/>
        <v>-0.3243243243243244</v>
      </c>
      <c r="AL123">
        <f t="shared" si="94"/>
        <v>0.12307692307692306</v>
      </c>
      <c r="AM123">
        <f>(AF103-AF81)/AF81</f>
        <v>-0.43010752688172044</v>
      </c>
      <c r="AN123">
        <f t="shared" si="95"/>
        <v>0.18749999999999989</v>
      </c>
      <c r="AO123">
        <f>(AG103-AG81)/AG81</f>
        <v>-0.43961352657004832</v>
      </c>
      <c r="AP123">
        <f t="shared" si="96"/>
        <v>-3.4482758620689689E-2</v>
      </c>
      <c r="AQ123">
        <f>(AH103-AH81)/AH81</f>
        <v>-0.47169811320754712</v>
      </c>
    </row>
    <row r="124" spans="18:55" x14ac:dyDescent="0.25">
      <c r="R124">
        <v>12</v>
      </c>
      <c r="T124">
        <f t="shared" si="86"/>
        <v>7.4324324324324333</v>
      </c>
      <c r="U124">
        <f t="shared" si="87"/>
        <v>2.7858821794713924</v>
      </c>
      <c r="V124">
        <f t="shared" si="88"/>
        <v>4.1788232692070881</v>
      </c>
      <c r="W124">
        <f t="shared" si="89"/>
        <v>8.357646538414178</v>
      </c>
      <c r="Z124" s="1">
        <f t="shared" si="90"/>
        <v>-0.21093750000000008</v>
      </c>
      <c r="AB124">
        <f t="shared" si="97"/>
        <v>0.12068965517241383</v>
      </c>
      <c r="AC124">
        <f t="shared" si="98"/>
        <v>-0.13793103448275859</v>
      </c>
      <c r="AE124">
        <f t="shared" si="91"/>
        <v>-0.49206349206349204</v>
      </c>
      <c r="AG124">
        <f>(AG104-AF82)/AF82</f>
        <v>-0.44692737430167601</v>
      </c>
      <c r="AH124">
        <f>(AH104-AF82)/AF82</f>
        <v>-0.51396648044692739</v>
      </c>
      <c r="AJ124">
        <f t="shared" si="92"/>
        <v>0.13483146067415722</v>
      </c>
      <c r="AK124">
        <f t="shared" si="93"/>
        <v>-0.39047619047619048</v>
      </c>
      <c r="AL124">
        <f t="shared" si="94"/>
        <v>0.12068965517241383</v>
      </c>
      <c r="AM124">
        <f>(AF104-AF82)/AF82</f>
        <v>-0.5027932960893855</v>
      </c>
      <c r="AN124">
        <f t="shared" si="95"/>
        <v>0.16071428571428578</v>
      </c>
      <c r="AO124">
        <f>(AG104-AG82)/AG82</f>
        <v>-0.49489795918367346</v>
      </c>
      <c r="AP124">
        <f t="shared" si="96"/>
        <v>4.1666666666666706E-2</v>
      </c>
      <c r="AQ124">
        <f>(AH104-AH82)/AH82</f>
        <v>-0.56499999999999995</v>
      </c>
    </row>
    <row r="125" spans="18:55" x14ac:dyDescent="0.25">
      <c r="R125">
        <v>13</v>
      </c>
      <c r="T125">
        <f t="shared" si="86"/>
        <v>7.9136690647482011</v>
      </c>
      <c r="U125">
        <f t="shared" si="87"/>
        <v>2.9662630400127052</v>
      </c>
      <c r="V125">
        <f t="shared" si="88"/>
        <v>4.4493945600190576</v>
      </c>
      <c r="W125">
        <f t="shared" si="89"/>
        <v>8.8987891200381171</v>
      </c>
      <c r="Z125" s="1">
        <f t="shared" si="90"/>
        <v>-0.27777777777777785</v>
      </c>
      <c r="AB125">
        <f t="shared" si="97"/>
        <v>-2.0408163265306228E-2</v>
      </c>
      <c r="AC125">
        <f t="shared" si="98"/>
        <v>-0.16326530612244911</v>
      </c>
      <c r="AG125">
        <f>(AG105-AF83)/AF83</f>
        <v>-0.54069767441860461</v>
      </c>
      <c r="AJ125">
        <f t="shared" si="92"/>
        <v>-1.2658227848101333E-2</v>
      </c>
      <c r="AL125">
        <f t="shared" si="94"/>
        <v>8.1632653061224372E-2</v>
      </c>
      <c r="AM125">
        <f>(AF105-AF83)/AF83</f>
        <v>-0.58720930232558144</v>
      </c>
      <c r="AN125">
        <f t="shared" si="95"/>
        <v>-2.0408163265306228E-2</v>
      </c>
      <c r="AO125">
        <f>(AG105-AG83)/AG83</f>
        <v>-0.54597701149425282</v>
      </c>
      <c r="AP125">
        <f t="shared" si="96"/>
        <v>2.4999999999999911E-2</v>
      </c>
    </row>
    <row r="126" spans="18:55" x14ac:dyDescent="0.25">
      <c r="R126">
        <v>14</v>
      </c>
      <c r="T126">
        <f t="shared" si="86"/>
        <v>8.4615384615384617</v>
      </c>
      <c r="U126">
        <f t="shared" si="87"/>
        <v>3.1716197120135852</v>
      </c>
      <c r="V126">
        <f t="shared" si="88"/>
        <v>4.7574295680203766</v>
      </c>
      <c r="W126">
        <f t="shared" si="89"/>
        <v>9.5148591360407551</v>
      </c>
      <c r="Z126" s="1">
        <f t="shared" si="90"/>
        <v>-0.3461538461538462</v>
      </c>
      <c r="AB126">
        <f t="shared" si="97"/>
        <v>0</v>
      </c>
      <c r="AC126">
        <f t="shared" si="98"/>
        <v>-0.14285714285714288</v>
      </c>
      <c r="AJ126">
        <f t="shared" si="92"/>
        <v>1.4925373134328304E-2</v>
      </c>
    </row>
    <row r="127" spans="18:55" x14ac:dyDescent="0.25">
      <c r="R127">
        <v>15</v>
      </c>
      <c r="T127">
        <f t="shared" si="86"/>
        <v>7.7464788732394378</v>
      </c>
      <c r="U127">
        <f t="shared" si="87"/>
        <v>2.9035955109983527</v>
      </c>
      <c r="V127">
        <f t="shared" si="88"/>
        <v>4.3553932664975283</v>
      </c>
      <c r="W127">
        <f t="shared" si="89"/>
        <v>8.7107865329950585</v>
      </c>
      <c r="Z127" s="1">
        <f t="shared" si="90"/>
        <v>-0.52500000000000002</v>
      </c>
      <c r="AB127">
        <f t="shared" si="97"/>
        <v>-0.28571428571428564</v>
      </c>
      <c r="AC127">
        <f t="shared" si="98"/>
        <v>-7.1428571428571341E-2</v>
      </c>
      <c r="AJ127">
        <f t="shared" si="92"/>
        <v>-0.33333333333333337</v>
      </c>
      <c r="AL127">
        <f>(AA107-AA85)/AA85</f>
        <v>-7.1428571428571341E-2</v>
      </c>
      <c r="AN127">
        <f>(AB107-AB85)/AB85</f>
        <v>-0.35483870967741937</v>
      </c>
    </row>
    <row r="128" spans="18:55" x14ac:dyDescent="0.25">
      <c r="R128">
        <v>16</v>
      </c>
      <c r="T128">
        <f t="shared" si="86"/>
        <v>7.9710144927536231</v>
      </c>
      <c r="U128">
        <f t="shared" si="87"/>
        <v>2.9877576997229425</v>
      </c>
      <c r="V128">
        <f t="shared" si="88"/>
        <v>4.4816365495844126</v>
      </c>
      <c r="W128">
        <f t="shared" si="89"/>
        <v>8.963273099168827</v>
      </c>
      <c r="Z128" s="1">
        <f t="shared" si="90"/>
        <v>-0.44776119402985076</v>
      </c>
      <c r="AB128">
        <f t="shared" si="97"/>
        <v>-0.22222222222222224</v>
      </c>
      <c r="AC128">
        <f t="shared" si="98"/>
        <v>-3.703703703703707E-2</v>
      </c>
      <c r="AJ128">
        <f t="shared" si="92"/>
        <v>-0.28846153846153844</v>
      </c>
      <c r="AN128">
        <f>(AB108-AB86)/AB86</f>
        <v>-0.27586206896551718</v>
      </c>
      <c r="AP128">
        <f>(AC108-AC86)/AC86</f>
        <v>0.13043478260869579</v>
      </c>
    </row>
    <row r="129" spans="18:43" x14ac:dyDescent="0.25">
      <c r="R129">
        <v>17</v>
      </c>
      <c r="T129">
        <f t="shared" si="86"/>
        <v>8.2706766917293244</v>
      </c>
      <c r="U129">
        <f t="shared" si="87"/>
        <v>3.1000794177576396</v>
      </c>
      <c r="V129">
        <f t="shared" si="88"/>
        <v>4.6501191266364588</v>
      </c>
      <c r="W129">
        <f t="shared" si="89"/>
        <v>9.3002382532729193</v>
      </c>
      <c r="Z129" s="1"/>
    </row>
    <row r="130" spans="18:43" x14ac:dyDescent="0.25">
      <c r="R130">
        <v>18</v>
      </c>
      <c r="T130">
        <f t="shared" si="86"/>
        <v>8.7301587301587311</v>
      </c>
      <c r="U130">
        <f t="shared" si="87"/>
        <v>3.2723060520775085</v>
      </c>
      <c r="V130">
        <f t="shared" si="88"/>
        <v>4.9084590781162625</v>
      </c>
      <c r="W130">
        <f t="shared" si="89"/>
        <v>9.8169181562325267</v>
      </c>
      <c r="Z130" s="1"/>
    </row>
    <row r="131" spans="18:43" x14ac:dyDescent="0.25">
      <c r="AJ131">
        <f>AVERAGE(AJ113,AJ118,AJ121,AJ125,AJ127:AJ128)</f>
        <v>-0.1469533375468588</v>
      </c>
    </row>
    <row r="132" spans="18:43" x14ac:dyDescent="0.25">
      <c r="T132">
        <f>AVERAGE(T113:T130)</f>
        <v>7.7844983237971901</v>
      </c>
      <c r="Y132" t="s">
        <v>132</v>
      </c>
      <c r="Z132">
        <f>MIN(Z113:AC128)</f>
        <v>-0.52500000000000002</v>
      </c>
      <c r="AE132">
        <f>MIN(AE115:AH125)</f>
        <v>-0.55747126436781613</v>
      </c>
      <c r="AI132" t="s">
        <v>143</v>
      </c>
      <c r="AJ132">
        <f>AVERAGE(AJ115,AJ117,AJ120,AJ122,AJ123,AJ124,AJ126)</f>
        <v>0.19211563591820566</v>
      </c>
      <c r="AK132">
        <f>AVERAGE(AK113:AK128)</f>
        <v>-0.31847979549774036</v>
      </c>
      <c r="AL132">
        <f>AVERAGE(AL113:AL115,AL118:AL125)</f>
        <v>0.11276579639187097</v>
      </c>
      <c r="AM132">
        <f t="shared" ref="AM132:AO132" si="99">AVERAGE(AM113:AM128)</f>
        <v>-0.45975522379079575</v>
      </c>
      <c r="AN132">
        <f>AVERAGE(AN113:AN120,AN122:AN124)</f>
        <v>0.15717151343129132</v>
      </c>
      <c r="AO132">
        <f t="shared" si="99"/>
        <v>-0.45880901600516638</v>
      </c>
      <c r="AP132">
        <f>AVERAGE(AP113:AP116,AP120:AP122,AP124:AP128)</f>
        <v>0.17632777045820527</v>
      </c>
      <c r="AQ132">
        <f>AVERAGE(AQ113:AQ128)</f>
        <v>-0.45002477061625523</v>
      </c>
    </row>
    <row r="133" spans="18:43" x14ac:dyDescent="0.25">
      <c r="Y133" t="s">
        <v>133</v>
      </c>
      <c r="Z133">
        <f>MAX(Z113:AC128)</f>
        <v>0.2352941176470589</v>
      </c>
      <c r="AE133">
        <f>MAX(AE115:AH125)</f>
        <v>-0.22727272727272727</v>
      </c>
      <c r="AK133" t="s">
        <v>141</v>
      </c>
      <c r="AN133">
        <f>AVERAGE(AL132,AN132,AP132)</f>
        <v>0.14875502676045585</v>
      </c>
      <c r="AO133" t="s">
        <v>128</v>
      </c>
    </row>
    <row r="134" spans="18:43" x14ac:dyDescent="0.25">
      <c r="Y134" t="s">
        <v>134</v>
      </c>
      <c r="Z134">
        <f>AVERAGE(Z113:Z130)</f>
        <v>-0.30391520368875524</v>
      </c>
      <c r="AA134" t="s">
        <v>138</v>
      </c>
      <c r="AD134" t="s">
        <v>134</v>
      </c>
      <c r="AE134">
        <f>AVERAGE(AE113:AE130)</f>
        <v>-0.47439609369896063</v>
      </c>
      <c r="AF134" t="s">
        <v>138</v>
      </c>
      <c r="AG134">
        <f>AVERAGE(AG115:AH125)</f>
        <v>-0.39466407793057767</v>
      </c>
      <c r="AK134" t="s">
        <v>142</v>
      </c>
      <c r="AN134">
        <f>AVERAGE(AM132,AO132,AQ132)</f>
        <v>-0.45619633680407246</v>
      </c>
      <c r="AO134" t="s">
        <v>129</v>
      </c>
    </row>
    <row r="135" spans="18:43" x14ac:dyDescent="0.25">
      <c r="AK135" t="s">
        <v>144</v>
      </c>
      <c r="AM135" t="s">
        <v>145</v>
      </c>
      <c r="AN135" s="1">
        <f>AVERAGE(AJ132,AL132,AN132,AP132)</f>
        <v>0.15959517904989332</v>
      </c>
    </row>
    <row r="136" spans="18:43" x14ac:dyDescent="0.25">
      <c r="AM136" t="s">
        <v>146</v>
      </c>
      <c r="AN136" s="1">
        <f>AVERAGE(AK132,AM132,AO132,AQ132)</f>
        <v>-0.42176720147748942</v>
      </c>
    </row>
    <row r="138" spans="18:43" x14ac:dyDescent="0.25">
      <c r="Z138" s="1">
        <f>(Z93-Y93)/Y93</f>
        <v>-0.36619718309859151</v>
      </c>
      <c r="AC138">
        <f>(AC93-AA93)/AA93</f>
        <v>-3.3333333333333361E-2</v>
      </c>
    </row>
    <row r="139" spans="18:43" x14ac:dyDescent="0.25">
      <c r="Z139" s="1"/>
      <c r="AN139">
        <f>(AJ132-AN133)/(AK132-AN134)</f>
        <v>0.31485403820373264</v>
      </c>
      <c r="AO139">
        <f>1/AN139</f>
        <v>3.1760748749010164</v>
      </c>
    </row>
    <row r="140" spans="18:43" x14ac:dyDescent="0.25">
      <c r="Z140" s="1">
        <f t="shared" ref="Z140:Z153" si="100">(Z95-Y95)/Y95</f>
        <v>-0.20529801324503311</v>
      </c>
      <c r="AB140">
        <f t="shared" ref="AB140:AB153" si="101">(AB95-AA95)/AA95</f>
        <v>-2.6315789473684119E-2</v>
      </c>
      <c r="AC140">
        <f t="shared" ref="AC140:AC153" si="102">(AC95-AA95)/AA95</f>
        <v>-0.28947368421052622</v>
      </c>
      <c r="AE140">
        <f t="shared" ref="AE140:AE149" si="103">(AE95-AD95)/AD95</f>
        <v>-0.44360902255639101</v>
      </c>
      <c r="AG140">
        <f t="shared" ref="AG140:AG150" si="104">(AG95-AF95)/AF95</f>
        <v>-1.9417475728155355E-2</v>
      </c>
      <c r="AH140">
        <f t="shared" ref="AH140:AH149" si="105">(AH95-AF95)/AF95</f>
        <v>-7.7669902912621422E-2</v>
      </c>
      <c r="AN140">
        <f>SIN(ATAN(1/4))</f>
        <v>0.24253562503633297</v>
      </c>
    </row>
    <row r="141" spans="18:43" x14ac:dyDescent="0.25">
      <c r="Z141" s="1"/>
    </row>
    <row r="142" spans="18:43" x14ac:dyDescent="0.25">
      <c r="Z142" s="1">
        <f t="shared" si="100"/>
        <v>-0.29257641921397376</v>
      </c>
      <c r="AB142">
        <f t="shared" si="101"/>
        <v>-1.9999999999999928E-2</v>
      </c>
      <c r="AC142">
        <f t="shared" si="102"/>
        <v>-0.22999999999999998</v>
      </c>
      <c r="AE142">
        <f t="shared" si="103"/>
        <v>-0.42405063291139239</v>
      </c>
      <c r="AG142">
        <f t="shared" si="104"/>
        <v>5.2238805970149134E-2</v>
      </c>
      <c r="AH142">
        <f t="shared" si="105"/>
        <v>0.14179104477611937</v>
      </c>
    </row>
    <row r="143" spans="18:43" x14ac:dyDescent="0.25">
      <c r="Z143" s="1">
        <f>(Z98-Y98)/Y98</f>
        <v>-0.35833333333333334</v>
      </c>
      <c r="AB143">
        <f t="shared" si="101"/>
        <v>-3.9215686274509665E-2</v>
      </c>
      <c r="AC143">
        <f t="shared" si="102"/>
        <v>-0.25490196078431371</v>
      </c>
      <c r="AE143">
        <f t="shared" si="103"/>
        <v>-0.50420168067226889</v>
      </c>
      <c r="AG143">
        <f t="shared" si="104"/>
        <v>0.13235294117647053</v>
      </c>
    </row>
    <row r="144" spans="18:43" x14ac:dyDescent="0.25">
      <c r="Z144" s="1"/>
    </row>
    <row r="145" spans="26:34" x14ac:dyDescent="0.25">
      <c r="Z145" s="1">
        <f t="shared" si="100"/>
        <v>-0.4</v>
      </c>
      <c r="AA145">
        <f>(AB100-AA100)/AA100</f>
        <v>1.2195121951219686E-2</v>
      </c>
      <c r="AC145">
        <f t="shared" si="102"/>
        <v>-0.20731707317073164</v>
      </c>
      <c r="AE145">
        <f t="shared" si="103"/>
        <v>-0.45454545454545453</v>
      </c>
      <c r="AG145">
        <f t="shared" si="104"/>
        <v>0.10909090909090897</v>
      </c>
      <c r="AH145">
        <f t="shared" si="105"/>
        <v>0.10909090909090897</v>
      </c>
    </row>
    <row r="146" spans="26:34" x14ac:dyDescent="0.25">
      <c r="Z146" s="1">
        <f t="shared" si="100"/>
        <v>-0.4336283185840708</v>
      </c>
      <c r="AA146">
        <f>(AB101-AA101)/AA101</f>
        <v>0</v>
      </c>
      <c r="AC146">
        <f t="shared" si="102"/>
        <v>-7.4999999999999956E-2</v>
      </c>
    </row>
    <row r="147" spans="26:34" x14ac:dyDescent="0.25">
      <c r="Z147" s="1">
        <f t="shared" si="100"/>
        <v>-0.32900432900432902</v>
      </c>
      <c r="AA147">
        <f>(AB102-AA102)/AA102</f>
        <v>6.3829787234042507E-2</v>
      </c>
      <c r="AC147">
        <f t="shared" si="102"/>
        <v>-0.11702127659574464</v>
      </c>
      <c r="AE147">
        <f t="shared" si="103"/>
        <v>-0.42465753424657537</v>
      </c>
      <c r="AG147">
        <f t="shared" si="104"/>
        <v>9.917355371900835E-2</v>
      </c>
      <c r="AH147">
        <f t="shared" si="105"/>
        <v>0.20661157024793389</v>
      </c>
    </row>
    <row r="148" spans="26:34" x14ac:dyDescent="0.25">
      <c r="Z148" s="1">
        <f t="shared" si="100"/>
        <v>-0.31428571428571428</v>
      </c>
      <c r="AA148">
        <f>(AB103-AA103)/AA103</f>
        <v>4.1095890410958881E-2</v>
      </c>
      <c r="AC148">
        <f t="shared" si="102"/>
        <v>-0.23287671232876717</v>
      </c>
      <c r="AE148">
        <f t="shared" si="103"/>
        <v>-0.43181818181818182</v>
      </c>
      <c r="AG148">
        <f t="shared" si="104"/>
        <v>9.4339622641509302E-2</v>
      </c>
      <c r="AH148">
        <f t="shared" si="105"/>
        <v>5.660377358490571E-2</v>
      </c>
    </row>
    <row r="149" spans="26:34" x14ac:dyDescent="0.25">
      <c r="Z149" s="1">
        <f t="shared" si="100"/>
        <v>-0.24626865671641796</v>
      </c>
      <c r="AB149">
        <f t="shared" si="101"/>
        <v>0</v>
      </c>
      <c r="AC149">
        <f t="shared" si="102"/>
        <v>-0.23076923076923078</v>
      </c>
      <c r="AE149">
        <f t="shared" si="103"/>
        <v>-0.51515151515151514</v>
      </c>
      <c r="AG149">
        <f t="shared" si="104"/>
        <v>0.11235955056179772</v>
      </c>
      <c r="AH149">
        <f t="shared" si="105"/>
        <v>-2.2471910112359571E-2</v>
      </c>
    </row>
    <row r="150" spans="26:34" x14ac:dyDescent="0.25">
      <c r="Z150" s="1">
        <f t="shared" si="100"/>
        <v>-0.35000000000000003</v>
      </c>
      <c r="AB150">
        <f t="shared" si="101"/>
        <v>-9.4339622641509441E-2</v>
      </c>
      <c r="AC150">
        <f t="shared" si="102"/>
        <v>-0.22641509433962267</v>
      </c>
      <c r="AG150">
        <f t="shared" si="104"/>
        <v>0.11267605633802827</v>
      </c>
    </row>
    <row r="151" spans="26:34" x14ac:dyDescent="0.25">
      <c r="Z151" s="1">
        <f t="shared" si="100"/>
        <v>-0.3644859813084112</v>
      </c>
      <c r="AB151">
        <f t="shared" si="101"/>
        <v>0</v>
      </c>
      <c r="AC151">
        <f t="shared" si="102"/>
        <v>-0.14285714285714288</v>
      </c>
    </row>
    <row r="152" spans="26:34" x14ac:dyDescent="0.25">
      <c r="Z152" s="1">
        <f t="shared" si="100"/>
        <v>-0.50649350649350655</v>
      </c>
      <c r="AB152">
        <f t="shared" si="101"/>
        <v>-0.23076923076923078</v>
      </c>
      <c r="AC152">
        <f t="shared" si="102"/>
        <v>0</v>
      </c>
    </row>
    <row r="153" spans="26:34" x14ac:dyDescent="0.25">
      <c r="Z153" s="1">
        <f t="shared" si="100"/>
        <v>-0.46376811594202899</v>
      </c>
      <c r="AB153">
        <f t="shared" si="101"/>
        <v>-0.22222222222222224</v>
      </c>
      <c r="AC153">
        <f t="shared" si="102"/>
        <v>-3.703703703703707E-2</v>
      </c>
    </row>
    <row r="154" spans="26:34" x14ac:dyDescent="0.25">
      <c r="Z154" s="1"/>
    </row>
    <row r="155" spans="26:34" x14ac:dyDescent="0.25">
      <c r="Z155" s="1"/>
    </row>
    <row r="156" spans="26:34" x14ac:dyDescent="0.25">
      <c r="Z156">
        <f>AVERAGE(Z138:Z155)</f>
        <v>-0.35617996701733923</v>
      </c>
      <c r="AB156">
        <f>AVERAGE(AB138:AC153)</f>
        <v>-0.1290411950860765</v>
      </c>
      <c r="AE156">
        <f>AVERAGE(AE138:AE155)</f>
        <v>-0.45686200312882558</v>
      </c>
    </row>
    <row r="160" spans="26:34" x14ac:dyDescent="0.25">
      <c r="AA160">
        <f>0.54/0.6-1</f>
        <v>-9.9999999999999867E-2</v>
      </c>
      <c r="AB160">
        <f>1.16</f>
        <v>1.1599999999999999</v>
      </c>
      <c r="AC160">
        <f>0.54/AB160</f>
        <v>0.46551724137931039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G169"/>
  <sheetViews>
    <sheetView tabSelected="1" topLeftCell="A13" zoomScale="85" zoomScaleNormal="85" workbookViewId="0">
      <selection activeCell="S28" sqref="S28"/>
    </sheetView>
  </sheetViews>
  <sheetFormatPr defaultRowHeight="15" x14ac:dyDescent="0.25"/>
  <cols>
    <col min="60" max="60" width="9.140625" customWidth="1"/>
  </cols>
  <sheetData>
    <row r="1" spans="1:111" x14ac:dyDescent="0.25">
      <c r="AJ1" s="1" t="s">
        <v>77</v>
      </c>
      <c r="AK1" s="1"/>
      <c r="AL1" s="1"/>
      <c r="AM1" s="5" t="s">
        <v>79</v>
      </c>
      <c r="AN1" s="5"/>
      <c r="AO1" s="5"/>
      <c r="AP1" s="5"/>
      <c r="AQ1" s="5"/>
      <c r="AR1" s="5"/>
      <c r="AS1" s="5"/>
      <c r="AT1" s="5"/>
      <c r="AU1" s="5"/>
      <c r="AW1" t="s">
        <v>80</v>
      </c>
      <c r="BA1" s="5" t="s">
        <v>80</v>
      </c>
      <c r="BB1" s="5"/>
      <c r="BC1" s="5"/>
      <c r="BD1" s="5"/>
      <c r="BE1" s="5"/>
      <c r="BF1" s="5"/>
      <c r="BI1" s="5" t="s">
        <v>86</v>
      </c>
      <c r="BJ1" s="5"/>
      <c r="BK1" s="5"/>
      <c r="BL1" s="5"/>
      <c r="BM1" s="5"/>
    </row>
    <row r="2" spans="1:111" x14ac:dyDescent="0.25">
      <c r="A2" s="1" t="s">
        <v>81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N2" s="1" t="s">
        <v>75</v>
      </c>
      <c r="O2" s="1"/>
      <c r="P2" s="1"/>
      <c r="Q2" s="1"/>
      <c r="R2" s="1"/>
      <c r="S2" s="1"/>
      <c r="T2" s="1"/>
      <c r="V2" s="1" t="s">
        <v>11</v>
      </c>
      <c r="W2" s="1"/>
      <c r="X2" s="1"/>
      <c r="Y2" s="1"/>
      <c r="Z2" s="1" t="s">
        <v>76</v>
      </c>
      <c r="AA2" s="1"/>
      <c r="AB2" s="1"/>
      <c r="AC2" s="1"/>
      <c r="AD2" s="1"/>
      <c r="AE2" s="1"/>
      <c r="AF2" s="1"/>
      <c r="AG2" s="1"/>
      <c r="AH2" s="1"/>
      <c r="AJ2" t="s">
        <v>78</v>
      </c>
      <c r="AK2" s="6" t="s">
        <v>61</v>
      </c>
      <c r="AL2" s="6" t="s">
        <v>60</v>
      </c>
      <c r="AM2" s="6"/>
      <c r="AN2" s="6" t="s">
        <v>61</v>
      </c>
      <c r="AO2" s="6"/>
      <c r="AP2" s="6" t="s">
        <v>61</v>
      </c>
      <c r="AQ2" s="6"/>
      <c r="AR2" s="6" t="s">
        <v>61</v>
      </c>
      <c r="AS2" s="1" t="s">
        <v>60</v>
      </c>
      <c r="AT2" s="1"/>
      <c r="AU2" s="1"/>
      <c r="AW2" s="1" t="s">
        <v>69</v>
      </c>
      <c r="AX2" s="1"/>
      <c r="AY2" s="1"/>
      <c r="BA2" s="1" t="s">
        <v>74</v>
      </c>
      <c r="BB2" s="1"/>
      <c r="BC2" s="1"/>
      <c r="BE2" s="7" t="s">
        <v>73</v>
      </c>
      <c r="BF2" s="7"/>
      <c r="BG2" s="6"/>
      <c r="BH2" s="6"/>
      <c r="BI2" s="1" t="s">
        <v>88</v>
      </c>
      <c r="BJ2" s="1"/>
      <c r="BK2" s="1"/>
      <c r="BL2" s="7"/>
      <c r="BM2" s="7" t="s">
        <v>89</v>
      </c>
      <c r="BO2" t="s">
        <v>170</v>
      </c>
      <c r="CG2">
        <v>0</v>
      </c>
      <c r="CH2">
        <v>0</v>
      </c>
      <c r="CJ2" t="s">
        <v>66</v>
      </c>
      <c r="CP2">
        <v>0</v>
      </c>
      <c r="CQ2">
        <v>0</v>
      </c>
      <c r="CY2">
        <v>0</v>
      </c>
      <c r="CZ2">
        <v>0</v>
      </c>
      <c r="DD2" s="1"/>
      <c r="DE2" s="1"/>
      <c r="DF2" s="1"/>
      <c r="DG2" s="1"/>
    </row>
    <row r="3" spans="1:111" x14ac:dyDescent="0.25">
      <c r="M3" t="s">
        <v>25</v>
      </c>
      <c r="N3">
        <v>0.25</v>
      </c>
      <c r="S3" t="s">
        <v>14</v>
      </c>
      <c r="T3" t="s">
        <v>49</v>
      </c>
      <c r="V3" t="s">
        <v>12</v>
      </c>
      <c r="W3" t="s">
        <v>13</v>
      </c>
      <c r="X3" t="s">
        <v>14</v>
      </c>
      <c r="Y3" t="s">
        <v>15</v>
      </c>
      <c r="AD3" t="s">
        <v>21</v>
      </c>
      <c r="AJ3" t="s">
        <v>53</v>
      </c>
      <c r="AK3" t="s">
        <v>51</v>
      </c>
      <c r="AL3" t="s">
        <v>52</v>
      </c>
      <c r="AN3" t="s">
        <v>57</v>
      </c>
      <c r="AP3" t="s">
        <v>58</v>
      </c>
      <c r="AR3" t="s">
        <v>59</v>
      </c>
      <c r="AS3" t="s">
        <v>57</v>
      </c>
      <c r="AT3" t="s">
        <v>58</v>
      </c>
      <c r="AU3" t="s">
        <v>59</v>
      </c>
      <c r="AW3" t="s">
        <v>49</v>
      </c>
      <c r="AX3" t="s">
        <v>30</v>
      </c>
      <c r="AY3" t="s">
        <v>35</v>
      </c>
      <c r="BA3" t="s">
        <v>50</v>
      </c>
      <c r="BB3" t="s">
        <v>31</v>
      </c>
      <c r="BC3" t="s">
        <v>36</v>
      </c>
      <c r="BE3" t="s">
        <v>122</v>
      </c>
      <c r="BF3" t="s">
        <v>123</v>
      </c>
      <c r="BI3" t="s">
        <v>87</v>
      </c>
      <c r="BJ3" s="6" t="s">
        <v>83</v>
      </c>
      <c r="BK3" s="6"/>
      <c r="BL3" t="s">
        <v>121</v>
      </c>
      <c r="BM3" t="s">
        <v>82</v>
      </c>
      <c r="BO3" t="s">
        <v>169</v>
      </c>
      <c r="BP3" t="s">
        <v>171</v>
      </c>
      <c r="CG3">
        <v>0.2</v>
      </c>
      <c r="CH3">
        <v>0.2</v>
      </c>
      <c r="CJ3" t="s">
        <v>67</v>
      </c>
      <c r="CP3">
        <v>2.5</v>
      </c>
      <c r="CQ3">
        <v>2.5</v>
      </c>
      <c r="CS3" t="s">
        <v>68</v>
      </c>
      <c r="CY3">
        <v>2.5</v>
      </c>
      <c r="CZ3">
        <v>2.5</v>
      </c>
    </row>
    <row r="4" spans="1:111" x14ac:dyDescent="0.25">
      <c r="A4" t="s">
        <v>0</v>
      </c>
      <c r="B4" t="s">
        <v>2</v>
      </c>
      <c r="C4" t="s">
        <v>3</v>
      </c>
      <c r="D4" t="s">
        <v>4</v>
      </c>
      <c r="E4" t="s">
        <v>5</v>
      </c>
      <c r="F4" t="s">
        <v>6</v>
      </c>
      <c r="G4" t="s">
        <v>7</v>
      </c>
      <c r="H4" t="s">
        <v>8</v>
      </c>
      <c r="I4" t="s">
        <v>9</v>
      </c>
      <c r="J4" t="s">
        <v>10</v>
      </c>
      <c r="K4" t="s">
        <v>29</v>
      </c>
      <c r="L4" t="s">
        <v>28</v>
      </c>
      <c r="N4" t="s">
        <v>24</v>
      </c>
      <c r="O4" t="s">
        <v>26</v>
      </c>
      <c r="P4" t="s">
        <v>27</v>
      </c>
      <c r="Q4" t="s">
        <v>12</v>
      </c>
      <c r="R4" t="s">
        <v>38</v>
      </c>
      <c r="X4" t="s">
        <v>22</v>
      </c>
      <c r="Y4" t="s">
        <v>16</v>
      </c>
      <c r="Z4" t="s">
        <v>17</v>
      </c>
      <c r="AA4" t="s">
        <v>18</v>
      </c>
      <c r="AB4" t="s">
        <v>19</v>
      </c>
      <c r="AC4" t="s">
        <v>20</v>
      </c>
      <c r="AD4" t="s">
        <v>16</v>
      </c>
      <c r="AE4" t="s">
        <v>17</v>
      </c>
      <c r="AF4" t="s">
        <v>18</v>
      </c>
      <c r="AG4" t="s">
        <v>19</v>
      </c>
      <c r="AH4" t="s">
        <v>20</v>
      </c>
      <c r="AX4" t="s">
        <v>16</v>
      </c>
      <c r="AY4" t="s">
        <v>16</v>
      </c>
      <c r="BA4" t="s">
        <v>70</v>
      </c>
      <c r="BB4" t="s">
        <v>71</v>
      </c>
      <c r="BC4" t="s">
        <v>72</v>
      </c>
      <c r="CS4" t="s">
        <v>67</v>
      </c>
      <c r="CV4" t="s">
        <v>84</v>
      </c>
    </row>
    <row r="5" spans="1:111" x14ac:dyDescent="0.25">
      <c r="A5">
        <v>1</v>
      </c>
      <c r="B5">
        <v>2</v>
      </c>
      <c r="C5">
        <v>3</v>
      </c>
      <c r="D5">
        <v>4</v>
      </c>
      <c r="E5">
        <v>5</v>
      </c>
      <c r="F5">
        <v>6</v>
      </c>
      <c r="G5">
        <v>7</v>
      </c>
      <c r="H5">
        <v>8</v>
      </c>
      <c r="I5">
        <v>9</v>
      </c>
      <c r="J5">
        <v>10</v>
      </c>
      <c r="W5">
        <v>1</v>
      </c>
      <c r="X5">
        <v>2</v>
      </c>
      <c r="Y5">
        <v>3</v>
      </c>
      <c r="Z5">
        <v>4</v>
      </c>
      <c r="AA5">
        <v>5</v>
      </c>
      <c r="AB5">
        <v>6</v>
      </c>
      <c r="AC5">
        <v>7</v>
      </c>
      <c r="AD5">
        <v>8</v>
      </c>
      <c r="AE5">
        <v>9</v>
      </c>
      <c r="AF5">
        <v>10</v>
      </c>
      <c r="AG5">
        <v>11</v>
      </c>
      <c r="AH5">
        <v>12</v>
      </c>
    </row>
    <row r="6" spans="1:111" x14ac:dyDescent="0.25">
      <c r="A6">
        <v>1.01</v>
      </c>
      <c r="B6" s="8">
        <v>0.3</v>
      </c>
      <c r="C6" s="8">
        <v>0.3</v>
      </c>
      <c r="D6" s="8">
        <v>0.13900000000000001</v>
      </c>
      <c r="E6" s="8">
        <v>0.14399999999999999</v>
      </c>
      <c r="F6" s="8">
        <v>0.17299999999999999</v>
      </c>
      <c r="G6" s="8">
        <v>1.62</v>
      </c>
      <c r="H6" s="8">
        <v>1.7</v>
      </c>
      <c r="I6" s="8">
        <v>2.21</v>
      </c>
      <c r="J6" s="8">
        <v>2.5099999999999998</v>
      </c>
      <c r="K6">
        <f>C6/E6</f>
        <v>2.0833333333333335</v>
      </c>
      <c r="L6">
        <f>2*PI()/9.81*E6/(I6^2)</f>
        <v>1.8883774501170784E-2</v>
      </c>
      <c r="N6">
        <f>$N$3/SQRT(L6)</f>
        <v>1.8192634978876578</v>
      </c>
      <c r="O6">
        <f>1.65*N6*E6</f>
        <v>0.43225700709810744</v>
      </c>
      <c r="P6">
        <f>EXP(-((SQRT(-LN(0.02))*C6/O6)^2))</f>
        <v>0.151928931844481</v>
      </c>
      <c r="Q6">
        <f>SQRT(9.81*E6^3)*0.067/SQRT($N$3)*N6*EXP(-4.75*C6/E6/N6)</f>
        <v>1.8115313670291592E-4</v>
      </c>
      <c r="R6">
        <f>0.84*G6*Q6/P6</f>
        <v>1.6225559242242699E-3</v>
      </c>
      <c r="S6" s="16">
        <f>R6*(-LN(0.02/P6))^(4/3)</f>
        <v>4.1642078451493746E-3</v>
      </c>
      <c r="T6" s="16">
        <f>S6/(E6^2)</f>
        <v>0.20082020858166352</v>
      </c>
      <c r="U6">
        <v>1</v>
      </c>
      <c r="W6" s="8">
        <v>0.19</v>
      </c>
      <c r="X6" s="8">
        <v>5.9</v>
      </c>
      <c r="Y6" s="8">
        <v>8.3000000000000007</v>
      </c>
      <c r="Z6" s="8">
        <v>6.5</v>
      </c>
      <c r="AA6" s="8">
        <v>3</v>
      </c>
      <c r="AB6" s="8">
        <v>2.6</v>
      </c>
      <c r="AC6" s="8">
        <v>2.2000000000000002</v>
      </c>
      <c r="AD6" s="8">
        <v>1.01</v>
      </c>
      <c r="AE6" s="8">
        <v>1.1100000000000001</v>
      </c>
      <c r="AF6" s="8">
        <v>1.64</v>
      </c>
      <c r="AG6" s="8">
        <v>1.83</v>
      </c>
      <c r="AH6" s="8">
        <v>1.83</v>
      </c>
      <c r="AJ6">
        <f t="shared" ref="AJ6:AJ23" si="0">0.2/E6</f>
        <v>1.3888888888888891</v>
      </c>
      <c r="AK6">
        <f>(Z6-Y6)/Y6</f>
        <v>-0.21686746987951813</v>
      </c>
      <c r="AL6">
        <f>(AE6-AD6)/AD6</f>
        <v>9.9009900990099098E-2</v>
      </c>
      <c r="AN6">
        <f>(AA6-Z6)/Z6</f>
        <v>-0.53846153846153844</v>
      </c>
      <c r="AP6">
        <f>(AB6-Z6)/Z6</f>
        <v>-0.6</v>
      </c>
      <c r="AR6">
        <f>(AC6-Z6)/Z6</f>
        <v>-0.66153846153846152</v>
      </c>
      <c r="AS6">
        <f>(AF6-AE6)/AE6</f>
        <v>0.47747747747747726</v>
      </c>
      <c r="AT6">
        <f>(AG6-AE6)/AE6</f>
        <v>0.64864864864864857</v>
      </c>
      <c r="AU6">
        <f>(AH6-AE6)/AE6</f>
        <v>0.64864864864864857</v>
      </c>
      <c r="AW6">
        <f>X6/1000/(E6^2)</f>
        <v>0.28452932098765438</v>
      </c>
      <c r="AX6">
        <f t="shared" ref="AX6:AX23" si="1">Y6/1000/E6</f>
        <v>5.7638888888888892E-2</v>
      </c>
      <c r="AY6">
        <f t="shared" ref="AY6:AY23" si="2">AD6/SQRT(9.81*E6)</f>
        <v>0.84977827519935634</v>
      </c>
      <c r="BA6">
        <f t="shared" ref="BA6:BA23" si="3">((O6-C6)/E6)^2</f>
        <v>0.84355304429730171</v>
      </c>
      <c r="BB6">
        <f t="shared" ref="BB6:BB23" si="4">(O6-C6)/E6</f>
        <v>0.91845143818130182</v>
      </c>
      <c r="BC6">
        <f t="shared" ref="BC6:BC23" si="5">SQRT((O6-C6)/E6)</f>
        <v>0.95835872103367525</v>
      </c>
      <c r="BE6">
        <f>S6*SIN(ATAN(0.25))/(O6-C6)/E6</f>
        <v>5.3030626098999015E-2</v>
      </c>
      <c r="BF6">
        <f>COS(ATAN(0.25))/E6*SQRT(S6/SIN(ATAN(0.25)))</f>
        <v>0.8827779318336455</v>
      </c>
      <c r="BI6">
        <f>Z6/1000/E6</f>
        <v>4.5138888888888888E-2</v>
      </c>
      <c r="BJ6">
        <f>AE6/SQRT(9.81*E6)</f>
        <v>0.93391473809038184</v>
      </c>
      <c r="BL6">
        <f>BE6*$CQ$42*($CB$80-$CB$81*0.2/E6)</f>
        <v>3.6856285138804318E-2</v>
      </c>
      <c r="BM6">
        <f>BF6*$CX$42*($BT$82-$BT$83*0.2/E6)</f>
        <v>0.69141129349948538</v>
      </c>
      <c r="BO6">
        <f>0.2/(9.81*(H6^2)/2/PI())</f>
        <v>4.4324415148581431E-2</v>
      </c>
      <c r="BP6">
        <f>BM6/BF28</f>
        <v>1.0305555555555557</v>
      </c>
    </row>
    <row r="7" spans="1:111" x14ac:dyDescent="0.25">
      <c r="A7">
        <v>1.02</v>
      </c>
      <c r="B7" s="8">
        <v>0.3</v>
      </c>
      <c r="C7" s="8">
        <v>0.3</v>
      </c>
      <c r="D7" s="8">
        <v>0.13300000000000001</v>
      </c>
      <c r="E7" s="8">
        <v>0.13900000000000001</v>
      </c>
      <c r="F7" s="8">
        <v>0.16400000000000001</v>
      </c>
      <c r="G7" s="8">
        <v>1.47</v>
      </c>
      <c r="H7" s="8">
        <v>1.55</v>
      </c>
      <c r="I7" s="8">
        <v>1.88</v>
      </c>
      <c r="J7" s="8">
        <v>2.02</v>
      </c>
      <c r="K7">
        <f t="shared" ref="K7:K23" si="6">C7/E7</f>
        <v>2.1582733812949639</v>
      </c>
      <c r="L7">
        <f t="shared" ref="L7:L23" si="7">2*PI()/9.81*E7/(I7^2)</f>
        <v>2.5188944105557727E-2</v>
      </c>
      <c r="N7">
        <f t="shared" ref="N7:N23" si="8">$N$3/SQRT(L7)</f>
        <v>1.5751975488156618</v>
      </c>
      <c r="O7">
        <f t="shared" ref="O7:O23" si="9">1.65*N7*E7</f>
        <v>0.361271557820872</v>
      </c>
      <c r="P7">
        <f t="shared" ref="P7:P23" si="10">EXP(-((SQRT(-LN(0.02))*C7/O7)^2))</f>
        <v>6.7367496375903058E-2</v>
      </c>
      <c r="Q7">
        <f t="shared" ref="Q7:Q23" si="11">SQRT(9.81*E7^3)*0.067/SQRT($N$3)*N7*EXP(-4.75*C7/E7/N7)</f>
        <v>5.1085094136272158E-5</v>
      </c>
      <c r="R7">
        <f t="shared" ref="R7:R23" si="12">0.84*G7*Q7/P7</f>
        <v>9.3635473533839307E-4</v>
      </c>
      <c r="S7" s="16">
        <f t="shared" ref="S7:S23" si="13">R7*(-LN(0.02/P7))^(4/3)</f>
        <v>1.2132135187297036E-3</v>
      </c>
      <c r="T7" s="16">
        <f t="shared" ref="T7:T23" si="14">S7/(E7^2)</f>
        <v>6.2792480654712657E-2</v>
      </c>
      <c r="U7">
        <v>2</v>
      </c>
      <c r="W7" s="8">
        <v>0.05</v>
      </c>
      <c r="X7" s="11"/>
      <c r="Y7" s="8">
        <v>2.7</v>
      </c>
      <c r="Z7" s="8">
        <v>1.5</v>
      </c>
      <c r="AA7" s="11"/>
      <c r="AB7" s="11"/>
      <c r="AC7" s="11"/>
      <c r="AD7" s="11"/>
      <c r="AE7" s="11"/>
      <c r="AF7" s="11"/>
      <c r="AG7" s="11"/>
      <c r="AH7" s="11"/>
      <c r="AJ7">
        <f t="shared" si="0"/>
        <v>1.4388489208633093</v>
      </c>
      <c r="AK7">
        <f t="shared" ref="AK7:AK23" si="15">(Z7-Y7)/Y7</f>
        <v>-0.44444444444444448</v>
      </c>
      <c r="AX7">
        <f t="shared" si="1"/>
        <v>1.9424460431654675E-2</v>
      </c>
      <c r="BA7">
        <f t="shared" si="3"/>
        <v>0.19430690946620061</v>
      </c>
      <c r="BB7">
        <f t="shared" si="4"/>
        <v>0.44080257425087777</v>
      </c>
      <c r="BC7">
        <f t="shared" si="5"/>
        <v>0.66392964555807998</v>
      </c>
      <c r="BE7">
        <f t="shared" ref="BE7:BE22" si="16">S7*SIN(ATAN(0.25))/(O7-C7)/E7</f>
        <v>3.4549284493300018E-2</v>
      </c>
      <c r="BF7">
        <f t="shared" ref="BF7:BF23" si="17">COS(ATAN(0.25))/E7*SQRT(S7/SIN(ATAN(0.25)))</f>
        <v>0.49363004030423568</v>
      </c>
      <c r="BI7">
        <f t="shared" ref="BI7:BI23" si="18">Z7/1000/E7</f>
        <v>1.0791366906474819E-2</v>
      </c>
    </row>
    <row r="8" spans="1:111" x14ac:dyDescent="0.25">
      <c r="A8">
        <v>1.03</v>
      </c>
      <c r="B8" s="8">
        <v>0.35</v>
      </c>
      <c r="C8" s="8">
        <v>0.25</v>
      </c>
      <c r="D8" s="8">
        <v>0.14699999999999999</v>
      </c>
      <c r="E8" s="8">
        <v>0.15</v>
      </c>
      <c r="F8" s="8">
        <v>0.184</v>
      </c>
      <c r="G8" s="8">
        <v>1.67</v>
      </c>
      <c r="H8" s="8">
        <v>1.76</v>
      </c>
      <c r="I8" s="8">
        <v>2.16</v>
      </c>
      <c r="J8" s="8">
        <v>2.5</v>
      </c>
      <c r="K8">
        <f t="shared" si="6"/>
        <v>1.6666666666666667</v>
      </c>
      <c r="L8">
        <f t="shared" si="7"/>
        <v>2.0591814522151541E-2</v>
      </c>
      <c r="N8">
        <f t="shared" si="8"/>
        <v>1.742178700342196</v>
      </c>
      <c r="O8">
        <f t="shared" si="9"/>
        <v>0.43118922833469348</v>
      </c>
      <c r="P8">
        <f t="shared" si="10"/>
        <v>0.26845818016256462</v>
      </c>
      <c r="Q8">
        <f t="shared" si="11"/>
        <v>4.515265060702662E-4</v>
      </c>
      <c r="R8">
        <f t="shared" si="12"/>
        <v>2.3594042928094562E-3</v>
      </c>
      <c r="S8" s="16">
        <f t="shared" si="13"/>
        <v>8.4221573970245604E-3</v>
      </c>
      <c r="T8" s="16">
        <f t="shared" si="14"/>
        <v>0.37431810653442493</v>
      </c>
      <c r="U8">
        <v>3</v>
      </c>
      <c r="W8" s="8">
        <v>0.3</v>
      </c>
      <c r="X8" s="8">
        <v>10.9</v>
      </c>
      <c r="Y8" s="8">
        <v>15</v>
      </c>
      <c r="Z8" s="8">
        <v>12.6</v>
      </c>
      <c r="AA8" s="8">
        <v>7.3</v>
      </c>
      <c r="AB8" s="8">
        <v>5.7</v>
      </c>
      <c r="AC8" s="8">
        <v>4.3</v>
      </c>
      <c r="AD8" s="8">
        <v>1.44</v>
      </c>
      <c r="AE8" s="8">
        <v>1.4</v>
      </c>
      <c r="AF8" s="8">
        <v>1.92</v>
      </c>
      <c r="AG8" s="8">
        <v>2.4700000000000002</v>
      </c>
      <c r="AH8" s="8">
        <v>2.61</v>
      </c>
      <c r="AJ8">
        <f t="shared" si="0"/>
        <v>1.3333333333333335</v>
      </c>
      <c r="AK8">
        <f t="shared" si="15"/>
        <v>-0.16000000000000003</v>
      </c>
      <c r="AL8">
        <f t="shared" ref="AL8:AL23" si="19">(AE8-AD8)/AD8</f>
        <v>-2.7777777777777804E-2</v>
      </c>
      <c r="AN8">
        <f t="shared" ref="AN8:AN23" si="20">(AA8-Z8)/Z8</f>
        <v>-0.42063492063492064</v>
      </c>
      <c r="AP8">
        <f t="shared" ref="AP8:AP23" si="21">(AB8-Z8)/Z8</f>
        <v>-0.54761904761904756</v>
      </c>
      <c r="AR8">
        <f t="shared" ref="AR8:AR23" si="22">(AC8-Z8)/Z8</f>
        <v>-0.65873015873015883</v>
      </c>
      <c r="AS8">
        <f>(AF8-AE8)/AE8</f>
        <v>0.37142857142857144</v>
      </c>
      <c r="AT8">
        <f>(AG8-AE8)/AE8</f>
        <v>0.76428571428571457</v>
      </c>
      <c r="AU8">
        <f>(AH8-AE8)/AE8</f>
        <v>0.86428571428571432</v>
      </c>
      <c r="AW8">
        <f t="shared" ref="AW8:AW23" si="23">X8/1000/(E8^2)</f>
        <v>0.48444444444444446</v>
      </c>
      <c r="AX8">
        <f t="shared" si="1"/>
        <v>0.1</v>
      </c>
      <c r="AY8">
        <f t="shared" si="2"/>
        <v>1.187086480390795</v>
      </c>
      <c r="BA8">
        <f t="shared" si="3"/>
        <v>1.4590905095342972</v>
      </c>
      <c r="BB8">
        <f t="shared" si="4"/>
        <v>1.2079281888979565</v>
      </c>
      <c r="BC8">
        <f t="shared" si="5"/>
        <v>1.0990578642173288</v>
      </c>
      <c r="BE8">
        <f t="shared" si="16"/>
        <v>7.5158007541467189E-2</v>
      </c>
      <c r="BF8">
        <f t="shared" si="17"/>
        <v>1.2052251303768498</v>
      </c>
      <c r="BI8">
        <f t="shared" si="18"/>
        <v>8.4000000000000005E-2</v>
      </c>
      <c r="BJ8">
        <f t="shared" ref="BJ8:BJ23" si="24">AE8/SQRT(9.81*E8)</f>
        <v>1.1541118559354953</v>
      </c>
      <c r="BL8">
        <f t="shared" ref="BL8:BL23" si="25">BE8*$CQ$42*($CB$80-$CB$81*0.2/E8)</f>
        <v>5.230997324886117E-2</v>
      </c>
      <c r="BM8">
        <f t="shared" ref="BM8:BM23" si="26">BF8*$CX$42*($BT$82-$BT$83*0.2/E8)</f>
        <v>0.94650346905595284</v>
      </c>
      <c r="BO8">
        <f t="shared" ref="BO8:BO23" si="27">0.2/(9.81*(H8^2)/2/PI())</f>
        <v>4.1353809329610129E-2</v>
      </c>
      <c r="BP8">
        <f t="shared" ref="BP8:BP23" si="28">BM8/BF30</f>
        <v>1.0333333333333334</v>
      </c>
    </row>
    <row r="9" spans="1:111" x14ac:dyDescent="0.25">
      <c r="A9">
        <v>1.04</v>
      </c>
      <c r="B9" s="8">
        <v>0.35</v>
      </c>
      <c r="C9" s="8">
        <v>0.25</v>
      </c>
      <c r="D9" s="8">
        <v>0.13700000000000001</v>
      </c>
      <c r="E9" s="8">
        <v>0.14199999999999999</v>
      </c>
      <c r="F9" s="8">
        <v>0.17399999999999999</v>
      </c>
      <c r="G9" s="8">
        <v>1.48</v>
      </c>
      <c r="H9" s="8">
        <v>1.57</v>
      </c>
      <c r="I9" s="8">
        <v>1.84</v>
      </c>
      <c r="J9" s="8">
        <v>2</v>
      </c>
      <c r="K9">
        <f t="shared" si="6"/>
        <v>1.7605633802816902</v>
      </c>
      <c r="L9">
        <f t="shared" si="7"/>
        <v>2.6863559618198904E-2</v>
      </c>
      <c r="N9">
        <f t="shared" si="8"/>
        <v>1.5253103915254962</v>
      </c>
      <c r="O9">
        <f t="shared" si="9"/>
        <v>0.35738022473442371</v>
      </c>
      <c r="P9">
        <f t="shared" si="10"/>
        <v>0.14743826007013819</v>
      </c>
      <c r="Q9">
        <f t="shared" si="11"/>
        <v>1.4245066209444979E-4</v>
      </c>
      <c r="R9">
        <f t="shared" si="12"/>
        <v>1.2011445538734238E-3</v>
      </c>
      <c r="S9" s="16">
        <f t="shared" si="13"/>
        <v>3.02200866301779E-3</v>
      </c>
      <c r="T9" s="16">
        <f t="shared" si="14"/>
        <v>0.14987148695783528</v>
      </c>
      <c r="U9">
        <v>4</v>
      </c>
      <c r="W9" s="8">
        <v>0.13</v>
      </c>
      <c r="X9" s="8">
        <v>4.37</v>
      </c>
      <c r="Y9" s="8">
        <v>6.1</v>
      </c>
      <c r="Z9" s="8">
        <v>4.9000000000000004</v>
      </c>
      <c r="AA9" s="8">
        <v>1.9</v>
      </c>
      <c r="AB9" s="8">
        <v>2</v>
      </c>
      <c r="AC9" s="8">
        <v>1.7</v>
      </c>
      <c r="AD9" s="8">
        <v>0.67</v>
      </c>
      <c r="AE9" s="8">
        <v>0.89</v>
      </c>
      <c r="AF9" s="11"/>
      <c r="AG9" s="11"/>
      <c r="AH9" s="11"/>
      <c r="AJ9">
        <f t="shared" si="0"/>
        <v>1.4084507042253522</v>
      </c>
      <c r="AK9">
        <f t="shared" si="15"/>
        <v>-0.19672131147540972</v>
      </c>
      <c r="AL9">
        <f t="shared" si="19"/>
        <v>0.32835820895522383</v>
      </c>
      <c r="AN9">
        <f t="shared" si="20"/>
        <v>-0.61224489795918369</v>
      </c>
      <c r="AP9">
        <f t="shared" si="21"/>
        <v>-0.59183673469387754</v>
      </c>
      <c r="AR9">
        <f t="shared" si="22"/>
        <v>-0.65306122448979587</v>
      </c>
      <c r="AW9">
        <f t="shared" si="23"/>
        <v>0.21672287244594327</v>
      </c>
      <c r="AX9">
        <f t="shared" si="1"/>
        <v>4.2957746478873238E-2</v>
      </c>
      <c r="AY9">
        <f t="shared" si="2"/>
        <v>0.56767023973780406</v>
      </c>
      <c r="BA9">
        <f t="shared" si="3"/>
        <v>0.57183657329970961</v>
      </c>
      <c r="BB9">
        <f t="shared" si="4"/>
        <v>0.75619876573537836</v>
      </c>
      <c r="BC9">
        <f t="shared" si="5"/>
        <v>0.86959689841637455</v>
      </c>
      <c r="BE9">
        <f t="shared" si="16"/>
        <v>4.8068281001615802E-2</v>
      </c>
      <c r="BF9">
        <f t="shared" si="17"/>
        <v>0.76261838178153774</v>
      </c>
      <c r="BI9">
        <f t="shared" si="18"/>
        <v>3.4507042253521136E-2</v>
      </c>
      <c r="BJ9">
        <f t="shared" si="24"/>
        <v>0.75406942293529189</v>
      </c>
      <c r="BL9">
        <f t="shared" si="25"/>
        <v>3.3390529845066082E-2</v>
      </c>
      <c r="BM9">
        <f t="shared" si="26"/>
        <v>0.59673277208810027</v>
      </c>
      <c r="BO9">
        <f t="shared" si="27"/>
        <v>5.1968663953669648E-2</v>
      </c>
      <c r="BP9">
        <f t="shared" si="28"/>
        <v>1.0295774647887326</v>
      </c>
    </row>
    <row r="10" spans="1:111" x14ac:dyDescent="0.25">
      <c r="A10">
        <v>1.05</v>
      </c>
      <c r="B10" s="8">
        <v>0.4</v>
      </c>
      <c r="C10" s="8">
        <v>0.2</v>
      </c>
      <c r="D10" s="8">
        <v>0.15</v>
      </c>
      <c r="E10" s="8">
        <v>0.153</v>
      </c>
      <c r="F10" s="8">
        <v>0.191</v>
      </c>
      <c r="G10" s="8">
        <v>1.67</v>
      </c>
      <c r="H10" s="8">
        <v>1.79</v>
      </c>
      <c r="I10" s="8">
        <v>2.14</v>
      </c>
      <c r="J10" s="8">
        <v>2.4900000000000002</v>
      </c>
      <c r="K10">
        <f t="shared" si="6"/>
        <v>1.3071895424836601</v>
      </c>
      <c r="L10">
        <f t="shared" si="7"/>
        <v>2.1398076956773787E-2</v>
      </c>
      <c r="N10">
        <f t="shared" si="8"/>
        <v>1.7090416080926201</v>
      </c>
      <c r="O10">
        <f t="shared" si="9"/>
        <v>0.4314475539629819</v>
      </c>
      <c r="P10">
        <f t="shared" si="10"/>
        <v>0.43143822704997298</v>
      </c>
      <c r="Q10">
        <f t="shared" si="11"/>
        <v>1.1347125505600829E-3</v>
      </c>
      <c r="R10">
        <f t="shared" si="12"/>
        <v>3.6894615871423718E-3</v>
      </c>
      <c r="S10" s="16">
        <f t="shared" si="13"/>
        <v>1.6471886364507006E-2</v>
      </c>
      <c r="T10" s="16">
        <f t="shared" si="14"/>
        <v>0.70365613074061284</v>
      </c>
      <c r="U10">
        <v>5</v>
      </c>
      <c r="W10" s="8">
        <v>0.51</v>
      </c>
      <c r="X10" s="8">
        <v>20.329999999999998</v>
      </c>
      <c r="Y10" s="8">
        <v>26.1</v>
      </c>
      <c r="Z10" s="8">
        <v>20.9</v>
      </c>
      <c r="AA10" s="8">
        <v>13.3</v>
      </c>
      <c r="AB10" s="8">
        <v>11.4</v>
      </c>
      <c r="AC10" s="8">
        <v>8.3000000000000007</v>
      </c>
      <c r="AD10" s="8">
        <v>1.78</v>
      </c>
      <c r="AE10" s="8">
        <v>1.57</v>
      </c>
      <c r="AF10" s="8">
        <v>2.09</v>
      </c>
      <c r="AG10" s="8">
        <v>2.76</v>
      </c>
      <c r="AH10" s="8">
        <v>2.93</v>
      </c>
      <c r="AJ10">
        <f t="shared" si="0"/>
        <v>1.3071895424836601</v>
      </c>
      <c r="AK10">
        <f t="shared" si="15"/>
        <v>-0.19923371647509588</v>
      </c>
      <c r="AL10">
        <f t="shared" si="19"/>
        <v>-0.11797752808988762</v>
      </c>
      <c r="AN10">
        <f t="shared" si="20"/>
        <v>-0.36363636363636354</v>
      </c>
      <c r="AP10">
        <f t="shared" si="21"/>
        <v>-0.45454545454545447</v>
      </c>
      <c r="AR10">
        <f t="shared" si="22"/>
        <v>-0.60287081339712911</v>
      </c>
      <c r="AS10">
        <f>(AF10-AE10)/AE10</f>
        <v>0.33121019108280242</v>
      </c>
      <c r="AT10">
        <f t="shared" ref="AT10:AT21" si="29">(AG10-AE10)/AE10</f>
        <v>0.75796178343949028</v>
      </c>
      <c r="AU10">
        <f>(AH10-AE10)/AE10</f>
        <v>0.86624203821656054</v>
      </c>
      <c r="AW10">
        <f t="shared" si="23"/>
        <v>0.86846939211414409</v>
      </c>
      <c r="AX10">
        <f t="shared" si="1"/>
        <v>0.17058823529411765</v>
      </c>
      <c r="AY10">
        <f t="shared" si="2"/>
        <v>1.4529135806322204</v>
      </c>
      <c r="BA10">
        <f t="shared" si="3"/>
        <v>2.2883493628710077</v>
      </c>
      <c r="BB10">
        <f t="shared" si="4"/>
        <v>1.5127291108691627</v>
      </c>
      <c r="BC10">
        <f t="shared" si="5"/>
        <v>1.2299305309118733</v>
      </c>
      <c r="BE10">
        <f t="shared" si="16"/>
        <v>0.1128170789162415</v>
      </c>
      <c r="BF10">
        <f t="shared" si="17"/>
        <v>1.6524487500909535</v>
      </c>
      <c r="BI10">
        <f t="shared" si="18"/>
        <v>0.13660130718954247</v>
      </c>
      <c r="BJ10">
        <f t="shared" si="24"/>
        <v>1.2815024278610034</v>
      </c>
      <c r="BL10">
        <f t="shared" si="25"/>
        <v>7.8573777315782314E-2</v>
      </c>
      <c r="BM10">
        <f t="shared" si="26"/>
        <v>1.2993647335028919</v>
      </c>
      <c r="BO10">
        <f t="shared" si="27"/>
        <v>3.9979263999063798E-2</v>
      </c>
      <c r="BP10">
        <f t="shared" si="28"/>
        <v>1.0346405228758171</v>
      </c>
    </row>
    <row r="11" spans="1:111" x14ac:dyDescent="0.25">
      <c r="A11">
        <v>1.06</v>
      </c>
      <c r="B11" s="8">
        <v>0.4</v>
      </c>
      <c r="C11" s="8">
        <v>0.2</v>
      </c>
      <c r="D11" s="8">
        <v>0.14000000000000001</v>
      </c>
      <c r="E11" s="8">
        <v>0.14499999999999999</v>
      </c>
      <c r="F11" s="8">
        <v>0.183</v>
      </c>
      <c r="G11" s="8">
        <v>1.48</v>
      </c>
      <c r="H11" s="8">
        <v>1.57</v>
      </c>
      <c r="I11" s="8">
        <v>1.79</v>
      </c>
      <c r="J11" s="8">
        <v>1.99</v>
      </c>
      <c r="K11">
        <f t="shared" si="6"/>
        <v>1.3793103448275863</v>
      </c>
      <c r="L11">
        <f t="shared" si="7"/>
        <v>2.8984966399321254E-2</v>
      </c>
      <c r="N11">
        <f t="shared" si="8"/>
        <v>1.4684312155158106</v>
      </c>
      <c r="O11">
        <f t="shared" si="9"/>
        <v>0.35132216831215762</v>
      </c>
      <c r="P11">
        <f t="shared" si="10"/>
        <v>0.28145051352325856</v>
      </c>
      <c r="Q11">
        <f t="shared" si="11"/>
        <v>3.9277691328853866E-4</v>
      </c>
      <c r="R11">
        <f t="shared" si="12"/>
        <v>1.7349417930977019E-3</v>
      </c>
      <c r="S11" s="16">
        <f t="shared" si="13"/>
        <v>6.3437975083640921E-3</v>
      </c>
      <c r="T11" s="16">
        <f t="shared" si="14"/>
        <v>0.30172639754407099</v>
      </c>
      <c r="U11">
        <v>6</v>
      </c>
      <c r="W11" s="8">
        <v>0.27</v>
      </c>
      <c r="X11" s="8">
        <v>7.94</v>
      </c>
      <c r="Y11" s="8">
        <v>12.9</v>
      </c>
      <c r="Z11" s="8">
        <v>9.5</v>
      </c>
      <c r="AA11" s="8">
        <v>4.4000000000000004</v>
      </c>
      <c r="AB11" s="8">
        <v>3.8</v>
      </c>
      <c r="AC11" s="8">
        <v>3.6</v>
      </c>
      <c r="AD11" s="8">
        <v>1.1399999999999999</v>
      </c>
      <c r="AE11" s="8">
        <v>1.22</v>
      </c>
      <c r="AF11" s="8">
        <v>1.86</v>
      </c>
      <c r="AG11" s="8">
        <v>2.2400000000000002</v>
      </c>
      <c r="AH11" s="8">
        <v>2.2200000000000002</v>
      </c>
      <c r="AJ11">
        <f t="shared" si="0"/>
        <v>1.3793103448275863</v>
      </c>
      <c r="AK11">
        <f t="shared" si="15"/>
        <v>-0.26356589147286824</v>
      </c>
      <c r="AL11">
        <f t="shared" si="19"/>
        <v>7.0175438596491294E-2</v>
      </c>
      <c r="AN11">
        <f t="shared" si="20"/>
        <v>-0.5368421052631579</v>
      </c>
      <c r="AP11">
        <f t="shared" si="21"/>
        <v>-0.6</v>
      </c>
      <c r="AR11">
        <f t="shared" si="22"/>
        <v>-0.62105263157894741</v>
      </c>
      <c r="AS11">
        <f>(AF11-AE11)/AE11</f>
        <v>0.52459016393442637</v>
      </c>
      <c r="AT11">
        <f t="shared" si="29"/>
        <v>0.83606557377049207</v>
      </c>
      <c r="AU11">
        <f>(AH11-AE11)/AE11</f>
        <v>0.81967213114754123</v>
      </c>
      <c r="AW11">
        <f t="shared" si="23"/>
        <v>0.37764565992865645</v>
      </c>
      <c r="AX11">
        <f t="shared" si="1"/>
        <v>8.8965517241379313E-2</v>
      </c>
      <c r="AY11">
        <f t="shared" si="2"/>
        <v>0.9558425213686812</v>
      </c>
      <c r="BA11">
        <f t="shared" si="3"/>
        <v>1.0891033827677981</v>
      </c>
      <c r="BB11">
        <f t="shared" si="4"/>
        <v>1.0436011607735007</v>
      </c>
      <c r="BC11">
        <f t="shared" si="5"/>
        <v>1.0215679912631859</v>
      </c>
      <c r="BE11">
        <f t="shared" si="16"/>
        <v>7.0121999829966572E-2</v>
      </c>
      <c r="BF11">
        <f t="shared" si="17"/>
        <v>1.0820676534732001</v>
      </c>
      <c r="BI11">
        <f t="shared" si="18"/>
        <v>6.5517241379310351E-2</v>
      </c>
      <c r="BJ11">
        <f t="shared" si="24"/>
        <v>1.0229191895349043</v>
      </c>
      <c r="BL11">
        <f t="shared" si="25"/>
        <v>4.8746879881797454E-2</v>
      </c>
      <c r="BM11">
        <f t="shared" si="26"/>
        <v>0.84789328819051735</v>
      </c>
      <c r="BO11">
        <f t="shared" si="27"/>
        <v>5.1968663953669648E-2</v>
      </c>
      <c r="BP11">
        <f t="shared" si="28"/>
        <v>1.0310344827586209</v>
      </c>
    </row>
    <row r="12" spans="1:111" x14ac:dyDescent="0.25">
      <c r="A12">
        <v>1.07</v>
      </c>
      <c r="B12" s="8">
        <v>0.4</v>
      </c>
      <c r="C12" s="8">
        <v>0.2</v>
      </c>
      <c r="D12" s="8">
        <v>0.13500000000000001</v>
      </c>
      <c r="E12" s="8">
        <v>0.13800000000000001</v>
      </c>
      <c r="F12" s="8">
        <v>0.17499999999999999</v>
      </c>
      <c r="G12" s="8">
        <v>1.34</v>
      </c>
      <c r="H12" s="8">
        <v>1.39</v>
      </c>
      <c r="I12" s="8">
        <v>1.51</v>
      </c>
      <c r="J12" s="8">
        <v>1.59</v>
      </c>
      <c r="K12">
        <f t="shared" si="6"/>
        <v>1.4492753623188406</v>
      </c>
      <c r="L12">
        <f t="shared" si="7"/>
        <v>3.8764666570670687E-2</v>
      </c>
      <c r="N12">
        <f t="shared" si="8"/>
        <v>1.2697609954530076</v>
      </c>
      <c r="O12">
        <f t="shared" si="9"/>
        <v>0.28912457866464986</v>
      </c>
      <c r="P12">
        <f t="shared" si="10"/>
        <v>0.15382532229544876</v>
      </c>
      <c r="Q12">
        <f t="shared" si="11"/>
        <v>1.2076350568554916E-4</v>
      </c>
      <c r="R12">
        <f t="shared" si="12"/>
        <v>8.8367376691448631E-4</v>
      </c>
      <c r="S12" s="16">
        <f t="shared" si="13"/>
        <v>2.2864222110272345E-3</v>
      </c>
      <c r="T12" s="16">
        <f t="shared" si="14"/>
        <v>0.12005997747464998</v>
      </c>
      <c r="U12">
        <v>7</v>
      </c>
      <c r="W12" s="8">
        <v>0.14000000000000001</v>
      </c>
      <c r="X12" s="8">
        <v>3.62</v>
      </c>
      <c r="Y12" s="8">
        <v>6.4</v>
      </c>
      <c r="Z12" s="8">
        <v>4.5</v>
      </c>
      <c r="AA12" s="8">
        <v>1.7</v>
      </c>
      <c r="AB12" s="8">
        <v>2.2000000000000002</v>
      </c>
      <c r="AC12" s="8">
        <v>1.4</v>
      </c>
      <c r="AD12" s="8">
        <v>0.54</v>
      </c>
      <c r="AE12" s="8">
        <v>0.8</v>
      </c>
      <c r="AF12" s="11"/>
      <c r="AG12" s="8">
        <v>1.22</v>
      </c>
      <c r="AH12" s="11"/>
      <c r="AJ12">
        <f t="shared" si="0"/>
        <v>1.4492753623188406</v>
      </c>
      <c r="AK12">
        <f t="shared" si="15"/>
        <v>-0.29687500000000006</v>
      </c>
      <c r="AL12">
        <f t="shared" si="19"/>
        <v>0.48148148148148145</v>
      </c>
      <c r="AN12">
        <f t="shared" si="20"/>
        <v>-0.62222222222222223</v>
      </c>
      <c r="AP12">
        <f t="shared" si="21"/>
        <v>-0.51111111111111107</v>
      </c>
      <c r="AR12">
        <f t="shared" si="22"/>
        <v>-0.68888888888888888</v>
      </c>
      <c r="AT12">
        <f t="shared" si="29"/>
        <v>0.52499999999999991</v>
      </c>
      <c r="AW12">
        <f t="shared" si="23"/>
        <v>0.19008611636210879</v>
      </c>
      <c r="AX12">
        <f t="shared" si="1"/>
        <v>4.6376811594202899E-2</v>
      </c>
      <c r="AY12">
        <f t="shared" si="2"/>
        <v>0.46410870355080341</v>
      </c>
      <c r="BA12">
        <f t="shared" si="3"/>
        <v>0.41709675079559738</v>
      </c>
      <c r="BB12">
        <f t="shared" si="4"/>
        <v>0.64583028017862198</v>
      </c>
      <c r="BC12">
        <f t="shared" si="5"/>
        <v>0.80363566382946316</v>
      </c>
      <c r="BE12">
        <f t="shared" si="16"/>
        <v>4.5087420909729843E-2</v>
      </c>
      <c r="BF12">
        <f t="shared" si="17"/>
        <v>0.68256951796765475</v>
      </c>
      <c r="BI12">
        <f t="shared" si="18"/>
        <v>3.2608695652173905E-2</v>
      </c>
      <c r="BJ12">
        <f t="shared" si="24"/>
        <v>0.68756844970489395</v>
      </c>
      <c r="BL12">
        <f t="shared" si="25"/>
        <v>3.1286749466056016E-2</v>
      </c>
      <c r="BM12">
        <f t="shared" si="26"/>
        <v>0.53303733197346526</v>
      </c>
      <c r="BO12">
        <f t="shared" si="27"/>
        <v>6.6299653112882537E-2</v>
      </c>
      <c r="BP12">
        <f t="shared" si="28"/>
        <v>1.027536231884058</v>
      </c>
    </row>
    <row r="13" spans="1:111" x14ac:dyDescent="0.25">
      <c r="A13">
        <v>1.08</v>
      </c>
      <c r="B13" s="8">
        <v>0.45</v>
      </c>
      <c r="C13" s="8">
        <v>0.15</v>
      </c>
      <c r="D13" s="8">
        <v>0.14299999999999999</v>
      </c>
      <c r="E13" s="8">
        <v>0.14699999999999999</v>
      </c>
      <c r="F13" s="8">
        <v>0.189</v>
      </c>
      <c r="G13" s="8">
        <v>1.5</v>
      </c>
      <c r="H13" s="8">
        <v>1.6</v>
      </c>
      <c r="I13" s="8">
        <v>1.78</v>
      </c>
      <c r="J13" s="8">
        <v>1.98</v>
      </c>
      <c r="K13">
        <f t="shared" si="6"/>
        <v>1.0204081632653061</v>
      </c>
      <c r="L13">
        <f t="shared" si="7"/>
        <v>2.9715852303326355E-2</v>
      </c>
      <c r="N13">
        <f t="shared" si="8"/>
        <v>1.4502601481681909</v>
      </c>
      <c r="O13">
        <f t="shared" si="9"/>
        <v>0.35176059893819467</v>
      </c>
      <c r="P13">
        <f t="shared" si="10"/>
        <v>0.49097594101940695</v>
      </c>
      <c r="Q13">
        <f t="shared" si="11"/>
        <v>1.2131048587567912E-3</v>
      </c>
      <c r="R13">
        <f t="shared" si="12"/>
        <v>3.1132118589353424E-3</v>
      </c>
      <c r="S13" s="16">
        <f t="shared" si="13"/>
        <v>1.4684593044313937E-2</v>
      </c>
      <c r="T13" s="16">
        <f t="shared" si="14"/>
        <v>0.67955912093636628</v>
      </c>
      <c r="U13">
        <v>8</v>
      </c>
      <c r="W13" s="8">
        <v>0.5</v>
      </c>
      <c r="X13" s="8">
        <v>12.81</v>
      </c>
      <c r="Y13" s="8">
        <v>20.6</v>
      </c>
      <c r="Z13" s="8">
        <v>15.7</v>
      </c>
      <c r="AA13" s="8">
        <v>8.6</v>
      </c>
      <c r="AB13" s="8">
        <v>6.4</v>
      </c>
      <c r="AC13" s="8">
        <v>5.5</v>
      </c>
      <c r="AD13" s="8">
        <v>1.57</v>
      </c>
      <c r="AE13" s="8">
        <v>1.44</v>
      </c>
      <c r="AF13" s="8">
        <v>1.99</v>
      </c>
      <c r="AG13" s="8">
        <v>2.61</v>
      </c>
      <c r="AH13" s="8">
        <v>2.62</v>
      </c>
      <c r="AJ13">
        <f t="shared" si="0"/>
        <v>1.360544217687075</v>
      </c>
      <c r="AK13">
        <f t="shared" si="15"/>
        <v>-0.237864077669903</v>
      </c>
      <c r="AL13">
        <f t="shared" si="19"/>
        <v>-8.2802547770700702E-2</v>
      </c>
      <c r="AN13">
        <f t="shared" si="20"/>
        <v>-0.45222929936305734</v>
      </c>
      <c r="AP13">
        <f t="shared" si="21"/>
        <v>-0.59235668789808915</v>
      </c>
      <c r="AR13">
        <f t="shared" si="22"/>
        <v>-0.64968152866242035</v>
      </c>
      <c r="AS13">
        <f t="shared" ref="AS13:AS22" si="30">(AF13-AE13)/AE13</f>
        <v>0.38194444444444448</v>
      </c>
      <c r="AT13">
        <f t="shared" si="29"/>
        <v>0.8125</v>
      </c>
      <c r="AU13">
        <f t="shared" ref="AU13:AU21" si="31">(AH13-AE13)/AE13</f>
        <v>0.81944444444444453</v>
      </c>
      <c r="AW13">
        <f t="shared" si="23"/>
        <v>0.5928085519922256</v>
      </c>
      <c r="AX13">
        <f t="shared" si="1"/>
        <v>0.14013605442176871</v>
      </c>
      <c r="AY13">
        <f t="shared" si="2"/>
        <v>1.3073939813676074</v>
      </c>
      <c r="BA13">
        <f t="shared" si="3"/>
        <v>1.8838141183719308</v>
      </c>
      <c r="BB13">
        <f t="shared" si="4"/>
        <v>1.3725210812122088</v>
      </c>
      <c r="BC13">
        <f t="shared" si="5"/>
        <v>1.1715464485935712</v>
      </c>
      <c r="BE13">
        <f t="shared" si="16"/>
        <v>0.12008361722202196</v>
      </c>
      <c r="BF13">
        <f t="shared" si="17"/>
        <v>1.6239078601715928</v>
      </c>
      <c r="BI13">
        <f t="shared" si="18"/>
        <v>0.10680272108843537</v>
      </c>
      <c r="BJ13">
        <f t="shared" si="24"/>
        <v>1.1991384287702895</v>
      </c>
      <c r="BL13">
        <f t="shared" si="25"/>
        <v>8.3519381120949157E-2</v>
      </c>
      <c r="BM13">
        <f t="shared" si="26"/>
        <v>1.2736298300333557</v>
      </c>
      <c r="BO13">
        <f t="shared" si="27"/>
        <v>5.003810928882825E-2</v>
      </c>
      <c r="BP13">
        <f t="shared" si="28"/>
        <v>1.0319727891156463</v>
      </c>
    </row>
    <row r="14" spans="1:111" x14ac:dyDescent="0.25">
      <c r="A14">
        <v>1.0900000000000001</v>
      </c>
      <c r="B14" s="8">
        <v>0.45</v>
      </c>
      <c r="C14" s="8">
        <v>0.15</v>
      </c>
      <c r="D14" s="8">
        <v>0.13800000000000001</v>
      </c>
      <c r="E14" s="8">
        <v>0.14000000000000001</v>
      </c>
      <c r="F14" s="8">
        <v>0.18</v>
      </c>
      <c r="G14" s="8">
        <v>1.35</v>
      </c>
      <c r="H14" s="8">
        <v>1.41</v>
      </c>
      <c r="I14" s="8">
        <v>1.51</v>
      </c>
      <c r="J14" s="8">
        <v>1.59</v>
      </c>
      <c r="K14">
        <f t="shared" si="6"/>
        <v>1.0714285714285714</v>
      </c>
      <c r="L14">
        <f t="shared" si="7"/>
        <v>3.9326473332564463E-2</v>
      </c>
      <c r="N14">
        <f t="shared" si="8"/>
        <v>1.2606586487376523</v>
      </c>
      <c r="O14">
        <f t="shared" si="9"/>
        <v>0.29121214785839772</v>
      </c>
      <c r="P14">
        <f t="shared" si="10"/>
        <v>0.35418973339795073</v>
      </c>
      <c r="Q14">
        <f t="shared" si="11"/>
        <v>4.891924150190784E-4</v>
      </c>
      <c r="R14">
        <f t="shared" si="12"/>
        <v>1.5662345526214073E-3</v>
      </c>
      <c r="S14" s="16">
        <f t="shared" si="13"/>
        <v>6.4001879454942331E-3</v>
      </c>
      <c r="T14" s="16">
        <f t="shared" si="14"/>
        <v>0.32654020130072614</v>
      </c>
      <c r="U14">
        <v>9</v>
      </c>
      <c r="W14" s="8">
        <v>0.4</v>
      </c>
      <c r="X14" s="8">
        <v>6.39</v>
      </c>
      <c r="Y14" s="8">
        <v>12.7</v>
      </c>
      <c r="Z14" s="8">
        <v>8.6</v>
      </c>
      <c r="AA14" s="8">
        <v>4.8</v>
      </c>
      <c r="AB14" s="8">
        <v>3.9</v>
      </c>
      <c r="AC14" s="8">
        <v>2.8</v>
      </c>
      <c r="AD14" s="8">
        <v>1.2</v>
      </c>
      <c r="AE14" s="8">
        <v>1.23</v>
      </c>
      <c r="AF14" s="8">
        <v>1.76</v>
      </c>
      <c r="AG14" s="8">
        <v>2.13</v>
      </c>
      <c r="AH14" s="8">
        <v>2.17</v>
      </c>
      <c r="AJ14">
        <f t="shared" si="0"/>
        <v>1.4285714285714286</v>
      </c>
      <c r="AK14">
        <f t="shared" si="15"/>
        <v>-0.32283464566929132</v>
      </c>
      <c r="AL14">
        <f t="shared" si="19"/>
        <v>2.5000000000000022E-2</v>
      </c>
      <c r="AN14">
        <f t="shared" si="20"/>
        <v>-0.44186046511627908</v>
      </c>
      <c r="AP14">
        <f t="shared" si="21"/>
        <v>-0.54651162790697672</v>
      </c>
      <c r="AR14">
        <f t="shared" si="22"/>
        <v>-0.67441860465116277</v>
      </c>
      <c r="AS14">
        <f t="shared" si="30"/>
        <v>0.43089430894308944</v>
      </c>
      <c r="AT14">
        <f t="shared" si="29"/>
        <v>0.73170731707317072</v>
      </c>
      <c r="AU14">
        <f t="shared" si="31"/>
        <v>0.7642276422764227</v>
      </c>
      <c r="AW14">
        <f t="shared" si="23"/>
        <v>0.32602040816326527</v>
      </c>
      <c r="AX14">
        <f t="shared" si="1"/>
        <v>9.0714285714285706E-2</v>
      </c>
      <c r="AY14">
        <f t="shared" si="2"/>
        <v>1.0239593700982756</v>
      </c>
      <c r="BA14">
        <f t="shared" si="3"/>
        <v>1.0173913623868354</v>
      </c>
      <c r="BB14">
        <f t="shared" si="4"/>
        <v>1.008658198988555</v>
      </c>
      <c r="BC14">
        <f t="shared" si="5"/>
        <v>1.004319769290914</v>
      </c>
      <c r="BE14">
        <f t="shared" si="16"/>
        <v>7.8517809007429912E-2</v>
      </c>
      <c r="BF14">
        <f t="shared" si="17"/>
        <v>1.1256829523233376</v>
      </c>
      <c r="BI14">
        <f t="shared" si="18"/>
        <v>6.1428571428571423E-2</v>
      </c>
      <c r="BJ14">
        <f t="shared" si="24"/>
        <v>1.0495583543507325</v>
      </c>
      <c r="BL14">
        <f t="shared" si="25"/>
        <v>5.4513793110872774E-2</v>
      </c>
      <c r="BM14">
        <f t="shared" si="26"/>
        <v>0.87996244501618637</v>
      </c>
      <c r="BO14">
        <f t="shared" si="27"/>
        <v>6.4432151189276365E-2</v>
      </c>
      <c r="BP14">
        <f t="shared" si="28"/>
        <v>1.0285714285714287</v>
      </c>
    </row>
    <row r="15" spans="1:111" x14ac:dyDescent="0.25">
      <c r="A15" t="s">
        <v>1</v>
      </c>
      <c r="B15" s="8">
        <v>0.5</v>
      </c>
      <c r="C15" s="8">
        <v>0.1</v>
      </c>
      <c r="D15" s="8">
        <v>0.14000000000000001</v>
      </c>
      <c r="E15" s="8">
        <v>0.14399999999999999</v>
      </c>
      <c r="F15" s="8">
        <v>0.192</v>
      </c>
      <c r="G15" s="8">
        <v>1.35</v>
      </c>
      <c r="H15" s="8">
        <v>1.41</v>
      </c>
      <c r="I15" s="8">
        <v>1.49</v>
      </c>
      <c r="J15" s="8">
        <v>1.59</v>
      </c>
      <c r="K15">
        <f t="shared" si="6"/>
        <v>0.69444444444444453</v>
      </c>
      <c r="L15" s="1">
        <f t="shared" si="7"/>
        <v>4.1543283203985509E-2</v>
      </c>
      <c r="N15">
        <f t="shared" si="8"/>
        <v>1.2265622678066108</v>
      </c>
      <c r="O15">
        <f t="shared" si="9"/>
        <v>0.29143119483085067</v>
      </c>
      <c r="P15">
        <f t="shared" si="10"/>
        <v>0.63090138053171607</v>
      </c>
      <c r="Q15">
        <f t="shared" si="11"/>
        <v>1.9108139312805483E-3</v>
      </c>
      <c r="R15">
        <f t="shared" si="12"/>
        <v>3.4345510486059423E-3</v>
      </c>
      <c r="S15" s="16">
        <f t="shared" si="13"/>
        <v>1.7914303829107442E-2</v>
      </c>
      <c r="T15" s="16">
        <f t="shared" si="14"/>
        <v>0.86392283126482661</v>
      </c>
      <c r="U15">
        <v>10</v>
      </c>
      <c r="W15" s="8">
        <v>0.63</v>
      </c>
      <c r="X15" s="8">
        <v>16.04</v>
      </c>
      <c r="Y15" s="8">
        <v>25.5</v>
      </c>
      <c r="Z15" s="8">
        <v>16</v>
      </c>
      <c r="AA15" s="8">
        <v>10.5</v>
      </c>
      <c r="AB15" s="8">
        <v>8.6</v>
      </c>
      <c r="AC15" s="8">
        <v>6</v>
      </c>
      <c r="AD15" s="8">
        <v>1.66</v>
      </c>
      <c r="AE15" s="8">
        <v>1.48</v>
      </c>
      <c r="AF15" s="8">
        <v>2.02</v>
      </c>
      <c r="AG15" s="8">
        <v>2.54</v>
      </c>
      <c r="AH15" s="8">
        <v>2.72</v>
      </c>
      <c r="AJ15">
        <f t="shared" si="0"/>
        <v>1.3888888888888891</v>
      </c>
      <c r="AK15">
        <f t="shared" si="15"/>
        <v>-0.37254901960784315</v>
      </c>
      <c r="AL15">
        <f t="shared" si="19"/>
        <v>-0.10843373493975901</v>
      </c>
      <c r="AN15">
        <f t="shared" si="20"/>
        <v>-0.34375</v>
      </c>
      <c r="AP15">
        <f t="shared" si="21"/>
        <v>-0.46250000000000002</v>
      </c>
      <c r="AR15">
        <f t="shared" si="22"/>
        <v>-0.625</v>
      </c>
      <c r="AS15">
        <f t="shared" si="30"/>
        <v>0.36486486486486491</v>
      </c>
      <c r="AT15">
        <f t="shared" si="29"/>
        <v>0.71621621621621623</v>
      </c>
      <c r="AU15">
        <f t="shared" si="31"/>
        <v>0.83783783783783794</v>
      </c>
      <c r="AW15">
        <f t="shared" si="23"/>
        <v>0.77353395061728403</v>
      </c>
      <c r="AX15">
        <f t="shared" si="1"/>
        <v>0.17708333333333334</v>
      </c>
      <c r="AY15">
        <f t="shared" si="2"/>
        <v>1.3966652839910212</v>
      </c>
      <c r="BA15">
        <f t="shared" si="3"/>
        <v>1.7672599515030434</v>
      </c>
      <c r="BB15">
        <f t="shared" si="4"/>
        <v>1.329383297436463</v>
      </c>
      <c r="BC15">
        <f t="shared" si="5"/>
        <v>1.1529888539948958</v>
      </c>
      <c r="BE15">
        <f t="shared" si="16"/>
        <v>0.15761598951034481</v>
      </c>
      <c r="BF15">
        <f t="shared" si="17"/>
        <v>1.8309868983211131</v>
      </c>
      <c r="BI15">
        <f t="shared" si="18"/>
        <v>0.11111111111111112</v>
      </c>
      <c r="BJ15">
        <f t="shared" si="24"/>
        <v>1.2452196507871756</v>
      </c>
      <c r="BL15">
        <f t="shared" si="25"/>
        <v>0.10954311270968964</v>
      </c>
      <c r="BM15">
        <f t="shared" si="26"/>
        <v>1.4340696273628364</v>
      </c>
      <c r="BO15">
        <f t="shared" si="27"/>
        <v>6.4432151189276365E-2</v>
      </c>
      <c r="BP15">
        <f t="shared" si="28"/>
        <v>1.0305555555555557</v>
      </c>
    </row>
    <row r="16" spans="1:111" x14ac:dyDescent="0.25">
      <c r="A16">
        <v>2.0099999999999998</v>
      </c>
      <c r="B16" s="8">
        <v>0.4</v>
      </c>
      <c r="C16" s="8">
        <v>0.2</v>
      </c>
      <c r="D16" s="8">
        <v>0.14599999999999999</v>
      </c>
      <c r="E16" s="8">
        <v>0.152</v>
      </c>
      <c r="F16" s="8">
        <v>0.185</v>
      </c>
      <c r="G16" s="8">
        <v>1.6</v>
      </c>
      <c r="H16" s="8">
        <v>1.7</v>
      </c>
      <c r="I16" s="8">
        <v>2.0299999999999998</v>
      </c>
      <c r="J16" s="8">
        <v>2.5</v>
      </c>
      <c r="K16">
        <f t="shared" si="6"/>
        <v>1.3157894736842106</v>
      </c>
      <c r="L16">
        <f t="shared" si="7"/>
        <v>2.3624486260851819E-2</v>
      </c>
      <c r="N16">
        <f t="shared" si="8"/>
        <v>1.6265178064573991</v>
      </c>
      <c r="O16">
        <f t="shared" si="9"/>
        <v>0.40793066585951565</v>
      </c>
      <c r="P16">
        <f t="shared" si="10"/>
        <v>0.39049185488216409</v>
      </c>
      <c r="Q16">
        <f t="shared" si="11"/>
        <v>8.6727901007172567E-4</v>
      </c>
      <c r="R16">
        <f t="shared" si="12"/>
        <v>2.9850122991378165E-3</v>
      </c>
      <c r="S16" s="16">
        <f t="shared" si="13"/>
        <v>1.2753063067909269E-2</v>
      </c>
      <c r="T16" s="16">
        <f t="shared" si="14"/>
        <v>0.55198507046006184</v>
      </c>
      <c r="U16">
        <v>11</v>
      </c>
      <c r="W16" s="8">
        <v>0.38</v>
      </c>
      <c r="X16" s="8">
        <v>11.46</v>
      </c>
      <c r="Y16" s="8">
        <v>17.399999999999999</v>
      </c>
      <c r="Z16" s="8">
        <v>14.1</v>
      </c>
      <c r="AA16" s="8">
        <v>7</v>
      </c>
      <c r="AB16" s="8">
        <v>5.9</v>
      </c>
      <c r="AC16" s="8">
        <v>4.5999999999999996</v>
      </c>
      <c r="AD16" s="8">
        <v>1.42</v>
      </c>
      <c r="AE16" s="8">
        <v>1.37</v>
      </c>
      <c r="AF16" s="8">
        <v>1.92</v>
      </c>
      <c r="AG16" s="8">
        <v>2.46</v>
      </c>
      <c r="AH16" s="8">
        <v>2.57</v>
      </c>
      <c r="AJ16">
        <f t="shared" si="0"/>
        <v>1.3157894736842106</v>
      </c>
      <c r="AK16">
        <f t="shared" si="15"/>
        <v>-0.18965517241379307</v>
      </c>
      <c r="AL16">
        <f t="shared" si="19"/>
        <v>-3.521126760563368E-2</v>
      </c>
      <c r="AN16">
        <f t="shared" si="20"/>
        <v>-0.50354609929078009</v>
      </c>
      <c r="AP16">
        <f t="shared" si="21"/>
        <v>-0.58156028368794321</v>
      </c>
      <c r="AR16">
        <f t="shared" si="22"/>
        <v>-0.67375886524822692</v>
      </c>
      <c r="AS16">
        <f t="shared" si="30"/>
        <v>0.40145985401459838</v>
      </c>
      <c r="AT16">
        <f t="shared" si="29"/>
        <v>0.79562043795620419</v>
      </c>
      <c r="AU16">
        <f t="shared" si="31"/>
        <v>0.8759124087591238</v>
      </c>
      <c r="AW16">
        <f t="shared" si="23"/>
        <v>0.49601800554016628</v>
      </c>
      <c r="AX16">
        <f t="shared" si="1"/>
        <v>0.11447368421052631</v>
      </c>
      <c r="AY16">
        <f t="shared" si="2"/>
        <v>1.1628723565391326</v>
      </c>
      <c r="BA16">
        <f t="shared" si="3"/>
        <v>1.8713279867028025</v>
      </c>
      <c r="BB16">
        <f t="shared" si="4"/>
        <v>1.3679649069704978</v>
      </c>
      <c r="BC16">
        <f t="shared" si="5"/>
        <v>1.1696003193272897</v>
      </c>
      <c r="BE16">
        <f t="shared" si="16"/>
        <v>9.7865115831982846E-2</v>
      </c>
      <c r="BF16">
        <f t="shared" si="17"/>
        <v>1.4635630171591814</v>
      </c>
      <c r="BI16">
        <f t="shared" si="18"/>
        <v>9.2763157894736839E-2</v>
      </c>
      <c r="BJ16">
        <f t="shared" si="24"/>
        <v>1.1219261468018393</v>
      </c>
      <c r="BL16">
        <f t="shared" si="25"/>
        <v>6.8145025392480699E-2</v>
      </c>
      <c r="BM16">
        <f t="shared" si="26"/>
        <v>1.1503605314871164</v>
      </c>
      <c r="BO16">
        <f t="shared" si="27"/>
        <v>4.4324415148581431E-2</v>
      </c>
      <c r="BP16">
        <f t="shared" si="28"/>
        <v>1.0342105263157895</v>
      </c>
    </row>
    <row r="17" spans="1:105" x14ac:dyDescent="0.25">
      <c r="A17">
        <v>2.02</v>
      </c>
      <c r="B17" s="8">
        <v>0.4</v>
      </c>
      <c r="C17" s="8">
        <v>0.2</v>
      </c>
      <c r="D17" s="8">
        <v>0.14099999999999999</v>
      </c>
      <c r="E17" s="8">
        <v>0.14799999999999999</v>
      </c>
      <c r="F17" s="8">
        <v>0.18</v>
      </c>
      <c r="G17" s="8">
        <v>1.5</v>
      </c>
      <c r="H17" s="8">
        <v>1.61</v>
      </c>
      <c r="I17" s="8">
        <v>1.92</v>
      </c>
      <c r="J17" s="8">
        <v>2.5</v>
      </c>
      <c r="K17">
        <f t="shared" si="6"/>
        <v>1.3513513513513515</v>
      </c>
      <c r="L17">
        <f t="shared" si="7"/>
        <v>2.5714028384536739E-2</v>
      </c>
      <c r="N17">
        <f t="shared" si="8"/>
        <v>1.5590317119994186</v>
      </c>
      <c r="O17">
        <f t="shared" si="9"/>
        <v>0.38071554407025798</v>
      </c>
      <c r="P17">
        <f t="shared" si="10"/>
        <v>0.33973367300540419</v>
      </c>
      <c r="Q17">
        <f t="shared" si="11"/>
        <v>6.0686081173266869E-4</v>
      </c>
      <c r="R17">
        <f t="shared" si="12"/>
        <v>2.2507177932020866E-3</v>
      </c>
      <c r="S17" s="16">
        <f t="shared" si="13"/>
        <v>9.0198621791989335E-3</v>
      </c>
      <c r="T17" s="16">
        <f t="shared" si="14"/>
        <v>0.41179064002916976</v>
      </c>
      <c r="U17">
        <v>12</v>
      </c>
      <c r="W17" s="8">
        <v>0.31</v>
      </c>
      <c r="X17" s="8">
        <v>9.41</v>
      </c>
      <c r="Y17" s="8">
        <v>14.6</v>
      </c>
      <c r="Z17" s="8">
        <v>11.8</v>
      </c>
      <c r="AA17" s="8">
        <v>5.7</v>
      </c>
      <c r="AB17" s="8">
        <v>4.9000000000000004</v>
      </c>
      <c r="AC17" s="8">
        <v>4.3</v>
      </c>
      <c r="AD17" s="8">
        <v>1.45</v>
      </c>
      <c r="AE17" s="8">
        <v>1.36</v>
      </c>
      <c r="AF17" s="8">
        <v>1.91</v>
      </c>
      <c r="AG17" s="8">
        <v>2.44</v>
      </c>
      <c r="AH17" s="8">
        <v>2.4</v>
      </c>
      <c r="AJ17">
        <f t="shared" si="0"/>
        <v>1.3513513513513515</v>
      </c>
      <c r="AK17">
        <f t="shared" si="15"/>
        <v>-0.19178082191780815</v>
      </c>
      <c r="AL17">
        <f t="shared" si="19"/>
        <v>-6.2068965517241281E-2</v>
      </c>
      <c r="AN17">
        <f t="shared" si="20"/>
        <v>-0.51694915254237295</v>
      </c>
      <c r="AP17">
        <f t="shared" si="21"/>
        <v>-0.5847457627118644</v>
      </c>
      <c r="AR17">
        <f t="shared" si="22"/>
        <v>-0.63559322033898313</v>
      </c>
      <c r="AS17">
        <f t="shared" si="30"/>
        <v>0.40441176470588219</v>
      </c>
      <c r="AT17">
        <f t="shared" si="29"/>
        <v>0.79411764705882337</v>
      </c>
      <c r="AU17">
        <f t="shared" si="31"/>
        <v>0.76470588235294101</v>
      </c>
      <c r="AW17">
        <f t="shared" si="23"/>
        <v>0.42960189919649389</v>
      </c>
      <c r="AX17">
        <f t="shared" si="1"/>
        <v>9.8648648648648654E-2</v>
      </c>
      <c r="AY17">
        <f t="shared" si="2"/>
        <v>1.2033795886423229</v>
      </c>
      <c r="BA17">
        <f t="shared" si="3"/>
        <v>1.4909654797575491</v>
      </c>
      <c r="BB17">
        <f t="shared" si="4"/>
        <v>1.2210509734476891</v>
      </c>
      <c r="BC17">
        <f t="shared" si="5"/>
        <v>1.1050117526287624</v>
      </c>
      <c r="BE17">
        <f t="shared" si="16"/>
        <v>8.1793391459807865E-2</v>
      </c>
      <c r="BF17">
        <f t="shared" si="17"/>
        <v>1.2641132877307242</v>
      </c>
      <c r="BI17">
        <f t="shared" si="18"/>
        <v>7.9729729729729748E-2</v>
      </c>
      <c r="BJ17">
        <f t="shared" si="24"/>
        <v>1.1286870624507306</v>
      </c>
      <c r="BL17">
        <f t="shared" si="25"/>
        <v>5.690167286960688E-2</v>
      </c>
      <c r="BM17">
        <f t="shared" si="26"/>
        <v>0.99188478295671323</v>
      </c>
      <c r="BO17">
        <f t="shared" si="27"/>
        <v>4.9418448277227078E-2</v>
      </c>
      <c r="BP17">
        <f t="shared" si="28"/>
        <v>1.0324324324324325</v>
      </c>
    </row>
    <row r="18" spans="1:105" x14ac:dyDescent="0.25">
      <c r="A18">
        <v>2.0299999999999998</v>
      </c>
      <c r="B18" s="8">
        <v>0.4</v>
      </c>
      <c r="C18" s="8">
        <v>0.2</v>
      </c>
      <c r="D18" s="8">
        <v>0.13100000000000001</v>
      </c>
      <c r="E18" s="8">
        <v>0.13900000000000001</v>
      </c>
      <c r="F18" s="8">
        <v>0.16900000000000001</v>
      </c>
      <c r="G18" s="8">
        <v>1.42</v>
      </c>
      <c r="H18" s="8">
        <v>1.53</v>
      </c>
      <c r="I18" s="8">
        <v>1.84</v>
      </c>
      <c r="J18" s="8">
        <v>2.4500000000000002</v>
      </c>
      <c r="K18">
        <f t="shared" si="6"/>
        <v>1.4388489208633093</v>
      </c>
      <c r="L18">
        <f t="shared" si="7"/>
        <v>2.629601962626513E-2</v>
      </c>
      <c r="N18">
        <f t="shared" si="8"/>
        <v>1.5416827073514989</v>
      </c>
      <c r="O18">
        <f t="shared" si="9"/>
        <v>0.3535849289310663</v>
      </c>
      <c r="P18">
        <f t="shared" si="10"/>
        <v>0.28603987571372996</v>
      </c>
      <c r="Q18">
        <f t="shared" si="11"/>
        <v>3.9825186086934702E-4</v>
      </c>
      <c r="R18">
        <f t="shared" si="12"/>
        <v>1.6607293597077845E-3</v>
      </c>
      <c r="S18" s="16">
        <f t="shared" si="13"/>
        <v>6.1220173287403088E-3</v>
      </c>
      <c r="T18" s="16">
        <f t="shared" si="14"/>
        <v>0.31685820240879392</v>
      </c>
      <c r="U18">
        <v>13</v>
      </c>
      <c r="W18" s="8">
        <v>0.27</v>
      </c>
      <c r="X18" s="8">
        <v>8.48</v>
      </c>
      <c r="Y18" s="8">
        <v>12.9</v>
      </c>
      <c r="Z18" s="8">
        <v>9.6999999999999993</v>
      </c>
      <c r="AA18" s="8">
        <v>4.4000000000000004</v>
      </c>
      <c r="AB18" s="8">
        <v>4</v>
      </c>
      <c r="AC18" s="8">
        <v>3.7</v>
      </c>
      <c r="AD18" s="8">
        <v>1.29</v>
      </c>
      <c r="AE18" s="8">
        <v>1.27</v>
      </c>
      <c r="AF18" s="8">
        <v>1.87</v>
      </c>
      <c r="AG18" s="8">
        <v>2.2999999999999998</v>
      </c>
      <c r="AH18" s="8">
        <v>2.23</v>
      </c>
      <c r="AJ18">
        <f t="shared" si="0"/>
        <v>1.4388489208633093</v>
      </c>
      <c r="AK18">
        <f t="shared" si="15"/>
        <v>-0.24806201550387605</v>
      </c>
      <c r="AL18">
        <f t="shared" si="19"/>
        <v>-1.5503875968992262E-2</v>
      </c>
      <c r="AN18">
        <f t="shared" si="20"/>
        <v>-0.54639175257731953</v>
      </c>
      <c r="AP18">
        <f t="shared" si="21"/>
        <v>-0.58762886597938147</v>
      </c>
      <c r="AR18">
        <f t="shared" si="22"/>
        <v>-0.61855670103092775</v>
      </c>
      <c r="AS18">
        <f t="shared" si="30"/>
        <v>0.47244094488188981</v>
      </c>
      <c r="AT18">
        <f t="shared" si="29"/>
        <v>0.81102362204724388</v>
      </c>
      <c r="AU18">
        <f t="shared" si="31"/>
        <v>0.75590551181102361</v>
      </c>
      <c r="AW18">
        <f t="shared" si="23"/>
        <v>0.43890067801873595</v>
      </c>
      <c r="AX18">
        <f t="shared" si="1"/>
        <v>9.2805755395683448E-2</v>
      </c>
      <c r="AY18">
        <f t="shared" si="2"/>
        <v>1.1047087819741277</v>
      </c>
      <c r="BA18">
        <f t="shared" si="3"/>
        <v>1.2208648824988706</v>
      </c>
      <c r="BB18">
        <f t="shared" si="4"/>
        <v>1.1049275462666639</v>
      </c>
      <c r="BC18">
        <f t="shared" si="5"/>
        <v>1.0511553387899735</v>
      </c>
      <c r="BE18">
        <f t="shared" si="16"/>
        <v>6.9551530712366597E-2</v>
      </c>
      <c r="BF18">
        <f t="shared" si="17"/>
        <v>1.1088689889728596</v>
      </c>
      <c r="BI18">
        <f t="shared" si="18"/>
        <v>6.9784172661870481E-2</v>
      </c>
      <c r="BJ18">
        <f t="shared" si="24"/>
        <v>1.0875815140365444</v>
      </c>
      <c r="BL18">
        <f t="shared" si="25"/>
        <v>4.8275767504526106E-2</v>
      </c>
      <c r="BM18">
        <f t="shared" si="26"/>
        <v>0.86638566675113993</v>
      </c>
      <c r="BO18">
        <f t="shared" si="27"/>
        <v>5.4721500183433872E-2</v>
      </c>
      <c r="BP18">
        <f t="shared" si="28"/>
        <v>1.0280575539568346</v>
      </c>
    </row>
    <row r="19" spans="1:105" x14ac:dyDescent="0.25">
      <c r="A19">
        <v>2.04</v>
      </c>
      <c r="B19" s="8">
        <v>0.4</v>
      </c>
      <c r="C19" s="8">
        <v>0.2</v>
      </c>
      <c r="D19" s="8">
        <v>0.122</v>
      </c>
      <c r="E19" s="8">
        <v>0.13</v>
      </c>
      <c r="F19" s="8">
        <v>0.159</v>
      </c>
      <c r="G19" s="8">
        <v>1.4</v>
      </c>
      <c r="H19" s="8">
        <v>1.52</v>
      </c>
      <c r="I19" s="8">
        <v>1.86</v>
      </c>
      <c r="J19" s="8">
        <v>2.4500000000000002</v>
      </c>
      <c r="K19">
        <f t="shared" si="6"/>
        <v>1.5384615384615385</v>
      </c>
      <c r="L19">
        <f t="shared" si="7"/>
        <v>2.4067352831717598E-2</v>
      </c>
      <c r="N19">
        <f t="shared" si="8"/>
        <v>1.6114834373767406</v>
      </c>
      <c r="O19">
        <f t="shared" si="9"/>
        <v>0.34566319731731082</v>
      </c>
      <c r="P19">
        <f t="shared" si="10"/>
        <v>0.26991462503009422</v>
      </c>
      <c r="Q19">
        <f t="shared" si="11"/>
        <v>3.4014060554240415E-4</v>
      </c>
      <c r="R19">
        <f t="shared" si="12"/>
        <v>1.4819699083488658E-3</v>
      </c>
      <c r="S19" s="16">
        <f t="shared" si="13"/>
        <v>5.3047575628815237E-3</v>
      </c>
      <c r="T19" s="16">
        <f t="shared" si="14"/>
        <v>0.31389098005216115</v>
      </c>
      <c r="U19">
        <v>14</v>
      </c>
      <c r="W19" s="8">
        <v>0.22</v>
      </c>
      <c r="X19" s="8">
        <v>6.81</v>
      </c>
      <c r="Y19" s="8">
        <v>11.3</v>
      </c>
      <c r="Z19" s="8">
        <v>8.1</v>
      </c>
      <c r="AA19" s="8">
        <v>3.3</v>
      </c>
      <c r="AB19" s="8">
        <v>3.4</v>
      </c>
      <c r="AC19" s="8">
        <v>3.4</v>
      </c>
      <c r="AD19" s="8">
        <v>1.1499999999999999</v>
      </c>
      <c r="AE19" s="8">
        <v>1.22</v>
      </c>
      <c r="AF19" s="8">
        <v>1.94</v>
      </c>
      <c r="AG19" s="8">
        <v>2.21</v>
      </c>
      <c r="AH19" s="8">
        <v>2.02</v>
      </c>
      <c r="AJ19">
        <f t="shared" si="0"/>
        <v>1.5384615384615385</v>
      </c>
      <c r="AK19">
        <f t="shared" si="15"/>
        <v>-0.28318584070796465</v>
      </c>
      <c r="AL19">
        <f t="shared" si="19"/>
        <v>6.0869565217391362E-2</v>
      </c>
      <c r="AN19">
        <f t="shared" si="20"/>
        <v>-0.59259259259259256</v>
      </c>
      <c r="AP19">
        <f t="shared" si="21"/>
        <v>-0.58024691358024683</v>
      </c>
      <c r="AR19">
        <f t="shared" si="22"/>
        <v>-0.58024691358024683</v>
      </c>
      <c r="AS19">
        <f t="shared" si="30"/>
        <v>0.5901639344262295</v>
      </c>
      <c r="AT19">
        <f t="shared" si="29"/>
        <v>0.81147540983606559</v>
      </c>
      <c r="AU19">
        <f t="shared" si="31"/>
        <v>0.65573770491803285</v>
      </c>
      <c r="AW19">
        <f t="shared" si="23"/>
        <v>0.40295857988165673</v>
      </c>
      <c r="AX19">
        <f t="shared" si="1"/>
        <v>8.6923076923076922E-2</v>
      </c>
      <c r="AY19">
        <f t="shared" si="2"/>
        <v>1.0183373210268887</v>
      </c>
      <c r="BA19">
        <f t="shared" si="3"/>
        <v>1.2554891747160839</v>
      </c>
      <c r="BB19">
        <f t="shared" si="4"/>
        <v>1.1204861332100831</v>
      </c>
      <c r="BC19">
        <f t="shared" si="5"/>
        <v>1.0585301758618331</v>
      </c>
      <c r="BE19">
        <f t="shared" si="16"/>
        <v>6.7943495937887025E-2</v>
      </c>
      <c r="BF19">
        <f t="shared" si="17"/>
        <v>1.1036647682351233</v>
      </c>
      <c r="BI19">
        <f t="shared" si="18"/>
        <v>6.23076923076923E-2</v>
      </c>
      <c r="BJ19">
        <f t="shared" si="24"/>
        <v>1.0803230710024383</v>
      </c>
      <c r="BL19">
        <f t="shared" si="25"/>
        <v>4.7037804880075633E-2</v>
      </c>
      <c r="BM19">
        <f t="shared" si="26"/>
        <v>0.85814180594774059</v>
      </c>
      <c r="BO19">
        <f t="shared" si="27"/>
        <v>5.5443888408673966E-2</v>
      </c>
      <c r="BP19">
        <f t="shared" si="28"/>
        <v>1.0230769230769232</v>
      </c>
    </row>
    <row r="20" spans="1:105" x14ac:dyDescent="0.25">
      <c r="A20">
        <v>2.0499999999999998</v>
      </c>
      <c r="B20" s="8">
        <v>0.4</v>
      </c>
      <c r="C20" s="8">
        <v>0.2</v>
      </c>
      <c r="D20" s="8">
        <v>0.13700000000000001</v>
      </c>
      <c r="E20" s="8">
        <v>0.14199999999999999</v>
      </c>
      <c r="F20" s="8">
        <v>0.17699999999999999</v>
      </c>
      <c r="G20" s="8">
        <v>1.42</v>
      </c>
      <c r="H20" s="8">
        <v>1.5</v>
      </c>
      <c r="I20" s="8">
        <v>1.69</v>
      </c>
      <c r="J20" s="8">
        <v>2</v>
      </c>
      <c r="K20">
        <f t="shared" si="6"/>
        <v>1.4084507042253522</v>
      </c>
      <c r="L20">
        <f t="shared" si="7"/>
        <v>3.1843866616495999E-2</v>
      </c>
      <c r="N20">
        <f t="shared" si="8"/>
        <v>1.4009644356946132</v>
      </c>
      <c r="O20">
        <f t="shared" si="9"/>
        <v>0.32824596728324784</v>
      </c>
      <c r="P20">
        <f t="shared" si="10"/>
        <v>0.23402650067417108</v>
      </c>
      <c r="Q20">
        <f t="shared" si="11"/>
        <v>2.6538521488416833E-4</v>
      </c>
      <c r="R20">
        <f t="shared" si="12"/>
        <v>1.3526309345391709E-3</v>
      </c>
      <c r="S20" s="16">
        <f t="shared" si="13"/>
        <v>4.491133810305567E-3</v>
      </c>
      <c r="T20" s="16">
        <f t="shared" si="14"/>
        <v>0.22273030203856217</v>
      </c>
      <c r="U20">
        <v>15</v>
      </c>
      <c r="W20" s="8">
        <v>0.2</v>
      </c>
      <c r="X20" s="8">
        <v>5.35</v>
      </c>
      <c r="Y20" s="8">
        <v>8.8000000000000007</v>
      </c>
      <c r="Z20" s="8">
        <v>6.9</v>
      </c>
      <c r="AA20" s="8">
        <v>3.3</v>
      </c>
      <c r="AB20" s="8">
        <v>3</v>
      </c>
      <c r="AC20" s="8">
        <v>2.2000000000000002</v>
      </c>
      <c r="AD20" s="8">
        <v>1.01</v>
      </c>
      <c r="AE20" s="8">
        <v>1.07</v>
      </c>
      <c r="AF20" s="8">
        <v>1.69</v>
      </c>
      <c r="AG20" s="8">
        <v>1.83</v>
      </c>
      <c r="AH20" s="8">
        <v>1.77</v>
      </c>
      <c r="AJ20">
        <f t="shared" si="0"/>
        <v>1.4084507042253522</v>
      </c>
      <c r="AK20">
        <f t="shared" si="15"/>
        <v>-0.21590909090909094</v>
      </c>
      <c r="AL20">
        <f t="shared" si="19"/>
        <v>5.9405940594059459E-2</v>
      </c>
      <c r="AN20">
        <f t="shared" si="20"/>
        <v>-0.52173913043478271</v>
      </c>
      <c r="AP20">
        <f t="shared" si="21"/>
        <v>-0.56521739130434789</v>
      </c>
      <c r="AR20">
        <f t="shared" si="22"/>
        <v>-0.6811594202898551</v>
      </c>
      <c r="AS20">
        <f t="shared" si="30"/>
        <v>0.57943925233644844</v>
      </c>
      <c r="AT20">
        <f t="shared" si="29"/>
        <v>0.71028037383177567</v>
      </c>
      <c r="AU20">
        <f t="shared" si="31"/>
        <v>0.65420560747663548</v>
      </c>
      <c r="AW20">
        <f t="shared" si="23"/>
        <v>0.26532434040864911</v>
      </c>
      <c r="AX20">
        <f t="shared" si="1"/>
        <v>6.1971830985915501E-2</v>
      </c>
      <c r="AY20">
        <f t="shared" si="2"/>
        <v>0.85574170467937627</v>
      </c>
      <c r="BA20">
        <f t="shared" si="3"/>
        <v>0.81566296986787723</v>
      </c>
      <c r="BB20">
        <f t="shared" si="4"/>
        <v>0.90314061467075946</v>
      </c>
      <c r="BC20">
        <f t="shared" si="5"/>
        <v>0.95033710580549224</v>
      </c>
      <c r="BE20">
        <f t="shared" si="16"/>
        <v>5.9813535281155468E-2</v>
      </c>
      <c r="BF20">
        <f t="shared" si="17"/>
        <v>0.92968840388124796</v>
      </c>
      <c r="BI20">
        <f t="shared" si="18"/>
        <v>4.8591549295774659E-2</v>
      </c>
      <c r="BJ20">
        <f t="shared" si="24"/>
        <v>0.9065778455514184</v>
      </c>
      <c r="BL20">
        <f t="shared" si="25"/>
        <v>4.1549345916430815E-2</v>
      </c>
      <c r="BM20">
        <f t="shared" si="26"/>
        <v>0.72746153473276942</v>
      </c>
      <c r="BO20">
        <f t="shared" si="27"/>
        <v>5.6932248790844589E-2</v>
      </c>
      <c r="BP20">
        <f t="shared" si="28"/>
        <v>1.0295774647887326</v>
      </c>
    </row>
    <row r="21" spans="1:105" x14ac:dyDescent="0.25">
      <c r="A21">
        <v>2.06</v>
      </c>
      <c r="B21" s="8">
        <v>0.4</v>
      </c>
      <c r="C21" s="8">
        <v>0.2</v>
      </c>
      <c r="D21" s="8">
        <v>0.13200000000000001</v>
      </c>
      <c r="E21" s="8">
        <v>0.13800000000000001</v>
      </c>
      <c r="F21" s="8">
        <v>0.16800000000000001</v>
      </c>
      <c r="G21" s="8">
        <v>1.34</v>
      </c>
      <c r="H21" s="8">
        <v>1.43</v>
      </c>
      <c r="I21" s="8">
        <v>1.62</v>
      </c>
      <c r="J21" s="8">
        <v>2</v>
      </c>
      <c r="K21">
        <f t="shared" si="6"/>
        <v>1.4492753623188406</v>
      </c>
      <c r="L21">
        <f t="shared" si="7"/>
        <v>3.3679056640674519E-2</v>
      </c>
      <c r="N21">
        <f t="shared" si="8"/>
        <v>1.362260140817134</v>
      </c>
      <c r="O21">
        <f t="shared" si="9"/>
        <v>0.31018663406406144</v>
      </c>
      <c r="P21">
        <f t="shared" si="10"/>
        <v>0.19664512751983035</v>
      </c>
      <c r="Q21">
        <f t="shared" si="11"/>
        <v>1.8721913623973656E-4</v>
      </c>
      <c r="R21">
        <f t="shared" si="12"/>
        <v>1.0716454682061539E-3</v>
      </c>
      <c r="S21" s="16">
        <f t="shared" si="13"/>
        <v>3.226528031972428E-3</v>
      </c>
      <c r="T21" s="16">
        <f t="shared" si="14"/>
        <v>0.16942491241191071</v>
      </c>
      <c r="U21">
        <v>16</v>
      </c>
      <c r="W21" s="8">
        <v>0.2</v>
      </c>
      <c r="X21" s="8">
        <v>5.33</v>
      </c>
      <c r="Y21" s="8">
        <v>8.5</v>
      </c>
      <c r="Z21" s="8">
        <v>6.6</v>
      </c>
      <c r="AA21" s="8">
        <v>2.8</v>
      </c>
      <c r="AB21" s="8">
        <v>2.6</v>
      </c>
      <c r="AC21" s="8">
        <v>2.1</v>
      </c>
      <c r="AD21" s="8">
        <v>1.06</v>
      </c>
      <c r="AE21" s="8">
        <v>1.02</v>
      </c>
      <c r="AF21" s="8">
        <v>1.64</v>
      </c>
      <c r="AG21" s="8">
        <v>1.82</v>
      </c>
      <c r="AH21" s="8">
        <v>1.79</v>
      </c>
      <c r="AJ21">
        <f t="shared" si="0"/>
        <v>1.4492753623188406</v>
      </c>
      <c r="AK21">
        <f t="shared" si="15"/>
        <v>-0.22352941176470592</v>
      </c>
      <c r="AL21">
        <f t="shared" si="19"/>
        <v>-3.7735849056603807E-2</v>
      </c>
      <c r="AN21">
        <f t="shared" si="20"/>
        <v>-0.5757575757575758</v>
      </c>
      <c r="AP21">
        <f t="shared" si="21"/>
        <v>-0.60606060606060608</v>
      </c>
      <c r="AR21">
        <f t="shared" si="22"/>
        <v>-0.68181818181818188</v>
      </c>
      <c r="AS21">
        <f t="shared" si="30"/>
        <v>0.6078431372549018</v>
      </c>
      <c r="AT21">
        <f t="shared" si="29"/>
        <v>0.78431372549019607</v>
      </c>
      <c r="AU21">
        <f t="shared" si="31"/>
        <v>0.75490196078431371</v>
      </c>
      <c r="AW21">
        <f t="shared" si="23"/>
        <v>0.27987817685360211</v>
      </c>
      <c r="AX21">
        <f t="shared" si="1"/>
        <v>6.1594202898550721E-2</v>
      </c>
      <c r="AY21">
        <f t="shared" si="2"/>
        <v>0.91102819585898442</v>
      </c>
      <c r="BA21">
        <f t="shared" si="3"/>
        <v>0.6375285825649748</v>
      </c>
      <c r="BB21">
        <f t="shared" si="4"/>
        <v>0.79845387002943058</v>
      </c>
      <c r="BC21">
        <f t="shared" si="5"/>
        <v>0.89356246006053242</v>
      </c>
      <c r="BE21">
        <f t="shared" si="16"/>
        <v>5.1463933698554329E-2</v>
      </c>
      <c r="BF21">
        <f t="shared" si="17"/>
        <v>0.81084229814235742</v>
      </c>
      <c r="BI21">
        <f t="shared" si="18"/>
        <v>4.7826086956521734E-2</v>
      </c>
      <c r="BJ21">
        <f t="shared" si="24"/>
        <v>0.87664977337373973</v>
      </c>
      <c r="BL21">
        <f t="shared" si="25"/>
        <v>3.5711494862127269E-2</v>
      </c>
      <c r="BM21">
        <f t="shared" si="26"/>
        <v>0.63320907816090988</v>
      </c>
      <c r="BO21">
        <f t="shared" si="27"/>
        <v>6.2642456735977486E-2</v>
      </c>
      <c r="BP21">
        <f t="shared" si="28"/>
        <v>1.027536231884058</v>
      </c>
    </row>
    <row r="22" spans="1:105" x14ac:dyDescent="0.25">
      <c r="A22">
        <v>2.0699999999999998</v>
      </c>
      <c r="B22" s="8">
        <v>0.4</v>
      </c>
      <c r="C22" s="8">
        <v>0.2</v>
      </c>
      <c r="D22" s="8">
        <v>0.13</v>
      </c>
      <c r="E22" s="8">
        <v>0.13300000000000001</v>
      </c>
      <c r="F22" s="8">
        <v>0.17100000000000001</v>
      </c>
      <c r="G22" s="8">
        <v>1.27</v>
      </c>
      <c r="H22" s="8">
        <v>1.33</v>
      </c>
      <c r="I22" s="8">
        <v>1.45</v>
      </c>
      <c r="J22" s="8">
        <v>1.6</v>
      </c>
      <c r="K22">
        <f t="shared" si="6"/>
        <v>1.5037593984962405</v>
      </c>
      <c r="L22" s="1">
        <f t="shared" si="7"/>
        <v>4.0515993937360863E-2</v>
      </c>
      <c r="N22">
        <f t="shared" si="8"/>
        <v>1.2420147684185052</v>
      </c>
      <c r="O22">
        <f t="shared" si="9"/>
        <v>0.27256014092944097</v>
      </c>
      <c r="P22">
        <f t="shared" si="10"/>
        <v>0.12167765579600523</v>
      </c>
      <c r="Q22">
        <f t="shared" si="11"/>
        <v>8.0390623056386616E-5</v>
      </c>
      <c r="R22">
        <f t="shared" si="12"/>
        <v>7.0481894243863989E-4</v>
      </c>
      <c r="S22" s="16">
        <f t="shared" si="13"/>
        <v>1.5497207706491717E-3</v>
      </c>
      <c r="T22" s="16">
        <f t="shared" si="14"/>
        <v>8.7609292252200321E-2</v>
      </c>
      <c r="U22">
        <v>17</v>
      </c>
      <c r="W22" s="8">
        <v>0.11</v>
      </c>
      <c r="X22" s="8">
        <v>1.85</v>
      </c>
      <c r="Y22" s="8">
        <v>4.0999999999999996</v>
      </c>
      <c r="Z22" s="8">
        <v>2.9</v>
      </c>
      <c r="AA22" s="8">
        <v>1.2</v>
      </c>
      <c r="AB22" s="8">
        <v>1.3</v>
      </c>
      <c r="AC22" s="11"/>
      <c r="AD22" s="8">
        <v>0.57999999999999996</v>
      </c>
      <c r="AE22" s="8">
        <v>0.62</v>
      </c>
      <c r="AF22" s="11"/>
      <c r="AG22" s="11"/>
      <c r="AH22" s="11"/>
      <c r="AJ22">
        <f t="shared" si="0"/>
        <v>1.5037593984962405</v>
      </c>
      <c r="AK22">
        <f t="shared" si="15"/>
        <v>-0.29268292682926828</v>
      </c>
      <c r="AL22">
        <f t="shared" si="19"/>
        <v>6.8965517241379379E-2</v>
      </c>
      <c r="AN22">
        <f t="shared" si="20"/>
        <v>-0.58620689655172409</v>
      </c>
      <c r="AP22">
        <f t="shared" si="21"/>
        <v>-0.55172413793103448</v>
      </c>
      <c r="AR22">
        <f t="shared" si="22"/>
        <v>-1</v>
      </c>
      <c r="AS22">
        <f t="shared" si="30"/>
        <v>-1</v>
      </c>
      <c r="AW22">
        <f t="shared" si="23"/>
        <v>0.10458477019616709</v>
      </c>
      <c r="AX22">
        <f t="shared" si="1"/>
        <v>3.0827067669172925E-2</v>
      </c>
      <c r="AY22">
        <f t="shared" si="2"/>
        <v>0.50777073778219761</v>
      </c>
      <c r="BA22">
        <f t="shared" si="3"/>
        <v>0.29764113583019575</v>
      </c>
      <c r="BB22">
        <f t="shared" si="4"/>
        <v>0.54556496939429289</v>
      </c>
      <c r="BC22">
        <f t="shared" si="5"/>
        <v>0.73862369945344486</v>
      </c>
      <c r="BE22">
        <f t="shared" si="16"/>
        <v>3.8947468491184335E-2</v>
      </c>
      <c r="BF22">
        <f t="shared" si="17"/>
        <v>0.58307288676978519</v>
      </c>
      <c r="BI22">
        <f t="shared" si="18"/>
        <v>2.1804511278195486E-2</v>
      </c>
      <c r="BJ22">
        <f t="shared" si="24"/>
        <v>0.54278940935338371</v>
      </c>
      <c r="BL22">
        <f t="shared" si="25"/>
        <v>2.6987960121410141E-2</v>
      </c>
      <c r="BM22">
        <f t="shared" si="26"/>
        <v>0.45413048266698125</v>
      </c>
      <c r="BO22">
        <f t="shared" si="27"/>
        <v>7.2416507309288433E-2</v>
      </c>
      <c r="BP22">
        <f t="shared" si="28"/>
        <v>1.024812030075188</v>
      </c>
      <c r="BU22" t="s">
        <v>126</v>
      </c>
      <c r="BX22">
        <v>1</v>
      </c>
      <c r="CJ22" t="s">
        <v>124</v>
      </c>
      <c r="CM22">
        <v>1</v>
      </c>
    </row>
    <row r="23" spans="1:105" x14ac:dyDescent="0.25">
      <c r="A23">
        <v>2.08</v>
      </c>
      <c r="B23" s="8">
        <v>0.4</v>
      </c>
      <c r="C23" s="8">
        <v>0.2</v>
      </c>
      <c r="D23" s="8">
        <v>0.124</v>
      </c>
      <c r="E23" s="8">
        <v>0.126</v>
      </c>
      <c r="F23" s="8">
        <v>0.16200000000000001</v>
      </c>
      <c r="G23" s="8">
        <v>1.25</v>
      </c>
      <c r="H23" s="8">
        <v>1.3</v>
      </c>
      <c r="I23" s="8">
        <v>1.44</v>
      </c>
      <c r="J23" s="8">
        <v>1.58</v>
      </c>
      <c r="K23">
        <f t="shared" si="6"/>
        <v>1.5873015873015874</v>
      </c>
      <c r="L23">
        <f t="shared" si="7"/>
        <v>3.8918529446866419E-2</v>
      </c>
      <c r="N23">
        <f t="shared" si="8"/>
        <v>1.2672485346758573</v>
      </c>
      <c r="O23">
        <f t="shared" si="9"/>
        <v>0.2634609703591107</v>
      </c>
      <c r="P23">
        <f t="shared" si="10"/>
        <v>0.10493766250375938</v>
      </c>
      <c r="Q23">
        <f t="shared" si="11"/>
        <v>6.2009421551846174E-5</v>
      </c>
      <c r="R23">
        <f t="shared" si="12"/>
        <v>6.2046257821976852E-4</v>
      </c>
      <c r="S23" s="16">
        <f t="shared" si="13"/>
        <v>1.2172147166121753E-3</v>
      </c>
      <c r="T23" s="16">
        <f t="shared" si="14"/>
        <v>7.6670113165291959E-2</v>
      </c>
      <c r="U23">
        <v>18</v>
      </c>
      <c r="W23" s="8">
        <v>0.11</v>
      </c>
      <c r="X23" s="8">
        <v>2.84</v>
      </c>
      <c r="Y23" s="8">
        <v>4</v>
      </c>
      <c r="Z23" s="8">
        <v>3.2</v>
      </c>
      <c r="AA23" s="8">
        <v>1.1000000000000001</v>
      </c>
      <c r="AB23" s="8">
        <v>1.3</v>
      </c>
      <c r="AC23" s="11"/>
      <c r="AD23" s="8">
        <v>0.74</v>
      </c>
      <c r="AE23" s="8">
        <v>0.63</v>
      </c>
      <c r="AF23" s="11"/>
      <c r="AG23" s="11"/>
      <c r="AH23" s="11"/>
      <c r="AJ23">
        <f t="shared" si="0"/>
        <v>1.5873015873015874</v>
      </c>
      <c r="AK23">
        <f t="shared" si="15"/>
        <v>-0.19999999999999996</v>
      </c>
      <c r="AL23">
        <f t="shared" si="19"/>
        <v>-0.14864864864864863</v>
      </c>
      <c r="AN23">
        <f t="shared" si="20"/>
        <v>-0.65625</v>
      </c>
      <c r="AP23">
        <f t="shared" si="21"/>
        <v>-0.59375</v>
      </c>
      <c r="AR23">
        <f t="shared" si="22"/>
        <v>-1</v>
      </c>
      <c r="AW23">
        <f t="shared" si="23"/>
        <v>0.17888636936255981</v>
      </c>
      <c r="AX23">
        <f t="shared" si="1"/>
        <v>3.1746031746031744E-2</v>
      </c>
      <c r="AY23">
        <f t="shared" si="2"/>
        <v>0.66559790064627178</v>
      </c>
      <c r="BA23">
        <f t="shared" si="3"/>
        <v>0.25367187949860964</v>
      </c>
      <c r="BB23">
        <f t="shared" si="4"/>
        <v>0.50365849491357695</v>
      </c>
      <c r="BC23">
        <f t="shared" si="5"/>
        <v>0.70968901281728813</v>
      </c>
      <c r="BE23">
        <f>S23*SIN(ATAN(0.25))/(O23-C23)/E23</f>
        <v>3.6920322015696831E-2</v>
      </c>
      <c r="BF23">
        <f t="shared" si="17"/>
        <v>0.54545736871950634</v>
      </c>
      <c r="BI23">
        <f t="shared" si="18"/>
        <v>2.5396825396825397E-2</v>
      </c>
      <c r="BJ23">
        <f t="shared" si="24"/>
        <v>0.56665767217182594</v>
      </c>
      <c r="BL23">
        <f t="shared" si="25"/>
        <v>2.5527765507996097E-2</v>
      </c>
      <c r="BM23">
        <f t="shared" si="26"/>
        <v>0.42310175705690217</v>
      </c>
      <c r="BO23">
        <f t="shared" si="27"/>
        <v>7.5797372650532741E-2</v>
      </c>
      <c r="BP23">
        <f t="shared" si="28"/>
        <v>1.0206349206349208</v>
      </c>
      <c r="CU23" t="s">
        <v>125</v>
      </c>
      <c r="CX23">
        <v>1</v>
      </c>
    </row>
    <row r="25" spans="1:105" x14ac:dyDescent="0.25">
      <c r="V25" t="s">
        <v>23</v>
      </c>
      <c r="AL25">
        <f>AVERAGE(AL6:AL23)</f>
        <v>3.2770932805934183E-2</v>
      </c>
      <c r="BE25">
        <f>MAX(BE6:BE23)</f>
        <v>0.15761598951034481</v>
      </c>
    </row>
    <row r="26" spans="1:105" x14ac:dyDescent="0.25">
      <c r="V26" t="s">
        <v>12</v>
      </c>
      <c r="W26" t="s">
        <v>13</v>
      </c>
      <c r="X26" t="s">
        <v>14</v>
      </c>
      <c r="Y26" t="s">
        <v>15</v>
      </c>
      <c r="AD26" t="s">
        <v>21</v>
      </c>
      <c r="BF26" t="s">
        <v>127</v>
      </c>
      <c r="DA26" t="s">
        <v>167</v>
      </c>
    </row>
    <row r="27" spans="1:105" x14ac:dyDescent="0.25">
      <c r="X27" t="s">
        <v>22</v>
      </c>
      <c r="Y27" t="s">
        <v>16</v>
      </c>
      <c r="Z27" t="s">
        <v>17</v>
      </c>
      <c r="AA27" t="s">
        <v>18</v>
      </c>
      <c r="AB27" t="s">
        <v>19</v>
      </c>
      <c r="AC27" t="s">
        <v>20</v>
      </c>
      <c r="AD27" t="s">
        <v>16</v>
      </c>
      <c r="AE27" t="s">
        <v>17</v>
      </c>
      <c r="AF27" t="s">
        <v>18</v>
      </c>
      <c r="AG27" t="s">
        <v>19</v>
      </c>
      <c r="AH27" t="s">
        <v>20</v>
      </c>
    </row>
    <row r="28" spans="1:105" x14ac:dyDescent="0.25">
      <c r="U28">
        <v>1</v>
      </c>
      <c r="W28" s="8">
        <v>0.18</v>
      </c>
      <c r="X28" s="8">
        <v>6.01</v>
      </c>
      <c r="Y28" s="8">
        <v>7.4</v>
      </c>
      <c r="Z28" s="8">
        <v>5.5</v>
      </c>
      <c r="AA28" s="8">
        <v>2.9</v>
      </c>
      <c r="AB28" s="8">
        <v>2.8</v>
      </c>
      <c r="AC28" s="8">
        <v>2.5</v>
      </c>
      <c r="AD28" s="8">
        <v>1.26</v>
      </c>
      <c r="AE28" s="8">
        <v>1.23</v>
      </c>
      <c r="AF28" s="8">
        <v>1.66</v>
      </c>
      <c r="AG28" s="8">
        <v>1.55</v>
      </c>
      <c r="AH28" s="8">
        <v>1.47</v>
      </c>
      <c r="AK28">
        <f t="shared" ref="AK28" si="32">(Z28-Y28)/Y28</f>
        <v>-0.2567567567567568</v>
      </c>
      <c r="AL28">
        <f t="shared" ref="AL28" si="33">(AE28-AD28)/AD28</f>
        <v>-2.3809523809523829E-2</v>
      </c>
      <c r="AN28">
        <f>(AA28-Z28)/Z28</f>
        <v>-0.47272727272727272</v>
      </c>
      <c r="AP28">
        <f>(AB28-Z28)/Z28</f>
        <v>-0.49090909090909096</v>
      </c>
      <c r="AR28">
        <f>(AC28-Z28)/Z28</f>
        <v>-0.54545454545454541</v>
      </c>
      <c r="AS28">
        <f>(AF28-AE28)/AE28</f>
        <v>0.34959349593495931</v>
      </c>
      <c r="AT28">
        <f>(AG28-AE28)/AE28</f>
        <v>0.26016260162601629</v>
      </c>
      <c r="AU28">
        <f>(AH28-AE28)/AE28</f>
        <v>0.1951219512195122</v>
      </c>
      <c r="AW28">
        <f>X28/1000/(E6^2)</f>
        <v>0.28983410493827161</v>
      </c>
      <c r="AX28">
        <f>Y28/1000/E6</f>
        <v>5.1388888888888894E-2</v>
      </c>
      <c r="AY28">
        <f>AD28/SQRT(9.81*E6)</f>
        <v>1.0601194324269199</v>
      </c>
      <c r="BE28">
        <f>BE6*$CQ$42</f>
        <v>4.7727563489099116E-2</v>
      </c>
      <c r="BF28">
        <f>BF6*$CX$42</f>
        <v>0.67091122819357063</v>
      </c>
      <c r="BI28">
        <f>Z28/1000/E6</f>
        <v>3.8194444444444448E-2</v>
      </c>
      <c r="BJ28">
        <f>AE28/SQRT(9.81*E6)</f>
        <v>1.0348784935596123</v>
      </c>
      <c r="BM28">
        <f>BF6*$CX$42*($BT$82-$BT$83*0.2/E6)</f>
        <v>0.69141129349948538</v>
      </c>
    </row>
    <row r="29" spans="1:105" x14ac:dyDescent="0.25">
      <c r="U29">
        <v>2</v>
      </c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BE29">
        <f t="shared" ref="BE29:BE45" si="34">BE7*$CQ$42</f>
        <v>3.1094356043970019E-2</v>
      </c>
      <c r="BF29">
        <f t="shared" ref="BF29:BF45" si="35">BF7*$CX$42</f>
        <v>0.37515883063121913</v>
      </c>
      <c r="BN29" s="6"/>
    </row>
    <row r="30" spans="1:105" x14ac:dyDescent="0.25">
      <c r="U30">
        <v>3</v>
      </c>
      <c r="W30" s="8">
        <v>0.28000000000000003</v>
      </c>
      <c r="X30" s="8">
        <v>10.55</v>
      </c>
      <c r="Y30" s="8">
        <v>14.3</v>
      </c>
      <c r="Z30" s="8">
        <v>11</v>
      </c>
      <c r="AA30" s="8">
        <v>5.5</v>
      </c>
      <c r="AB30" s="8">
        <v>5.4</v>
      </c>
      <c r="AC30" s="8">
        <v>4.9000000000000004</v>
      </c>
      <c r="AD30" s="8">
        <v>1.53</v>
      </c>
      <c r="AE30" s="8">
        <v>1.46</v>
      </c>
      <c r="AF30" s="8">
        <v>2.13</v>
      </c>
      <c r="AG30" s="8">
        <v>2.36</v>
      </c>
      <c r="AH30" s="8">
        <v>2.2999999999999998</v>
      </c>
      <c r="AK30">
        <f t="shared" ref="AK30:AK45" si="36">(Z30-Y30)/Y30</f>
        <v>-0.23076923076923081</v>
      </c>
      <c r="AL30">
        <f t="shared" ref="AL30:AL44" si="37">(AE30-AD30)/AD30</f>
        <v>-4.5751633986928143E-2</v>
      </c>
      <c r="AN30">
        <f t="shared" ref="AN30:AN45" si="38">(AA30-Z30)/Z30</f>
        <v>-0.5</v>
      </c>
      <c r="AP30">
        <f>(AB30-Z30)/Z30</f>
        <v>-0.50909090909090904</v>
      </c>
      <c r="AR30">
        <f>(AC30-Z30)/Z30</f>
        <v>-0.55454545454545456</v>
      </c>
      <c r="AS30">
        <f>(AF30-AE30)/AE30</f>
        <v>0.45890410958904104</v>
      </c>
      <c r="AT30">
        <f>(AG30-AE30)/AE30</f>
        <v>0.61643835616438347</v>
      </c>
      <c r="AU30">
        <f>(AH30-AE30)/AE30</f>
        <v>0.57534246575342463</v>
      </c>
      <c r="AW30">
        <f t="shared" ref="AW30:AW45" si="39">X30/1000/(E8^2)</f>
        <v>0.46888888888888891</v>
      </c>
      <c r="AX30">
        <f t="shared" ref="AX30:AX45" si="40">Y30/1000/E8</f>
        <v>9.5333333333333339E-2</v>
      </c>
      <c r="AY30">
        <f t="shared" ref="AY30:AY45" si="41">AD30/SQRT(9.81*E8)</f>
        <v>1.2612793854152198</v>
      </c>
      <c r="BE30">
        <f t="shared" si="34"/>
        <v>6.7642206787320469E-2</v>
      </c>
      <c r="BF30">
        <f t="shared" si="35"/>
        <v>0.91597109908640584</v>
      </c>
      <c r="BI30">
        <f t="shared" ref="BI30:BI45" si="42">Z30/1000/E8</f>
        <v>7.3333333333333334E-2</v>
      </c>
      <c r="BJ30">
        <f t="shared" ref="BJ30:BJ43" si="43">AE30/SQRT(9.81*E8)</f>
        <v>1.2035737926184451</v>
      </c>
      <c r="BM30">
        <f t="shared" ref="BM30:BM43" si="44">BF8*$CX$42*($BT$82-$BT$83*0.2/E8)</f>
        <v>0.94650346905595284</v>
      </c>
    </row>
    <row r="31" spans="1:105" x14ac:dyDescent="0.25">
      <c r="U31">
        <v>4</v>
      </c>
      <c r="W31" s="8">
        <v>0.13</v>
      </c>
      <c r="X31" s="8">
        <v>4</v>
      </c>
      <c r="Y31" s="8">
        <v>5.8</v>
      </c>
      <c r="Z31" s="8">
        <v>3.6</v>
      </c>
      <c r="AA31" s="8">
        <v>1.7</v>
      </c>
      <c r="AB31" s="8">
        <v>2.1</v>
      </c>
      <c r="AC31" s="8">
        <v>1.7</v>
      </c>
      <c r="AD31" s="8">
        <v>0.99</v>
      </c>
      <c r="AE31" s="8">
        <v>0.99</v>
      </c>
      <c r="AF31" s="11"/>
      <c r="AG31" s="8">
        <v>1.19</v>
      </c>
      <c r="AH31" s="11"/>
      <c r="AK31">
        <f t="shared" si="36"/>
        <v>-0.37931034482758619</v>
      </c>
      <c r="AL31">
        <f t="shared" si="37"/>
        <v>0</v>
      </c>
      <c r="AN31">
        <f t="shared" si="38"/>
        <v>-0.52777777777777779</v>
      </c>
      <c r="AP31">
        <f t="shared" ref="AP31:AP45" si="45">(AB31-Z31)/Z31</f>
        <v>-0.41666666666666663</v>
      </c>
      <c r="AR31">
        <f>(AC31-Z31)/Z31</f>
        <v>-0.52777777777777779</v>
      </c>
      <c r="AT31">
        <f>(AG31-AE31)/AE31</f>
        <v>0.20202020202020199</v>
      </c>
      <c r="AW31">
        <f t="shared" si="39"/>
        <v>0.19837333862328904</v>
      </c>
      <c r="AX31">
        <f t="shared" si="40"/>
        <v>4.0845070422535212E-2</v>
      </c>
      <c r="AY31">
        <f t="shared" si="41"/>
        <v>0.83879632438869545</v>
      </c>
      <c r="BE31">
        <f t="shared" si="34"/>
        <v>4.3261452901454223E-2</v>
      </c>
      <c r="BF31">
        <f t="shared" si="35"/>
        <v>0.57958997015396874</v>
      </c>
      <c r="BI31">
        <f t="shared" si="42"/>
        <v>2.5352112676056339E-2</v>
      </c>
      <c r="BJ31">
        <f t="shared" si="43"/>
        <v>0.83879632438869545</v>
      </c>
      <c r="BM31">
        <f t="shared" si="44"/>
        <v>0.59673277208810027</v>
      </c>
    </row>
    <row r="32" spans="1:105" x14ac:dyDescent="0.25">
      <c r="U32">
        <v>5</v>
      </c>
      <c r="W32" s="8">
        <v>0.41</v>
      </c>
      <c r="X32" s="8">
        <v>16.34</v>
      </c>
      <c r="Y32" s="8">
        <v>21.2</v>
      </c>
      <c r="Z32" s="8">
        <v>16.399999999999999</v>
      </c>
      <c r="AA32" s="8">
        <v>9.8000000000000007</v>
      </c>
      <c r="AB32" s="8">
        <v>7.9</v>
      </c>
      <c r="AC32" s="8">
        <v>6.6</v>
      </c>
      <c r="AD32" s="8">
        <v>1.74</v>
      </c>
      <c r="AE32" s="8">
        <v>1.54</v>
      </c>
      <c r="AF32" s="8">
        <v>2.15</v>
      </c>
      <c r="AG32" s="8">
        <v>2.58</v>
      </c>
      <c r="AH32" s="8">
        <v>2.57</v>
      </c>
      <c r="AK32">
        <f t="shared" si="36"/>
        <v>-0.22641509433962267</v>
      </c>
      <c r="AL32">
        <f t="shared" si="37"/>
        <v>-0.11494252873563215</v>
      </c>
      <c r="AN32">
        <f t="shared" si="38"/>
        <v>-0.40243902439024382</v>
      </c>
      <c r="AP32">
        <f t="shared" si="45"/>
        <v>-0.51829268292682917</v>
      </c>
      <c r="AR32">
        <f>(AC32-Z32)/Z32</f>
        <v>-0.59756097560975607</v>
      </c>
      <c r="AS32">
        <f>(AF32-AE32)/AE32</f>
        <v>0.39610389610389601</v>
      </c>
      <c r="AT32">
        <f>(AG32-AE32)/AE32</f>
        <v>0.67532467532467533</v>
      </c>
      <c r="AU32">
        <f>(AH32-AE32)/AE32</f>
        <v>0.66883116883116867</v>
      </c>
      <c r="AW32">
        <f t="shared" si="39"/>
        <v>0.69802212824127474</v>
      </c>
      <c r="AX32">
        <f t="shared" si="40"/>
        <v>0.13856209150326798</v>
      </c>
      <c r="AY32">
        <f t="shared" si="41"/>
        <v>1.4202638372472265</v>
      </c>
      <c r="BE32">
        <f t="shared" si="34"/>
        <v>0.10153537102461735</v>
      </c>
      <c r="BF32">
        <f t="shared" si="35"/>
        <v>1.2558610500691247</v>
      </c>
      <c r="BI32">
        <f t="shared" si="42"/>
        <v>0.10718954248366012</v>
      </c>
      <c r="BJ32">
        <f t="shared" si="43"/>
        <v>1.2570151203222579</v>
      </c>
      <c r="BM32">
        <f t="shared" si="44"/>
        <v>1.2993647335028919</v>
      </c>
    </row>
    <row r="33" spans="11:105" x14ac:dyDescent="0.25">
      <c r="U33">
        <v>6</v>
      </c>
      <c r="W33" s="8">
        <v>0.27</v>
      </c>
      <c r="X33" s="8">
        <v>7.68</v>
      </c>
      <c r="Y33" s="8">
        <v>12.1</v>
      </c>
      <c r="Z33" s="8">
        <v>8.5</v>
      </c>
      <c r="AA33" s="8">
        <v>4.5999999999999996</v>
      </c>
      <c r="AB33" s="8">
        <v>4.3</v>
      </c>
      <c r="AC33" s="8">
        <v>3.5</v>
      </c>
      <c r="AD33" s="8">
        <v>1.39</v>
      </c>
      <c r="AE33" s="8">
        <v>1.34</v>
      </c>
      <c r="AF33" s="8">
        <v>1.85</v>
      </c>
      <c r="AG33" s="8">
        <v>1.94</v>
      </c>
      <c r="AH33" s="8">
        <v>2.0699999999999998</v>
      </c>
      <c r="AK33">
        <f t="shared" si="36"/>
        <v>-0.29752066115702475</v>
      </c>
      <c r="AL33">
        <f t="shared" si="37"/>
        <v>-3.5971223021582607E-2</v>
      </c>
      <c r="AN33">
        <f t="shared" si="38"/>
        <v>-0.45882352941176474</v>
      </c>
      <c r="AP33">
        <f t="shared" si="45"/>
        <v>-0.49411764705882355</v>
      </c>
      <c r="AR33">
        <f>(AC33-Z33)/Z33</f>
        <v>-0.58823529411764708</v>
      </c>
      <c r="AS33">
        <f>(AF33-AE33)/AE33</f>
        <v>0.38059701492537312</v>
      </c>
      <c r="AT33">
        <f>(AG33-AE33)/AE33</f>
        <v>0.4477611940298506</v>
      </c>
      <c r="AU33">
        <f>(AH33-AE33)/AE33</f>
        <v>0.54477611940298487</v>
      </c>
      <c r="AW33">
        <f t="shared" si="39"/>
        <v>0.3652794292508918</v>
      </c>
      <c r="AX33">
        <f t="shared" si="40"/>
        <v>8.3448275862068974E-2</v>
      </c>
      <c r="AY33">
        <f t="shared" si="41"/>
        <v>1.1654571093881287</v>
      </c>
      <c r="BE33">
        <f t="shared" si="34"/>
        <v>6.3109799846969919E-2</v>
      </c>
      <c r="BF33">
        <f t="shared" si="35"/>
        <v>0.82237141663963209</v>
      </c>
      <c r="BI33">
        <f t="shared" si="42"/>
        <v>5.862068965517242E-2</v>
      </c>
      <c r="BJ33">
        <f t="shared" si="43"/>
        <v>1.1235341917842394</v>
      </c>
      <c r="BM33">
        <f t="shared" si="44"/>
        <v>0.84789328819051735</v>
      </c>
    </row>
    <row r="34" spans="11:105" x14ac:dyDescent="0.25">
      <c r="U34">
        <v>7</v>
      </c>
      <c r="W34" s="8">
        <v>0.13</v>
      </c>
      <c r="X34" s="8">
        <v>3.86</v>
      </c>
      <c r="Y34" s="8">
        <v>6.4</v>
      </c>
      <c r="Z34" s="8">
        <v>3.9</v>
      </c>
      <c r="AA34" s="8">
        <v>1.9</v>
      </c>
      <c r="AB34" s="8">
        <v>1.8</v>
      </c>
      <c r="AC34" s="8">
        <v>0</v>
      </c>
      <c r="AD34" s="8">
        <v>0.84</v>
      </c>
      <c r="AE34" s="8">
        <v>1</v>
      </c>
      <c r="AF34" s="11">
        <v>0</v>
      </c>
      <c r="AG34" s="11">
        <v>0</v>
      </c>
      <c r="AH34" s="11">
        <v>0</v>
      </c>
      <c r="AK34">
        <f t="shared" si="36"/>
        <v>-0.39062500000000006</v>
      </c>
      <c r="AL34">
        <f t="shared" si="37"/>
        <v>0.19047619047619052</v>
      </c>
      <c r="AN34">
        <f t="shared" si="38"/>
        <v>-0.51282051282051289</v>
      </c>
      <c r="AP34">
        <f t="shared" si="45"/>
        <v>-0.53846153846153844</v>
      </c>
      <c r="AR34">
        <f>(AC34-Z34)/Z34</f>
        <v>-1</v>
      </c>
      <c r="AW34">
        <f t="shared" si="39"/>
        <v>0.20268851081705522</v>
      </c>
      <c r="AX34">
        <f t="shared" si="40"/>
        <v>4.6376811594202899E-2</v>
      </c>
      <c r="AY34">
        <f t="shared" si="41"/>
        <v>0.72194687219013853</v>
      </c>
      <c r="BE34">
        <f t="shared" si="34"/>
        <v>4.0578678818756861E-2</v>
      </c>
      <c r="BF34">
        <f t="shared" si="35"/>
        <v>0.51875283365541758</v>
      </c>
      <c r="BI34">
        <f t="shared" si="42"/>
        <v>2.8260869565217388E-2</v>
      </c>
      <c r="BJ34">
        <f t="shared" si="43"/>
        <v>0.85946056213111732</v>
      </c>
      <c r="BM34">
        <f t="shared" si="44"/>
        <v>0.53303733197346526</v>
      </c>
      <c r="BN34" s="6"/>
    </row>
    <row r="35" spans="11:105" x14ac:dyDescent="0.25">
      <c r="U35">
        <v>8</v>
      </c>
      <c r="W35" s="8">
        <v>0.48</v>
      </c>
      <c r="X35" s="8">
        <v>12.15</v>
      </c>
      <c r="Y35" s="8">
        <v>20.399999999999999</v>
      </c>
      <c r="Z35" s="8">
        <v>14.2</v>
      </c>
      <c r="AA35" s="8">
        <v>7.6</v>
      </c>
      <c r="AB35" s="8">
        <v>6.5</v>
      </c>
      <c r="AC35" s="8">
        <v>5.6</v>
      </c>
      <c r="AD35" s="8">
        <v>1.64</v>
      </c>
      <c r="AE35" s="8">
        <v>1.42</v>
      </c>
      <c r="AF35" s="8">
        <v>2.09</v>
      </c>
      <c r="AG35" s="8">
        <v>2.38</v>
      </c>
      <c r="AH35" s="8">
        <v>2.4300000000000002</v>
      </c>
      <c r="AK35">
        <f t="shared" si="36"/>
        <v>-0.30392156862745096</v>
      </c>
      <c r="AL35">
        <f t="shared" si="37"/>
        <v>-0.13414634146341461</v>
      </c>
      <c r="AN35">
        <f t="shared" si="38"/>
        <v>-0.46478873239436619</v>
      </c>
      <c r="AP35">
        <f t="shared" si="45"/>
        <v>-0.54225352112676051</v>
      </c>
      <c r="AR35">
        <f t="shared" ref="AR35:AR45" si="46">(AC35-Z35)/Z35</f>
        <v>-0.60563380281690138</v>
      </c>
      <c r="AS35">
        <f t="shared" ref="AS35:AS44" si="47">(AF35-AE35)/AE35</f>
        <v>0.47183098591549294</v>
      </c>
      <c r="AT35">
        <f t="shared" ref="AT35:AT44" si="48">(AG35-AE35)/AE35</f>
        <v>0.676056338028169</v>
      </c>
      <c r="AU35">
        <f t="shared" ref="AU35:AU44" si="49">(AH35-AE35)/AE35</f>
        <v>0.71126760563380298</v>
      </c>
      <c r="AW35">
        <f t="shared" si="39"/>
        <v>0.56226572261557695</v>
      </c>
      <c r="AX35">
        <f t="shared" si="40"/>
        <v>0.13877551020408163</v>
      </c>
      <c r="AY35">
        <f t="shared" si="41"/>
        <v>1.3656854327661632</v>
      </c>
      <c r="BE35">
        <f t="shared" si="34"/>
        <v>0.10807525549981976</v>
      </c>
      <c r="BF35">
        <f t="shared" si="35"/>
        <v>1.2341699737304106</v>
      </c>
      <c r="BI35">
        <f t="shared" si="42"/>
        <v>9.6598639455782315E-2</v>
      </c>
      <c r="BJ35">
        <f t="shared" si="43"/>
        <v>1.1824837283707021</v>
      </c>
      <c r="BM35">
        <f t="shared" si="44"/>
        <v>1.2736298300333557</v>
      </c>
    </row>
    <row r="36" spans="11:105" x14ac:dyDescent="0.25">
      <c r="U36">
        <v>9</v>
      </c>
      <c r="W36" s="8">
        <v>0.37</v>
      </c>
      <c r="X36" s="8">
        <v>6.09</v>
      </c>
      <c r="Y36" s="8">
        <v>11.7</v>
      </c>
      <c r="Z36" s="8">
        <v>7</v>
      </c>
      <c r="AA36" s="8">
        <v>3.7</v>
      </c>
      <c r="AB36" s="8">
        <v>4.0999999999999996</v>
      </c>
      <c r="AC36" s="8">
        <v>3.5</v>
      </c>
      <c r="AD36" s="8">
        <v>1.32</v>
      </c>
      <c r="AE36" s="8">
        <v>1.29</v>
      </c>
      <c r="AF36" s="8">
        <v>1.86</v>
      </c>
      <c r="AG36" s="8">
        <v>1.84</v>
      </c>
      <c r="AH36" s="8">
        <v>1.81</v>
      </c>
      <c r="AK36">
        <f t="shared" si="36"/>
        <v>-0.40170940170940167</v>
      </c>
      <c r="AL36">
        <f t="shared" si="37"/>
        <v>-2.2727272727272745E-2</v>
      </c>
      <c r="AN36">
        <f t="shared" si="38"/>
        <v>-0.47142857142857142</v>
      </c>
      <c r="AP36">
        <f t="shared" si="45"/>
        <v>-0.41428571428571431</v>
      </c>
      <c r="AR36">
        <f t="shared" si="46"/>
        <v>-0.5</v>
      </c>
      <c r="AS36">
        <f t="shared" si="47"/>
        <v>0.44186046511627913</v>
      </c>
      <c r="AT36">
        <f t="shared" si="48"/>
        <v>0.42635658914728686</v>
      </c>
      <c r="AU36">
        <f t="shared" si="49"/>
        <v>0.40310077519379844</v>
      </c>
      <c r="AW36">
        <f t="shared" si="39"/>
        <v>0.31071428571428567</v>
      </c>
      <c r="AX36">
        <f t="shared" si="40"/>
        <v>8.3571428571428547E-2</v>
      </c>
      <c r="AY36">
        <f t="shared" si="41"/>
        <v>1.1263553071081034</v>
      </c>
      <c r="BE36">
        <f t="shared" si="34"/>
        <v>7.0666028106686929E-2</v>
      </c>
      <c r="BF36">
        <f t="shared" si="35"/>
        <v>0.85551904376573662</v>
      </c>
      <c r="BI36">
        <f t="shared" si="42"/>
        <v>4.9999999999999996E-2</v>
      </c>
      <c r="BJ36">
        <f t="shared" si="43"/>
        <v>1.1007563228556465</v>
      </c>
      <c r="BM36">
        <f t="shared" si="44"/>
        <v>0.87996244501618637</v>
      </c>
    </row>
    <row r="37" spans="11:105" x14ac:dyDescent="0.25">
      <c r="U37">
        <v>10</v>
      </c>
      <c r="W37" s="8">
        <v>0.62</v>
      </c>
      <c r="X37" s="8">
        <v>16.57</v>
      </c>
      <c r="Y37" s="8">
        <v>22.9</v>
      </c>
      <c r="Z37" s="8">
        <v>15.6</v>
      </c>
      <c r="AA37" s="8">
        <v>9.3000000000000007</v>
      </c>
      <c r="AB37" s="8">
        <v>7.4</v>
      </c>
      <c r="AC37" s="8">
        <v>6.6</v>
      </c>
      <c r="AD37" s="8">
        <v>1.7</v>
      </c>
      <c r="AE37" s="8">
        <v>1.47</v>
      </c>
      <c r="AF37" s="8">
        <v>2.11</v>
      </c>
      <c r="AG37" s="8">
        <v>2.44</v>
      </c>
      <c r="AH37" s="8">
        <v>2.46</v>
      </c>
      <c r="AK37">
        <f t="shared" si="36"/>
        <v>-0.31877729257641918</v>
      </c>
      <c r="AL37">
        <f t="shared" si="37"/>
        <v>-0.13529411764705881</v>
      </c>
      <c r="AN37">
        <f t="shared" si="38"/>
        <v>-0.4038461538461538</v>
      </c>
      <c r="AP37">
        <f t="shared" si="45"/>
        <v>-0.52564102564102566</v>
      </c>
      <c r="AR37">
        <f t="shared" si="46"/>
        <v>-0.57692307692307698</v>
      </c>
      <c r="AS37">
        <f t="shared" si="47"/>
        <v>0.43537414965986387</v>
      </c>
      <c r="AT37">
        <f t="shared" si="48"/>
        <v>0.65986394557823125</v>
      </c>
      <c r="AU37">
        <f t="shared" si="49"/>
        <v>0.67346938775510201</v>
      </c>
      <c r="AW37">
        <f t="shared" si="39"/>
        <v>0.79909336419753108</v>
      </c>
      <c r="AX37">
        <f t="shared" si="40"/>
        <v>0.1590277777777778</v>
      </c>
      <c r="AY37">
        <f t="shared" si="41"/>
        <v>1.4303198691474315</v>
      </c>
      <c r="BE37">
        <f t="shared" si="34"/>
        <v>0.14185439055931032</v>
      </c>
      <c r="BF37">
        <f t="shared" si="35"/>
        <v>1.3915500427240459</v>
      </c>
      <c r="BI37">
        <f t="shared" si="42"/>
        <v>0.10833333333333334</v>
      </c>
      <c r="BJ37">
        <f t="shared" si="43"/>
        <v>1.2368060044980731</v>
      </c>
      <c r="BM37">
        <f t="shared" si="44"/>
        <v>1.4340696273628364</v>
      </c>
    </row>
    <row r="38" spans="11:105" x14ac:dyDescent="0.25">
      <c r="U38">
        <v>11</v>
      </c>
      <c r="W38" s="8">
        <v>0.36</v>
      </c>
      <c r="X38" s="8">
        <v>10.92</v>
      </c>
      <c r="Y38" s="8">
        <v>16</v>
      </c>
      <c r="Z38" s="8">
        <v>11.3</v>
      </c>
      <c r="AA38" s="8">
        <v>5.8</v>
      </c>
      <c r="AB38" s="8">
        <v>5.7</v>
      </c>
      <c r="AC38" s="8">
        <v>4.9000000000000004</v>
      </c>
      <c r="AD38" s="8">
        <v>1.55</v>
      </c>
      <c r="AE38" s="8">
        <v>1.46</v>
      </c>
      <c r="AF38" s="8">
        <v>2.0699999999999998</v>
      </c>
      <c r="AG38" s="8">
        <v>2.2999999999999998</v>
      </c>
      <c r="AH38" s="8">
        <v>2.34</v>
      </c>
      <c r="AK38">
        <f t="shared" si="36"/>
        <v>-0.29374999999999996</v>
      </c>
      <c r="AL38">
        <f t="shared" si="37"/>
        <v>-5.8064516129032309E-2</v>
      </c>
      <c r="AN38">
        <f t="shared" si="38"/>
        <v>-0.48672566371681419</v>
      </c>
      <c r="AP38">
        <f t="shared" si="45"/>
        <v>-0.49557522123893805</v>
      </c>
      <c r="AR38">
        <f t="shared" si="46"/>
        <v>-0.5663716814159292</v>
      </c>
      <c r="AS38">
        <f t="shared" si="47"/>
        <v>0.41780821917808214</v>
      </c>
      <c r="AT38">
        <f t="shared" si="48"/>
        <v>0.57534246575342463</v>
      </c>
      <c r="AU38">
        <f t="shared" si="49"/>
        <v>0.60273972602739723</v>
      </c>
      <c r="AW38">
        <f t="shared" si="39"/>
        <v>0.47264542936288084</v>
      </c>
      <c r="AX38">
        <f t="shared" si="40"/>
        <v>0.10526315789473685</v>
      </c>
      <c r="AY38">
        <f t="shared" si="41"/>
        <v>1.2693325018560957</v>
      </c>
      <c r="BE38">
        <f t="shared" si="34"/>
        <v>8.8078604248784567E-2</v>
      </c>
      <c r="BF38">
        <f t="shared" si="35"/>
        <v>1.1123078930409778</v>
      </c>
      <c r="BI38">
        <f t="shared" si="42"/>
        <v>7.4342105263157904E-2</v>
      </c>
      <c r="BJ38">
        <f t="shared" si="43"/>
        <v>1.1956293243289673</v>
      </c>
      <c r="BM38">
        <f t="shared" si="44"/>
        <v>1.1503605314871164</v>
      </c>
    </row>
    <row r="39" spans="11:105" x14ac:dyDescent="0.25">
      <c r="U39">
        <v>12</v>
      </c>
      <c r="W39" s="8">
        <v>0.28999999999999998</v>
      </c>
      <c r="X39" s="8">
        <v>9.19</v>
      </c>
      <c r="Y39" s="8">
        <v>14</v>
      </c>
      <c r="Z39" s="8">
        <v>9.6999999999999993</v>
      </c>
      <c r="AA39" s="8">
        <v>4.9000000000000004</v>
      </c>
      <c r="AB39" s="8">
        <v>4.7</v>
      </c>
      <c r="AC39" s="8">
        <v>4.5</v>
      </c>
      <c r="AD39" s="8">
        <v>1.53</v>
      </c>
      <c r="AE39" s="8">
        <v>1.35</v>
      </c>
      <c r="AF39" s="8">
        <v>1.96</v>
      </c>
      <c r="AG39" s="8">
        <v>2.12</v>
      </c>
      <c r="AH39" s="8">
        <v>2.09</v>
      </c>
      <c r="AK39">
        <f t="shared" si="36"/>
        <v>-0.30714285714285722</v>
      </c>
      <c r="AL39">
        <f t="shared" si="37"/>
        <v>-0.11764705882352937</v>
      </c>
      <c r="AN39">
        <f t="shared" si="38"/>
        <v>-0.49484536082474218</v>
      </c>
      <c r="AP39">
        <f t="shared" si="45"/>
        <v>-0.51546391752577314</v>
      </c>
      <c r="AR39">
        <f t="shared" si="46"/>
        <v>-0.53608247422680411</v>
      </c>
      <c r="AS39">
        <f t="shared" si="47"/>
        <v>0.45185185185185173</v>
      </c>
      <c r="AT39">
        <f t="shared" si="48"/>
        <v>0.57037037037037031</v>
      </c>
      <c r="AU39">
        <f t="shared" si="49"/>
        <v>0.54814814814814794</v>
      </c>
      <c r="AW39">
        <f t="shared" si="39"/>
        <v>0.41955807158509867</v>
      </c>
      <c r="AX39">
        <f t="shared" si="40"/>
        <v>9.45945945945946E-2</v>
      </c>
      <c r="AY39">
        <f t="shared" si="41"/>
        <v>1.2697729452570719</v>
      </c>
      <c r="BE39">
        <f t="shared" si="34"/>
        <v>7.3614052313827075E-2</v>
      </c>
      <c r="BF39">
        <f t="shared" si="35"/>
        <v>0.96072609867535042</v>
      </c>
      <c r="BI39">
        <f t="shared" si="42"/>
        <v>6.5540540540540537E-2</v>
      </c>
      <c r="BJ39">
        <f t="shared" si="43"/>
        <v>1.1203878928738871</v>
      </c>
      <c r="BM39">
        <f t="shared" si="44"/>
        <v>0.99188478295671323</v>
      </c>
    </row>
    <row r="40" spans="11:105" x14ac:dyDescent="0.25">
      <c r="U40">
        <v>13</v>
      </c>
      <c r="W40" s="8">
        <v>0.26</v>
      </c>
      <c r="X40" s="8">
        <v>8.09</v>
      </c>
      <c r="Y40" s="8">
        <v>11.7</v>
      </c>
      <c r="Z40" s="8">
        <v>8.1</v>
      </c>
      <c r="AA40" s="8">
        <v>4.0999999999999996</v>
      </c>
      <c r="AB40" s="8">
        <v>4.5</v>
      </c>
      <c r="AC40" s="8">
        <v>3.7</v>
      </c>
      <c r="AD40" s="8">
        <v>1.44</v>
      </c>
      <c r="AE40" s="8">
        <v>1.35</v>
      </c>
      <c r="AF40" s="8">
        <v>1.94</v>
      </c>
      <c r="AG40" s="8">
        <v>1.99</v>
      </c>
      <c r="AH40" s="8">
        <v>2.06</v>
      </c>
      <c r="AK40">
        <f t="shared" si="36"/>
        <v>-0.30769230769230765</v>
      </c>
      <c r="AL40">
        <f t="shared" si="37"/>
        <v>-6.2499999999999903E-2</v>
      </c>
      <c r="AN40">
        <f t="shared" si="38"/>
        <v>-0.49382716049382719</v>
      </c>
      <c r="AP40">
        <f t="shared" si="45"/>
        <v>-0.44444444444444442</v>
      </c>
      <c r="AR40">
        <f t="shared" si="46"/>
        <v>-0.54320987654320985</v>
      </c>
      <c r="AS40">
        <f t="shared" si="47"/>
        <v>0.43703703703703689</v>
      </c>
      <c r="AT40">
        <f t="shared" si="48"/>
        <v>0.47407407407407398</v>
      </c>
      <c r="AU40">
        <f t="shared" si="49"/>
        <v>0.52592592592592591</v>
      </c>
      <c r="AW40">
        <f t="shared" si="39"/>
        <v>0.41871538740230824</v>
      </c>
      <c r="AX40">
        <f t="shared" si="40"/>
        <v>8.4172661870503582E-2</v>
      </c>
      <c r="AY40">
        <f t="shared" si="41"/>
        <v>1.2331632915060029</v>
      </c>
      <c r="BE40">
        <f t="shared" si="34"/>
        <v>6.2596377641129936E-2</v>
      </c>
      <c r="BF40">
        <f t="shared" si="35"/>
        <v>0.84274043161937329</v>
      </c>
      <c r="BI40">
        <f t="shared" si="42"/>
        <v>5.8273381294964018E-2</v>
      </c>
      <c r="BJ40">
        <f t="shared" si="43"/>
        <v>1.1560905857868777</v>
      </c>
      <c r="BM40">
        <f t="shared" si="44"/>
        <v>0.86638566675113993</v>
      </c>
    </row>
    <row r="41" spans="11:105" x14ac:dyDescent="0.25">
      <c r="U41">
        <v>14</v>
      </c>
      <c r="W41" s="8">
        <v>0.22</v>
      </c>
      <c r="X41" s="8">
        <v>6.76</v>
      </c>
      <c r="Y41" s="8">
        <v>10.1</v>
      </c>
      <c r="Z41" s="8">
        <v>7.3</v>
      </c>
      <c r="AA41" s="8">
        <v>3.4</v>
      </c>
      <c r="AB41" s="8">
        <v>3.7</v>
      </c>
      <c r="AC41" s="8">
        <v>3.4</v>
      </c>
      <c r="AD41" s="8">
        <v>1.29</v>
      </c>
      <c r="AE41" s="8">
        <v>1.33</v>
      </c>
      <c r="AF41" s="8">
        <v>1.86</v>
      </c>
      <c r="AG41" s="8">
        <v>1.88</v>
      </c>
      <c r="AH41" s="8">
        <v>1.9</v>
      </c>
      <c r="AK41">
        <f t="shared" si="36"/>
        <v>-0.2772277227722772</v>
      </c>
      <c r="AL41">
        <f t="shared" si="37"/>
        <v>3.1007751937984523E-2</v>
      </c>
      <c r="AN41">
        <f t="shared" si="38"/>
        <v>-0.53424657534246578</v>
      </c>
      <c r="AP41">
        <f t="shared" si="45"/>
        <v>-0.49315068493150682</v>
      </c>
      <c r="AR41">
        <f t="shared" si="46"/>
        <v>-0.53424657534246578</v>
      </c>
      <c r="AS41">
        <f t="shared" si="47"/>
        <v>0.39849624060150374</v>
      </c>
      <c r="AT41">
        <f t="shared" si="48"/>
        <v>0.41353383458646603</v>
      </c>
      <c r="AU41">
        <f t="shared" si="49"/>
        <v>0.42857142857142844</v>
      </c>
      <c r="AW41">
        <f t="shared" si="39"/>
        <v>0.39999999999999991</v>
      </c>
      <c r="AX41">
        <f t="shared" si="40"/>
        <v>7.7692307692307686E-2</v>
      </c>
      <c r="AY41">
        <f t="shared" si="41"/>
        <v>1.1423088209779881</v>
      </c>
      <c r="BE41">
        <f t="shared" si="34"/>
        <v>6.1149146344098321E-2</v>
      </c>
      <c r="BF41">
        <f t="shared" si="35"/>
        <v>0.8387852238586937</v>
      </c>
      <c r="BI41">
        <f t="shared" si="42"/>
        <v>5.6153846153846151E-2</v>
      </c>
      <c r="BJ41">
        <f t="shared" si="43"/>
        <v>1.1777292495354452</v>
      </c>
      <c r="BM41">
        <f t="shared" si="44"/>
        <v>0.85814180594774059</v>
      </c>
    </row>
    <row r="42" spans="11:105" x14ac:dyDescent="0.25">
      <c r="U42">
        <v>15</v>
      </c>
      <c r="W42" s="8">
        <v>0.19</v>
      </c>
      <c r="X42" s="8">
        <v>5.63</v>
      </c>
      <c r="Y42" s="8">
        <v>7.6</v>
      </c>
      <c r="Z42" s="8">
        <v>5</v>
      </c>
      <c r="AA42" s="8">
        <v>2.4</v>
      </c>
      <c r="AB42" s="8">
        <v>3.1</v>
      </c>
      <c r="AC42" s="8">
        <v>2.4</v>
      </c>
      <c r="AD42" s="8">
        <v>1.0900000000000001</v>
      </c>
      <c r="AE42" s="8">
        <v>1.17</v>
      </c>
      <c r="AF42" s="8">
        <v>1.71</v>
      </c>
      <c r="AG42" s="8">
        <v>1.56</v>
      </c>
      <c r="AH42" s="8">
        <v>1.68</v>
      </c>
      <c r="AK42">
        <f t="shared" si="36"/>
        <v>-0.34210526315789469</v>
      </c>
      <c r="AL42">
        <f t="shared" si="37"/>
        <v>7.3394495412843888E-2</v>
      </c>
      <c r="AN42">
        <f t="shared" si="38"/>
        <v>-0.52</v>
      </c>
      <c r="AP42">
        <f t="shared" si="45"/>
        <v>-0.38</v>
      </c>
      <c r="AR42">
        <f t="shared" si="46"/>
        <v>-0.52</v>
      </c>
      <c r="AS42">
        <f t="shared" si="47"/>
        <v>0.46153846153846162</v>
      </c>
      <c r="AT42">
        <f t="shared" si="48"/>
        <v>0.33333333333333348</v>
      </c>
      <c r="AU42">
        <f t="shared" si="49"/>
        <v>0.43589743589743596</v>
      </c>
      <c r="AW42">
        <f t="shared" si="39"/>
        <v>0.27921047411227934</v>
      </c>
      <c r="AX42">
        <f t="shared" si="40"/>
        <v>5.3521126760563385E-2</v>
      </c>
      <c r="AY42">
        <f t="shared" si="41"/>
        <v>0.92352322584209912</v>
      </c>
      <c r="BE42">
        <f t="shared" si="34"/>
        <v>5.3832181753039922E-2</v>
      </c>
      <c r="BF42">
        <f t="shared" si="35"/>
        <v>0.70656318694974851</v>
      </c>
      <c r="BI42">
        <f t="shared" si="42"/>
        <v>3.5211267605633804E-2</v>
      </c>
      <c r="BJ42">
        <f t="shared" si="43"/>
        <v>0.99130474700482185</v>
      </c>
      <c r="BM42">
        <f t="shared" si="44"/>
        <v>0.72746153473276942</v>
      </c>
      <c r="CN42" t="s">
        <v>151</v>
      </c>
      <c r="CQ42">
        <v>0.9</v>
      </c>
      <c r="CU42" t="s">
        <v>152</v>
      </c>
      <c r="CX42">
        <v>0.76</v>
      </c>
    </row>
    <row r="43" spans="11:105" x14ac:dyDescent="0.25">
      <c r="K43" t="s">
        <v>37</v>
      </c>
      <c r="U43">
        <v>16</v>
      </c>
      <c r="W43" s="8">
        <v>0.17</v>
      </c>
      <c r="X43" s="8">
        <v>5.28</v>
      </c>
      <c r="Y43" s="8">
        <v>7.6</v>
      </c>
      <c r="Z43" s="8">
        <v>5</v>
      </c>
      <c r="AA43" s="8">
        <v>2.5</v>
      </c>
      <c r="AB43" s="8">
        <v>2.8</v>
      </c>
      <c r="AC43" s="8">
        <v>2.2000000000000002</v>
      </c>
      <c r="AD43" s="8">
        <v>1.08</v>
      </c>
      <c r="AE43" s="8">
        <v>1.1100000000000001</v>
      </c>
      <c r="AF43" s="8">
        <v>1.58</v>
      </c>
      <c r="AG43" s="8">
        <v>1.54</v>
      </c>
      <c r="AH43" s="8">
        <v>1.53</v>
      </c>
      <c r="AK43">
        <f t="shared" si="36"/>
        <v>-0.34210526315789469</v>
      </c>
      <c r="AL43">
        <f t="shared" si="37"/>
        <v>2.7777777777777801E-2</v>
      </c>
      <c r="AN43">
        <f t="shared" si="38"/>
        <v>-0.5</v>
      </c>
      <c r="AP43">
        <f t="shared" si="45"/>
        <v>-0.44000000000000006</v>
      </c>
      <c r="AR43">
        <f t="shared" si="46"/>
        <v>-0.55999999999999994</v>
      </c>
      <c r="AS43">
        <f t="shared" si="47"/>
        <v>0.42342342342342337</v>
      </c>
      <c r="AT43">
        <f t="shared" si="48"/>
        <v>0.38738738738738732</v>
      </c>
      <c r="AU43">
        <f t="shared" si="49"/>
        <v>0.37837837837837829</v>
      </c>
      <c r="AW43">
        <f t="shared" si="39"/>
        <v>0.27725267800882164</v>
      </c>
      <c r="AX43">
        <f t="shared" si="40"/>
        <v>5.5072463768115934E-2</v>
      </c>
      <c r="AY43">
        <f t="shared" si="41"/>
        <v>0.92821740710160683</v>
      </c>
      <c r="BE43">
        <f t="shared" si="34"/>
        <v>4.6317540328698899E-2</v>
      </c>
      <c r="BF43">
        <f t="shared" si="35"/>
        <v>0.6162401465881916</v>
      </c>
      <c r="BI43">
        <f t="shared" si="42"/>
        <v>3.6231884057971009E-2</v>
      </c>
      <c r="BJ43">
        <f t="shared" si="43"/>
        <v>0.95400122396554032</v>
      </c>
      <c r="BM43">
        <f t="shared" si="44"/>
        <v>0.63320907816090988</v>
      </c>
    </row>
    <row r="44" spans="11:105" x14ac:dyDescent="0.25">
      <c r="U44">
        <v>17</v>
      </c>
      <c r="W44" s="8">
        <v>0.09</v>
      </c>
      <c r="X44" s="8">
        <v>2.85</v>
      </c>
      <c r="Y44" s="8">
        <v>3.3</v>
      </c>
      <c r="Z44" s="8">
        <v>1.9</v>
      </c>
      <c r="AA44" s="8">
        <v>1.1000000000000001</v>
      </c>
      <c r="AB44" s="8">
        <v>1.3</v>
      </c>
      <c r="AC44" s="11">
        <v>0</v>
      </c>
      <c r="AD44" s="8">
        <v>0.76</v>
      </c>
      <c r="AE44" s="11">
        <v>0</v>
      </c>
      <c r="AF44" s="11">
        <v>0</v>
      </c>
      <c r="AG44" s="11">
        <v>0</v>
      </c>
      <c r="AH44" s="11">
        <v>0</v>
      </c>
      <c r="AK44">
        <f t="shared" si="36"/>
        <v>-0.42424242424242425</v>
      </c>
      <c r="AL44">
        <f t="shared" si="37"/>
        <v>-1</v>
      </c>
      <c r="AN44">
        <f t="shared" si="38"/>
        <v>-0.42105263157894729</v>
      </c>
      <c r="AP44">
        <f t="shared" si="45"/>
        <v>-0.31578947368421045</v>
      </c>
      <c r="AR44">
        <f t="shared" si="46"/>
        <v>-1</v>
      </c>
      <c r="AS44" t="e">
        <f t="shared" si="47"/>
        <v>#DIV/0!</v>
      </c>
      <c r="AT44" t="e">
        <f t="shared" si="48"/>
        <v>#DIV/0!</v>
      </c>
      <c r="AU44" t="e">
        <f t="shared" si="49"/>
        <v>#DIV/0!</v>
      </c>
      <c r="AW44">
        <f t="shared" si="39"/>
        <v>0.16111707841031148</v>
      </c>
      <c r="AX44">
        <f t="shared" si="40"/>
        <v>2.4812030075187969E-2</v>
      </c>
      <c r="AY44">
        <f t="shared" si="41"/>
        <v>0.66535475985253489</v>
      </c>
      <c r="BE44">
        <f t="shared" si="34"/>
        <v>3.5052721642065902E-2</v>
      </c>
      <c r="BF44">
        <f t="shared" si="35"/>
        <v>0.44313539394503676</v>
      </c>
      <c r="BI44">
        <f t="shared" si="42"/>
        <v>1.4285714285714285E-2</v>
      </c>
      <c r="BO44" s="6"/>
      <c r="BP44" s="6"/>
      <c r="BQ44" s="6"/>
    </row>
    <row r="45" spans="11:105" x14ac:dyDescent="0.25">
      <c r="U45">
        <v>18</v>
      </c>
      <c r="W45" s="8">
        <v>0.08</v>
      </c>
      <c r="X45" s="8">
        <v>1.93</v>
      </c>
      <c r="Y45" s="8">
        <v>2.5</v>
      </c>
      <c r="Z45" s="8">
        <v>1.5</v>
      </c>
      <c r="AA45" s="8">
        <v>0</v>
      </c>
      <c r="AB45" s="8">
        <v>1.1000000000000001</v>
      </c>
      <c r="AC45" s="11">
        <v>0</v>
      </c>
      <c r="AD45" s="8">
        <v>0.71</v>
      </c>
      <c r="AE45" s="11">
        <v>0</v>
      </c>
      <c r="AF45" s="11">
        <v>0</v>
      </c>
      <c r="AG45" s="11">
        <v>0</v>
      </c>
      <c r="AH45" s="11">
        <v>0</v>
      </c>
      <c r="AK45">
        <f t="shared" si="36"/>
        <v>-0.4</v>
      </c>
      <c r="AN45">
        <f t="shared" si="38"/>
        <v>-1</v>
      </c>
      <c r="AP45">
        <f t="shared" si="45"/>
        <v>-0.26666666666666661</v>
      </c>
      <c r="AR45">
        <f t="shared" si="46"/>
        <v>-1</v>
      </c>
      <c r="AW45">
        <f t="shared" si="39"/>
        <v>0.12156714537666917</v>
      </c>
      <c r="AX45">
        <f t="shared" si="40"/>
        <v>1.984126984126984E-2</v>
      </c>
      <c r="AY45">
        <f t="shared" si="41"/>
        <v>0.63861420197142282</v>
      </c>
      <c r="BE45">
        <f t="shared" si="34"/>
        <v>3.3228289814127149E-2</v>
      </c>
      <c r="BF45">
        <f t="shared" si="35"/>
        <v>0.4145476002268248</v>
      </c>
      <c r="BI45">
        <f t="shared" si="42"/>
        <v>1.1904761904761904E-2</v>
      </c>
      <c r="BO45" s="6"/>
      <c r="BP45" s="6"/>
      <c r="BQ45" s="6"/>
    </row>
    <row r="47" spans="11:105" x14ac:dyDescent="0.25">
      <c r="V47" t="s">
        <v>32</v>
      </c>
      <c r="AL47">
        <f>AVERAGE(AL28:AL45)</f>
        <v>-8.9262375046198605E-2</v>
      </c>
    </row>
    <row r="48" spans="11:105" x14ac:dyDescent="0.25">
      <c r="V48" t="s">
        <v>12</v>
      </c>
      <c r="W48" t="s">
        <v>13</v>
      </c>
      <c r="X48" t="s">
        <v>14</v>
      </c>
      <c r="Y48" t="s">
        <v>15</v>
      </c>
      <c r="AD48" t="s">
        <v>21</v>
      </c>
      <c r="AM48" t="s">
        <v>101</v>
      </c>
      <c r="AO48" t="s">
        <v>101</v>
      </c>
      <c r="AQ48" t="s">
        <v>101</v>
      </c>
      <c r="DA48" t="s">
        <v>168</v>
      </c>
    </row>
    <row r="49" spans="8:80" x14ac:dyDescent="0.25">
      <c r="X49" t="s">
        <v>22</v>
      </c>
      <c r="Y49" t="s">
        <v>16</v>
      </c>
      <c r="Z49" t="s">
        <v>17</v>
      </c>
      <c r="AA49" t="s">
        <v>18</v>
      </c>
      <c r="AB49" t="s">
        <v>19</v>
      </c>
      <c r="AC49" t="s">
        <v>20</v>
      </c>
      <c r="AD49" t="s">
        <v>16</v>
      </c>
      <c r="AE49" t="s">
        <v>17</v>
      </c>
      <c r="AF49" t="s">
        <v>18</v>
      </c>
      <c r="AG49" t="s">
        <v>19</v>
      </c>
      <c r="AH49" t="s">
        <v>20</v>
      </c>
    </row>
    <row r="50" spans="8:80" x14ac:dyDescent="0.25">
      <c r="H50">
        <v>0</v>
      </c>
      <c r="I50">
        <v>0</v>
      </c>
      <c r="U50">
        <v>1</v>
      </c>
      <c r="W50" s="8">
        <v>0.13</v>
      </c>
      <c r="X50" s="8">
        <v>6.12</v>
      </c>
      <c r="Y50" s="8">
        <v>7.1</v>
      </c>
      <c r="Z50" s="8">
        <v>6.5</v>
      </c>
      <c r="AA50" s="8">
        <v>2.8</v>
      </c>
      <c r="AB50" s="8">
        <v>2.8</v>
      </c>
      <c r="AC50" s="8">
        <v>2.2999999999999998</v>
      </c>
      <c r="AD50" s="8">
        <v>1.1200000000000001</v>
      </c>
      <c r="AE50" s="8">
        <v>0.63</v>
      </c>
      <c r="AF50" s="8">
        <v>1.48</v>
      </c>
      <c r="AG50" s="8">
        <v>1.64</v>
      </c>
      <c r="AH50" s="8">
        <v>1.44</v>
      </c>
      <c r="AJ50">
        <f t="shared" ref="AJ50:AJ67" si="50">1.1/E6</f>
        <v>7.6388888888888902</v>
      </c>
      <c r="AK50">
        <f t="shared" ref="AK50" si="51">(Z50-Y50)/Y50</f>
        <v>-8.4507042253521084E-2</v>
      </c>
      <c r="AL50">
        <f>(AE50-AD50)/AD50</f>
        <v>-0.43750000000000006</v>
      </c>
      <c r="AM50">
        <f>0.1/E6</f>
        <v>0.69444444444444453</v>
      </c>
      <c r="AN50">
        <f>(AA50-Z50)/Z50</f>
        <v>-0.56923076923076921</v>
      </c>
      <c r="AO50">
        <f>0.25/E6</f>
        <v>1.7361111111111112</v>
      </c>
      <c r="AP50">
        <f>(AB50-Z50)/Z50</f>
        <v>-0.56923076923076921</v>
      </c>
      <c r="AQ50">
        <f>0.4/E6</f>
        <v>2.7777777777777781</v>
      </c>
      <c r="AR50">
        <f>(AC50-Z50)/Z50</f>
        <v>-0.64615384615384619</v>
      </c>
      <c r="AS50">
        <f>(AF50-AE50)/AE50</f>
        <v>1.3492063492063491</v>
      </c>
      <c r="AT50">
        <f>(AG50-AE50)/AE50</f>
        <v>1.6031746031746028</v>
      </c>
      <c r="AU50">
        <f>(AH50-AE50)/AE50</f>
        <v>1.2857142857142856</v>
      </c>
      <c r="AW50">
        <f>X50/1000/(E6^2)</f>
        <v>0.29513888888888895</v>
      </c>
      <c r="AX50">
        <f>Y50/1000/E6</f>
        <v>4.9305555555555554E-2</v>
      </c>
      <c r="AY50">
        <f>AD50/SQRT(9.81*E6)</f>
        <v>0.94232838437948441</v>
      </c>
      <c r="BI50">
        <f>Z50/1000/E6</f>
        <v>4.5138888888888888E-2</v>
      </c>
      <c r="BJ50">
        <f>AE50/SQRT(9.81*E6)</f>
        <v>0.53005971621345993</v>
      </c>
      <c r="BL50">
        <f>BE6*$CQ$42*($CB$80-$CB$81*1.1/E6)</f>
        <v>3.0890339702666931E-2</v>
      </c>
      <c r="BM50">
        <f>BF6*$CX$42*($BT$82-$BT$83*1.1/E6)</f>
        <v>0.48175153468899445</v>
      </c>
      <c r="BO50">
        <f>1.1/(9.81*(H6^2)/2/PI())</f>
        <v>0.24378428331719787</v>
      </c>
      <c r="BP50">
        <f>BM50/BF28</f>
        <v>0.71805555555555556</v>
      </c>
    </row>
    <row r="51" spans="8:80" x14ac:dyDescent="0.25">
      <c r="H51">
        <v>1.2</v>
      </c>
      <c r="I51">
        <v>1.2</v>
      </c>
      <c r="U51">
        <v>2</v>
      </c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J51">
        <f t="shared" si="50"/>
        <v>7.9136690647482011</v>
      </c>
      <c r="AM51">
        <f t="shared" ref="AM51:AM67" si="52">0.1/E7</f>
        <v>0.71942446043165464</v>
      </c>
      <c r="AO51">
        <f t="shared" ref="AO51:AO67" si="53">0.25/E7</f>
        <v>1.7985611510791366</v>
      </c>
      <c r="AQ51">
        <f t="shared" ref="AQ51:AQ67" si="54">0.4/E7</f>
        <v>2.8776978417266186</v>
      </c>
    </row>
    <row r="52" spans="8:80" x14ac:dyDescent="0.25">
      <c r="U52">
        <v>3</v>
      </c>
      <c r="W52" s="8">
        <v>0.2</v>
      </c>
      <c r="X52" s="11">
        <v>0</v>
      </c>
      <c r="Y52" s="8">
        <v>13.9</v>
      </c>
      <c r="Z52" s="8">
        <v>10.5</v>
      </c>
      <c r="AA52" s="8">
        <v>6.9</v>
      </c>
      <c r="AB52" s="8">
        <v>5.7</v>
      </c>
      <c r="AC52" s="8">
        <v>5.0999999999999996</v>
      </c>
      <c r="AD52" s="8">
        <v>1.57</v>
      </c>
      <c r="AE52" s="8">
        <v>1.1599999999999999</v>
      </c>
      <c r="AF52" s="8">
        <v>1.76</v>
      </c>
      <c r="AG52" s="8">
        <v>2.2000000000000002</v>
      </c>
      <c r="AH52" s="11">
        <v>0</v>
      </c>
      <c r="AJ52">
        <f t="shared" si="50"/>
        <v>7.3333333333333339</v>
      </c>
      <c r="AK52">
        <f t="shared" ref="AK52:AK67" si="55">(Z52-Y52)/Y52</f>
        <v>-0.2446043165467626</v>
      </c>
      <c r="AL52">
        <f t="shared" ref="AL52:AL66" si="56">(AE52-AD52)/AD52</f>
        <v>-0.26114649681528668</v>
      </c>
      <c r="AM52">
        <f t="shared" si="52"/>
        <v>0.66666666666666674</v>
      </c>
      <c r="AN52">
        <f>(AA52-Z52)/Z52</f>
        <v>-0.3428571428571428</v>
      </c>
      <c r="AO52">
        <f t="shared" si="53"/>
        <v>1.6666666666666667</v>
      </c>
      <c r="AP52">
        <f>(AB52-Z52)/Z52</f>
        <v>-0.45714285714285713</v>
      </c>
      <c r="AQ52">
        <f t="shared" si="54"/>
        <v>2.666666666666667</v>
      </c>
      <c r="AR52">
        <f>(AC52-Z52)/Z52</f>
        <v>-0.51428571428571435</v>
      </c>
      <c r="AS52">
        <f>(AF52-AE52)/AE52</f>
        <v>0.51724137931034497</v>
      </c>
      <c r="AT52">
        <f>(AG52-AE52)/AE52</f>
        <v>0.89655172413793127</v>
      </c>
      <c r="AX52">
        <f t="shared" ref="AX52:AX67" si="57">Y52/1000/E8</f>
        <v>9.2666666666666675E-2</v>
      </c>
      <c r="AY52">
        <f t="shared" ref="AY52:AY67" si="58">AD52/SQRT(9.81*E8)</f>
        <v>1.2942540098705198</v>
      </c>
      <c r="BI52">
        <f t="shared" ref="BI52:BI67" si="59">Z52/1000/E8</f>
        <v>7.0000000000000007E-2</v>
      </c>
      <c r="BJ52">
        <f>AE52/SQRT(9.81*E8)</f>
        <v>0.95626410920369598</v>
      </c>
      <c r="BL52">
        <f t="shared" ref="BL52:BL67" si="60">BE8*$CQ$42*($CB$80-$CB$81*1.1/E8)</f>
        <v>4.4192908434382706E-2</v>
      </c>
      <c r="BM52">
        <f>BF8*$CX$42*($BT$82-$BT$83*1.1/E8)</f>
        <v>0.67171213933003104</v>
      </c>
      <c r="BO52">
        <f t="shared" ref="BO52:BO67" si="61">1.1/(9.81*(H8^2)/2/PI())</f>
        <v>0.22744595131285569</v>
      </c>
      <c r="BP52">
        <f t="shared" ref="BP52:BP65" si="62">BM52/BF30</f>
        <v>0.73333333333333339</v>
      </c>
    </row>
    <row r="53" spans="8:80" x14ac:dyDescent="0.25">
      <c r="U53">
        <v>4</v>
      </c>
      <c r="W53" s="8">
        <v>0.1</v>
      </c>
      <c r="X53" s="8">
        <v>5.56</v>
      </c>
      <c r="Y53" s="8">
        <v>5.7</v>
      </c>
      <c r="Z53" s="8">
        <v>4.2</v>
      </c>
      <c r="AA53" s="11">
        <v>0</v>
      </c>
      <c r="AB53" s="8">
        <v>1.7</v>
      </c>
      <c r="AC53" s="8">
        <v>1.4</v>
      </c>
      <c r="AD53" s="8">
        <v>0.94</v>
      </c>
      <c r="AE53" s="11">
        <v>0</v>
      </c>
      <c r="AF53" s="11">
        <v>0</v>
      </c>
      <c r="AG53" s="11">
        <v>0</v>
      </c>
      <c r="AH53" s="11">
        <v>0</v>
      </c>
      <c r="AJ53">
        <f t="shared" si="50"/>
        <v>7.7464788732394378</v>
      </c>
      <c r="AK53">
        <f t="shared" si="55"/>
        <v>-0.26315789473684209</v>
      </c>
      <c r="AM53">
        <f t="shared" si="52"/>
        <v>0.70422535211267612</v>
      </c>
      <c r="AO53">
        <f t="shared" si="53"/>
        <v>1.7605633802816902</v>
      </c>
      <c r="AP53">
        <f t="shared" ref="AP53:AP66" si="63">(AB53-Z53)/Z53</f>
        <v>-0.59523809523809523</v>
      </c>
      <c r="AQ53">
        <f t="shared" si="54"/>
        <v>2.8169014084507045</v>
      </c>
      <c r="AR53">
        <f>(AC53-Z53)/Z53</f>
        <v>-0.66666666666666674</v>
      </c>
      <c r="AW53">
        <f>X53/1000/(E9^2)</f>
        <v>0.27573894068637178</v>
      </c>
      <c r="AX53">
        <f t="shared" si="57"/>
        <v>4.0140845070422537E-2</v>
      </c>
      <c r="AY53">
        <f t="shared" si="58"/>
        <v>0.79643287366199367</v>
      </c>
      <c r="BI53">
        <f t="shared" si="59"/>
        <v>2.95774647887324E-2</v>
      </c>
      <c r="BL53">
        <f t="shared" si="60"/>
        <v>2.7906683702628218E-2</v>
      </c>
      <c r="BO53">
        <f t="shared" si="61"/>
        <v>0.2858276517451831</v>
      </c>
    </row>
    <row r="54" spans="8:80" x14ac:dyDescent="0.25">
      <c r="U54">
        <v>5</v>
      </c>
      <c r="W54" s="8">
        <v>0.2</v>
      </c>
      <c r="X54" s="11">
        <v>0</v>
      </c>
      <c r="Y54" s="8">
        <v>20.9</v>
      </c>
      <c r="Z54" s="8">
        <v>14.2</v>
      </c>
      <c r="AA54" s="8">
        <v>11.3</v>
      </c>
      <c r="AB54" s="8">
        <v>8.9</v>
      </c>
      <c r="AC54" s="8">
        <v>7.9</v>
      </c>
      <c r="AD54" s="8">
        <v>1.83</v>
      </c>
      <c r="AE54" s="8">
        <v>1.34</v>
      </c>
      <c r="AF54" s="8">
        <v>1.83</v>
      </c>
      <c r="AG54" s="8">
        <v>2.4500000000000002</v>
      </c>
      <c r="AH54" s="11">
        <v>0</v>
      </c>
      <c r="AJ54">
        <f t="shared" si="50"/>
        <v>7.1895424836601318</v>
      </c>
      <c r="AK54">
        <f t="shared" si="55"/>
        <v>-0.32057416267942584</v>
      </c>
      <c r="AL54">
        <f t="shared" si="56"/>
        <v>-0.26775956284153002</v>
      </c>
      <c r="AM54">
        <f t="shared" si="52"/>
        <v>0.65359477124183007</v>
      </c>
      <c r="AN54">
        <f>(AA54-Z54)/Z54</f>
        <v>-0.20422535211267598</v>
      </c>
      <c r="AO54">
        <f t="shared" si="53"/>
        <v>1.6339869281045751</v>
      </c>
      <c r="AP54">
        <f t="shared" si="63"/>
        <v>-0.37323943661971826</v>
      </c>
      <c r="AQ54">
        <f t="shared" si="54"/>
        <v>2.6143790849673203</v>
      </c>
      <c r="AR54">
        <f>(AC54-Z54)/Z54</f>
        <v>-0.44366197183098588</v>
      </c>
      <c r="AS54">
        <f>(AF54-AE54)/AE54</f>
        <v>0.36567164179104472</v>
      </c>
      <c r="AT54">
        <f>(AG54-AE54)/AE54</f>
        <v>0.82835820895522394</v>
      </c>
      <c r="AX54">
        <f t="shared" si="57"/>
        <v>0.13660130718954247</v>
      </c>
      <c r="AY54">
        <f t="shared" si="58"/>
        <v>1.4937257598634626</v>
      </c>
      <c r="BI54">
        <f t="shared" si="59"/>
        <v>9.2810457516339859E-2</v>
      </c>
      <c r="BJ54">
        <f>AE54/SQRT(9.81*E10)</f>
        <v>1.0937664033972896</v>
      </c>
      <c r="BL54">
        <f t="shared" si="60"/>
        <v>6.6628439548180277E-2</v>
      </c>
      <c r="BM54">
        <f>BF10*$CX$42*($BT$82-$BT$83*1.1/E10)</f>
        <v>0.92999383642373756</v>
      </c>
      <c r="BO54">
        <f t="shared" si="61"/>
        <v>0.21988595199485092</v>
      </c>
      <c r="BP54">
        <f t="shared" si="62"/>
        <v>0.7405228758169935</v>
      </c>
    </row>
    <row r="55" spans="8:80" x14ac:dyDescent="0.25">
      <c r="U55">
        <v>6</v>
      </c>
      <c r="W55" s="8">
        <v>0.18</v>
      </c>
      <c r="X55" s="11">
        <v>0</v>
      </c>
      <c r="Y55" s="8">
        <v>12</v>
      </c>
      <c r="Z55" s="8">
        <v>9.3000000000000007</v>
      </c>
      <c r="AA55" s="8">
        <v>4.9000000000000004</v>
      </c>
      <c r="AB55" s="8">
        <v>4.3</v>
      </c>
      <c r="AC55" s="8">
        <v>4.3</v>
      </c>
      <c r="AD55" s="8">
        <v>1.42</v>
      </c>
      <c r="AE55" s="8">
        <v>0.93</v>
      </c>
      <c r="AF55" s="8">
        <v>1.63</v>
      </c>
      <c r="AG55" s="8">
        <v>1.98</v>
      </c>
      <c r="AH55" s="11">
        <v>0</v>
      </c>
      <c r="AJ55">
        <f t="shared" si="50"/>
        <v>7.5862068965517251</v>
      </c>
      <c r="AK55">
        <f t="shared" si="55"/>
        <v>-0.22499999999999995</v>
      </c>
      <c r="AL55">
        <f t="shared" si="56"/>
        <v>-0.3450704225352112</v>
      </c>
      <c r="AM55">
        <f t="shared" si="52"/>
        <v>0.68965517241379315</v>
      </c>
      <c r="AN55">
        <f>(AA55-Z55)/Z55</f>
        <v>-0.4731182795698925</v>
      </c>
      <c r="AO55">
        <f t="shared" si="53"/>
        <v>1.7241379310344829</v>
      </c>
      <c r="AP55">
        <f t="shared" si="63"/>
        <v>-0.53763440860215062</v>
      </c>
      <c r="AQ55">
        <f t="shared" si="54"/>
        <v>2.7586206896551726</v>
      </c>
      <c r="AR55">
        <f>(AC55-Z55)/Z55</f>
        <v>-0.53763440860215062</v>
      </c>
      <c r="AS55">
        <f>(AF55-AE55)/AE55</f>
        <v>0.75268817204301053</v>
      </c>
      <c r="AT55">
        <f>(AG55-AE55)/AE55</f>
        <v>1.1290322580645158</v>
      </c>
      <c r="AX55">
        <f t="shared" si="57"/>
        <v>8.2758620689655185E-2</v>
      </c>
      <c r="AY55">
        <f t="shared" si="58"/>
        <v>1.1906108599504626</v>
      </c>
      <c r="BI55">
        <f t="shared" si="59"/>
        <v>6.4137931034482773E-2</v>
      </c>
      <c r="BJ55">
        <f>AE55/SQRT(9.81*E11)</f>
        <v>0.77976626743234523</v>
      </c>
      <c r="BL55">
        <f t="shared" si="60"/>
        <v>4.0912559900794288E-2</v>
      </c>
      <c r="BM55">
        <f>BF11*$CX$42*($BT$82-$BT$83*1.1/E11)</f>
        <v>0.5926745726816659</v>
      </c>
      <c r="BO55">
        <f t="shared" si="61"/>
        <v>0.2858276517451831</v>
      </c>
      <c r="BP55">
        <f t="shared" si="62"/>
        <v>0.72068965517241379</v>
      </c>
    </row>
    <row r="56" spans="8:80" x14ac:dyDescent="0.25">
      <c r="U56">
        <v>7</v>
      </c>
      <c r="W56" s="8">
        <v>0.09</v>
      </c>
      <c r="X56" s="11">
        <v>0</v>
      </c>
      <c r="Y56" s="8">
        <v>5.3</v>
      </c>
      <c r="Z56" s="8">
        <v>4.2</v>
      </c>
      <c r="AA56" s="11">
        <v>0</v>
      </c>
      <c r="AB56" s="8">
        <v>1.2</v>
      </c>
      <c r="AC56" s="11">
        <v>0</v>
      </c>
      <c r="AD56" s="8">
        <v>0.97</v>
      </c>
      <c r="AE56" s="11">
        <v>0</v>
      </c>
      <c r="AF56" s="11">
        <v>0</v>
      </c>
      <c r="AG56" s="8">
        <v>0</v>
      </c>
      <c r="AH56" s="11">
        <v>0</v>
      </c>
      <c r="AJ56">
        <f t="shared" si="50"/>
        <v>7.9710144927536231</v>
      </c>
      <c r="AK56">
        <f t="shared" si="55"/>
        <v>-0.20754716981132068</v>
      </c>
      <c r="AM56">
        <f t="shared" si="52"/>
        <v>0.72463768115942029</v>
      </c>
      <c r="AO56">
        <f t="shared" si="53"/>
        <v>1.8115942028985506</v>
      </c>
      <c r="AP56">
        <f t="shared" si="63"/>
        <v>-0.7142857142857143</v>
      </c>
      <c r="AQ56">
        <f t="shared" si="54"/>
        <v>2.8985507246376812</v>
      </c>
      <c r="AR56">
        <f>(AC56-Z56)/Z56</f>
        <v>-1</v>
      </c>
      <c r="AX56">
        <f t="shared" si="57"/>
        <v>3.8405797101449271E-2</v>
      </c>
      <c r="AY56">
        <f t="shared" si="58"/>
        <v>0.83367674526718383</v>
      </c>
      <c r="BI56">
        <f t="shared" si="59"/>
        <v>3.0434782608695653E-2</v>
      </c>
      <c r="BL56">
        <f t="shared" si="60"/>
        <v>2.599387831578338E-2</v>
      </c>
      <c r="BO56">
        <f t="shared" si="61"/>
        <v>0.36464809212085397</v>
      </c>
    </row>
    <row r="57" spans="8:80" x14ac:dyDescent="0.25">
      <c r="U57">
        <v>8</v>
      </c>
      <c r="W57" s="8">
        <v>0.12</v>
      </c>
      <c r="X57" s="8">
        <v>13.4</v>
      </c>
      <c r="Y57" s="8">
        <v>20.3</v>
      </c>
      <c r="Z57" s="8">
        <v>12.3</v>
      </c>
      <c r="AA57" s="8">
        <v>7.9</v>
      </c>
      <c r="AB57" s="8">
        <v>6.4</v>
      </c>
      <c r="AC57" s="8">
        <v>5.3</v>
      </c>
      <c r="AD57" s="8">
        <v>1.59</v>
      </c>
      <c r="AE57" s="8">
        <v>1.17</v>
      </c>
      <c r="AF57" s="8">
        <v>1.78</v>
      </c>
      <c r="AG57" s="8">
        <v>2.31</v>
      </c>
      <c r="AH57" s="8">
        <v>2.37</v>
      </c>
      <c r="AJ57">
        <f t="shared" si="50"/>
        <v>7.4829931972789128</v>
      </c>
      <c r="AK57">
        <f t="shared" si="55"/>
        <v>-0.39408866995073888</v>
      </c>
      <c r="AL57">
        <f t="shared" si="56"/>
        <v>-0.26415094339622652</v>
      </c>
      <c r="AM57">
        <f t="shared" si="52"/>
        <v>0.6802721088435375</v>
      </c>
      <c r="AN57">
        <f t="shared" ref="AN57:AN67" si="64">(AA57-Z57)/Z57</f>
        <v>-0.35772357723577236</v>
      </c>
      <c r="AO57">
        <f t="shared" si="53"/>
        <v>1.7006802721088436</v>
      </c>
      <c r="AP57">
        <f t="shared" si="63"/>
        <v>-0.47967479674796748</v>
      </c>
      <c r="AQ57">
        <f t="shared" si="54"/>
        <v>2.72108843537415</v>
      </c>
      <c r="AR57">
        <f t="shared" ref="AR57:AR66" si="65">(AC57-Z57)/Z57</f>
        <v>-0.56910569105691056</v>
      </c>
      <c r="AS57">
        <f t="shared" ref="AS57:AS66" si="66">(AF57-AE57)/AE57</f>
        <v>0.52136752136752151</v>
      </c>
      <c r="AT57">
        <f t="shared" ref="AT57:AT66" si="67">(AG57-AE57)/AE57</f>
        <v>0.97435897435897456</v>
      </c>
      <c r="AU57">
        <f t="shared" ref="AU57:AU63" si="68">(AH57-AE57)/AE57</f>
        <v>1.0256410256410258</v>
      </c>
      <c r="AW57">
        <f t="shared" ref="AW57:AW67" si="69">X57/1000/(E13^2)</f>
        <v>0.62011199037438114</v>
      </c>
      <c r="AX57">
        <f t="shared" si="57"/>
        <v>0.1380952380952381</v>
      </c>
      <c r="AY57">
        <f t="shared" si="58"/>
        <v>1.3240486817671948</v>
      </c>
      <c r="BI57">
        <f t="shared" si="59"/>
        <v>8.3673469387755106E-2</v>
      </c>
      <c r="BJ57">
        <f t="shared" ref="BJ57:BJ65" si="70">AE57/SQRT(9.81*E13)</f>
        <v>0.97429997337586027</v>
      </c>
      <c r="BL57">
        <f t="shared" si="60"/>
        <v>7.0285676365869174E-2</v>
      </c>
      <c r="BM57">
        <f t="shared" ref="BM57:BM65" si="71">BF13*$CX$42*($BT$82-$BT$83*1.1/E13)</f>
        <v>0.8958226952179239</v>
      </c>
      <c r="BO57">
        <f t="shared" si="61"/>
        <v>0.27520960108855536</v>
      </c>
      <c r="BP57">
        <f t="shared" si="62"/>
        <v>0.72585034013605443</v>
      </c>
    </row>
    <row r="58" spans="8:80" x14ac:dyDescent="0.25">
      <c r="U58">
        <v>9</v>
      </c>
      <c r="W58" s="8">
        <v>0.2</v>
      </c>
      <c r="X58" s="8">
        <v>6.99</v>
      </c>
      <c r="Y58" s="8">
        <v>12.9</v>
      </c>
      <c r="Z58" s="8">
        <v>7.9</v>
      </c>
      <c r="AA58" s="8">
        <v>3.4</v>
      </c>
      <c r="AB58" s="8">
        <v>3.4</v>
      </c>
      <c r="AC58" s="8">
        <v>3</v>
      </c>
      <c r="AD58" s="8">
        <v>1.2</v>
      </c>
      <c r="AE58" s="8">
        <v>0.75</v>
      </c>
      <c r="AF58" s="8">
        <v>1.57</v>
      </c>
      <c r="AG58" s="8">
        <v>1.76</v>
      </c>
      <c r="AH58" s="8">
        <v>1.57</v>
      </c>
      <c r="AJ58">
        <f t="shared" si="50"/>
        <v>7.8571428571428568</v>
      </c>
      <c r="AK58">
        <f t="shared" si="55"/>
        <v>-0.38759689922480617</v>
      </c>
      <c r="AL58">
        <f t="shared" si="56"/>
        <v>-0.375</v>
      </c>
      <c r="AM58">
        <f t="shared" si="52"/>
        <v>0.7142857142857143</v>
      </c>
      <c r="AN58">
        <f t="shared" si="64"/>
        <v>-0.56962025316455689</v>
      </c>
      <c r="AO58">
        <f t="shared" si="53"/>
        <v>1.7857142857142856</v>
      </c>
      <c r="AP58">
        <f t="shared" si="63"/>
        <v>-0.56962025316455689</v>
      </c>
      <c r="AQ58">
        <f t="shared" si="54"/>
        <v>2.8571428571428572</v>
      </c>
      <c r="AR58">
        <f t="shared" si="65"/>
        <v>-0.620253164556962</v>
      </c>
      <c r="AS58">
        <f t="shared" si="66"/>
        <v>1.0933333333333335</v>
      </c>
      <c r="AT58">
        <f t="shared" si="67"/>
        <v>1.3466666666666667</v>
      </c>
      <c r="AU58">
        <f t="shared" si="68"/>
        <v>1.0933333333333335</v>
      </c>
      <c r="AW58">
        <f t="shared" si="69"/>
        <v>0.35663265306122449</v>
      </c>
      <c r="AX58">
        <f t="shared" si="57"/>
        <v>9.2142857142857137E-2</v>
      </c>
      <c r="AY58">
        <f t="shared" si="58"/>
        <v>1.0239593700982756</v>
      </c>
      <c r="BI58">
        <f t="shared" si="59"/>
        <v>5.6428571428571432E-2</v>
      </c>
      <c r="BJ58">
        <f t="shared" si="70"/>
        <v>0.63997460631142233</v>
      </c>
      <c r="BL58">
        <f t="shared" si="60"/>
        <v>4.5428160925727316E-2</v>
      </c>
      <c r="BM58">
        <f t="shared" si="71"/>
        <v>0.6049741809486282</v>
      </c>
      <c r="BO58">
        <f t="shared" si="61"/>
        <v>0.35437683154102001</v>
      </c>
      <c r="BP58">
        <f t="shared" si="62"/>
        <v>0.7071428571428573</v>
      </c>
    </row>
    <row r="59" spans="8:80" x14ac:dyDescent="0.25">
      <c r="U59">
        <v>10</v>
      </c>
      <c r="W59" s="8">
        <v>0.16</v>
      </c>
      <c r="X59" s="8">
        <v>18.41</v>
      </c>
      <c r="Y59" s="8">
        <v>22</v>
      </c>
      <c r="Z59" s="8">
        <v>14.9</v>
      </c>
      <c r="AA59" s="8">
        <v>10.1</v>
      </c>
      <c r="AB59" s="8">
        <v>6.7</v>
      </c>
      <c r="AC59" s="8">
        <v>6.4</v>
      </c>
      <c r="AD59" s="8">
        <v>1.65</v>
      </c>
      <c r="AE59" s="8">
        <v>1.19</v>
      </c>
      <c r="AF59" s="8">
        <v>1.78</v>
      </c>
      <c r="AG59" s="8">
        <v>2.48</v>
      </c>
      <c r="AH59" s="8">
        <v>2.4700000000000002</v>
      </c>
      <c r="AJ59">
        <f t="shared" si="50"/>
        <v>7.6388888888888902</v>
      </c>
      <c r="AK59">
        <f t="shared" si="55"/>
        <v>-0.3227272727272727</v>
      </c>
      <c r="AL59">
        <f t="shared" si="56"/>
        <v>-0.27878787878787881</v>
      </c>
      <c r="AM59">
        <f t="shared" si="52"/>
        <v>0.69444444444444453</v>
      </c>
      <c r="AN59">
        <f t="shared" si="64"/>
        <v>-0.32214765100671144</v>
      </c>
      <c r="AO59">
        <f t="shared" si="53"/>
        <v>1.7361111111111112</v>
      </c>
      <c r="AP59">
        <f t="shared" si="63"/>
        <v>-0.55033557046979864</v>
      </c>
      <c r="AQ59">
        <f t="shared" si="54"/>
        <v>2.7777777777777781</v>
      </c>
      <c r="AR59">
        <f t="shared" si="65"/>
        <v>-0.57046979865771807</v>
      </c>
      <c r="AS59">
        <f t="shared" si="66"/>
        <v>0.49579831932773116</v>
      </c>
      <c r="AT59">
        <f t="shared" si="67"/>
        <v>1.0840336134453783</v>
      </c>
      <c r="AU59">
        <f t="shared" si="68"/>
        <v>1.0756302521008405</v>
      </c>
      <c r="AW59">
        <f t="shared" si="69"/>
        <v>0.88782793209876554</v>
      </c>
      <c r="AX59">
        <f t="shared" si="57"/>
        <v>0.15277777777777779</v>
      </c>
      <c r="AY59">
        <f t="shared" si="58"/>
        <v>1.3882516377019187</v>
      </c>
      <c r="BI59">
        <f t="shared" si="59"/>
        <v>0.10347222222222223</v>
      </c>
      <c r="BJ59">
        <f t="shared" si="70"/>
        <v>1.001223908403202</v>
      </c>
      <c r="BL59">
        <f t="shared" si="60"/>
        <v>9.1811313889775842E-2</v>
      </c>
      <c r="BM59">
        <f t="shared" si="71"/>
        <v>0.99921023901157191</v>
      </c>
      <c r="BO59">
        <f t="shared" si="61"/>
        <v>0.35437683154102001</v>
      </c>
      <c r="BP59">
        <f t="shared" si="62"/>
        <v>0.71805555555555556</v>
      </c>
    </row>
    <row r="60" spans="8:80" x14ac:dyDescent="0.25">
      <c r="U60">
        <v>11</v>
      </c>
      <c r="W60" s="8">
        <v>0.21</v>
      </c>
      <c r="X60" s="8">
        <v>11.23</v>
      </c>
      <c r="Y60" s="8">
        <v>16.3</v>
      </c>
      <c r="Z60" s="8">
        <v>11.9</v>
      </c>
      <c r="AA60" s="8">
        <v>7.5</v>
      </c>
      <c r="AB60" s="8">
        <v>6.1</v>
      </c>
      <c r="AC60" s="8">
        <v>5.6</v>
      </c>
      <c r="AD60" s="8">
        <v>1.6</v>
      </c>
      <c r="AE60" s="8">
        <v>1.1200000000000001</v>
      </c>
      <c r="AF60" s="8">
        <v>1.74</v>
      </c>
      <c r="AG60" s="8">
        <v>2.2599999999999998</v>
      </c>
      <c r="AH60" s="8">
        <v>2.2400000000000002</v>
      </c>
      <c r="AJ60">
        <f t="shared" si="50"/>
        <v>7.2368421052631584</v>
      </c>
      <c r="AK60">
        <f t="shared" si="55"/>
        <v>-0.26993865030674846</v>
      </c>
      <c r="AL60">
        <f t="shared" si="56"/>
        <v>-0.3</v>
      </c>
      <c r="AM60">
        <f t="shared" si="52"/>
        <v>0.65789473684210531</v>
      </c>
      <c r="AN60">
        <f t="shared" si="64"/>
        <v>-0.36974789915966388</v>
      </c>
      <c r="AO60">
        <f t="shared" si="53"/>
        <v>1.6447368421052633</v>
      </c>
      <c r="AP60">
        <f t="shared" si="63"/>
        <v>-0.48739495798319332</v>
      </c>
      <c r="AQ60">
        <f t="shared" si="54"/>
        <v>2.6315789473684212</v>
      </c>
      <c r="AR60">
        <f t="shared" si="65"/>
        <v>-0.52941176470588236</v>
      </c>
      <c r="AS60">
        <f t="shared" si="66"/>
        <v>0.55357142857142838</v>
      </c>
      <c r="AT60">
        <f t="shared" si="67"/>
        <v>1.0178571428571426</v>
      </c>
      <c r="AU60">
        <f>(AH60-AE60)/AE60</f>
        <v>1</v>
      </c>
      <c r="AW60">
        <f t="shared" si="69"/>
        <v>0.48606301939058172</v>
      </c>
      <c r="AX60">
        <f t="shared" si="57"/>
        <v>0.10723684210526317</v>
      </c>
      <c r="AY60">
        <f t="shared" si="58"/>
        <v>1.3102787115933889</v>
      </c>
      <c r="BI60">
        <f t="shared" si="59"/>
        <v>7.8289473684210534E-2</v>
      </c>
      <c r="BJ60">
        <f t="shared" si="70"/>
        <v>0.91719509811537236</v>
      </c>
      <c r="BL60">
        <f t="shared" si="60"/>
        <v>5.7714664363019363E-2</v>
      </c>
      <c r="BM60">
        <f t="shared" si="71"/>
        <v>0.82105885262630074</v>
      </c>
      <c r="BO60">
        <f t="shared" si="61"/>
        <v>0.24378428331719787</v>
      </c>
      <c r="BP60">
        <f t="shared" si="62"/>
        <v>0.73815789473684212</v>
      </c>
    </row>
    <row r="61" spans="8:80" x14ac:dyDescent="0.25">
      <c r="U61">
        <v>12</v>
      </c>
      <c r="W61" s="8">
        <v>0.21</v>
      </c>
      <c r="X61" s="8">
        <v>10.57</v>
      </c>
      <c r="Y61" s="8">
        <v>13</v>
      </c>
      <c r="Z61" s="8">
        <v>10.6</v>
      </c>
      <c r="AA61" s="8">
        <v>6</v>
      </c>
      <c r="AB61" s="8">
        <v>5.0999999999999996</v>
      </c>
      <c r="AC61" s="8">
        <v>4.8</v>
      </c>
      <c r="AD61" s="8">
        <v>1.49</v>
      </c>
      <c r="AE61" s="8">
        <v>1.02</v>
      </c>
      <c r="AF61" s="8">
        <v>1.68</v>
      </c>
      <c r="AG61" s="8">
        <v>2.21</v>
      </c>
      <c r="AH61" s="8">
        <v>2.14</v>
      </c>
      <c r="AJ61">
        <f t="shared" si="50"/>
        <v>7.4324324324324333</v>
      </c>
      <c r="AK61">
        <f t="shared" si="55"/>
        <v>-0.18461538461538465</v>
      </c>
      <c r="AL61">
        <f t="shared" si="56"/>
        <v>-0.31543624161073824</v>
      </c>
      <c r="AM61">
        <f t="shared" si="52"/>
        <v>0.67567567567567577</v>
      </c>
      <c r="AN61">
        <f t="shared" si="64"/>
        <v>-0.43396226415094336</v>
      </c>
      <c r="AO61">
        <f t="shared" si="53"/>
        <v>1.6891891891891893</v>
      </c>
      <c r="AP61">
        <f t="shared" si="63"/>
        <v>-0.51886792452830188</v>
      </c>
      <c r="AQ61">
        <f t="shared" si="54"/>
        <v>2.7027027027027031</v>
      </c>
      <c r="AR61">
        <f t="shared" si="65"/>
        <v>-0.54716981132075471</v>
      </c>
      <c r="AS61">
        <f t="shared" si="66"/>
        <v>0.64705882352941169</v>
      </c>
      <c r="AT61">
        <f t="shared" si="67"/>
        <v>1.1666666666666665</v>
      </c>
      <c r="AU61">
        <f t="shared" si="68"/>
        <v>1.0980392156862746</v>
      </c>
      <c r="AW61">
        <f t="shared" si="69"/>
        <v>0.48256026296566845</v>
      </c>
      <c r="AX61">
        <f t="shared" si="57"/>
        <v>8.7837837837837843E-2</v>
      </c>
      <c r="AY61">
        <f t="shared" si="58"/>
        <v>1.2365762669496974</v>
      </c>
      <c r="BI61">
        <f t="shared" si="59"/>
        <v>7.1621621621621626E-2</v>
      </c>
      <c r="BJ61">
        <f t="shared" si="70"/>
        <v>0.84651529683804794</v>
      </c>
      <c r="BL61">
        <f t="shared" si="60"/>
        <v>4.7948612453060341E-2</v>
      </c>
      <c r="BM61">
        <f t="shared" si="71"/>
        <v>0.69977211781893767</v>
      </c>
      <c r="BO61">
        <f t="shared" si="61"/>
        <v>0.27180146552474893</v>
      </c>
      <c r="BP61">
        <f t="shared" si="62"/>
        <v>0.72837837837837838</v>
      </c>
    </row>
    <row r="62" spans="8:80" x14ac:dyDescent="0.25">
      <c r="U62">
        <v>13</v>
      </c>
      <c r="W62" s="8">
        <v>0.18</v>
      </c>
      <c r="X62" s="8">
        <v>8.6999999999999993</v>
      </c>
      <c r="Y62" s="8">
        <v>12.2</v>
      </c>
      <c r="Z62" s="8">
        <v>10.1</v>
      </c>
      <c r="AA62" s="8">
        <v>5.7</v>
      </c>
      <c r="AB62" s="8">
        <v>4.5</v>
      </c>
      <c r="AC62" s="8">
        <v>4.4000000000000004</v>
      </c>
      <c r="AD62" s="8">
        <v>1.41</v>
      </c>
      <c r="AE62" s="8">
        <v>0.96</v>
      </c>
      <c r="AF62" s="8">
        <v>1.6</v>
      </c>
      <c r="AG62" s="8">
        <v>1.94</v>
      </c>
      <c r="AH62" s="8">
        <v>1.93</v>
      </c>
      <c r="AJ62">
        <f t="shared" si="50"/>
        <v>7.9136690647482011</v>
      </c>
      <c r="AK62">
        <f t="shared" si="55"/>
        <v>-0.17213114754098358</v>
      </c>
      <c r="AL62">
        <f t="shared" si="56"/>
        <v>-0.31914893617021273</v>
      </c>
      <c r="AM62">
        <f t="shared" si="52"/>
        <v>0.71942446043165464</v>
      </c>
      <c r="AN62">
        <f t="shared" si="64"/>
        <v>-0.43564356435643559</v>
      </c>
      <c r="AO62">
        <f t="shared" si="53"/>
        <v>1.7985611510791366</v>
      </c>
      <c r="AP62">
        <f t="shared" si="63"/>
        <v>-0.55445544554455439</v>
      </c>
      <c r="AQ62">
        <f t="shared" si="54"/>
        <v>2.8776978417266186</v>
      </c>
      <c r="AR62">
        <f t="shared" si="65"/>
        <v>-0.5643564356435643</v>
      </c>
      <c r="AS62">
        <f t="shared" si="66"/>
        <v>0.66666666666666685</v>
      </c>
      <c r="AT62">
        <f t="shared" si="67"/>
        <v>1.0208333333333333</v>
      </c>
      <c r="AU62">
        <f t="shared" si="68"/>
        <v>1.0104166666666667</v>
      </c>
      <c r="AW62">
        <f t="shared" si="69"/>
        <v>0.45028725221261823</v>
      </c>
      <c r="AX62">
        <f t="shared" si="57"/>
        <v>8.776978417266186E-2</v>
      </c>
      <c r="AY62">
        <f t="shared" si="58"/>
        <v>1.2074723895996278</v>
      </c>
      <c r="BI62">
        <f t="shared" si="59"/>
        <v>7.2661870503597112E-2</v>
      </c>
      <c r="BJ62">
        <f t="shared" si="70"/>
        <v>0.82210886100400193</v>
      </c>
      <c r="BL62">
        <f t="shared" si="60"/>
        <v>4.016976176682583E-2</v>
      </c>
      <c r="BM62">
        <f t="shared" si="71"/>
        <v>0.59355603061537165</v>
      </c>
      <c r="BO62">
        <f t="shared" si="61"/>
        <v>0.3009682510088863</v>
      </c>
      <c r="BP62">
        <f t="shared" si="62"/>
        <v>0.70431654676259003</v>
      </c>
    </row>
    <row r="63" spans="8:80" x14ac:dyDescent="0.25">
      <c r="U63">
        <v>14</v>
      </c>
      <c r="W63" s="8">
        <v>0.16</v>
      </c>
      <c r="X63" s="8">
        <v>7.38</v>
      </c>
      <c r="Y63" s="8">
        <v>10.4</v>
      </c>
      <c r="Z63" s="8">
        <v>7.6</v>
      </c>
      <c r="AA63" s="8">
        <v>3.8</v>
      </c>
      <c r="AB63" s="8">
        <v>3.6</v>
      </c>
      <c r="AC63" s="8">
        <v>3</v>
      </c>
      <c r="AD63" s="8">
        <v>1.27</v>
      </c>
      <c r="AE63" s="8">
        <v>0.89</v>
      </c>
      <c r="AF63" s="8">
        <v>1.62</v>
      </c>
      <c r="AG63" s="8">
        <v>1.82</v>
      </c>
      <c r="AH63" s="8">
        <v>1.75</v>
      </c>
      <c r="AJ63">
        <f t="shared" si="50"/>
        <v>8.4615384615384617</v>
      </c>
      <c r="AK63">
        <f t="shared" si="55"/>
        <v>-0.26923076923076927</v>
      </c>
      <c r="AL63">
        <f t="shared" si="56"/>
        <v>-0.29921259842519687</v>
      </c>
      <c r="AM63">
        <f t="shared" si="52"/>
        <v>0.76923076923076927</v>
      </c>
      <c r="AN63">
        <f t="shared" si="64"/>
        <v>-0.5</v>
      </c>
      <c r="AO63">
        <f t="shared" si="53"/>
        <v>1.9230769230769229</v>
      </c>
      <c r="AP63">
        <f t="shared" si="63"/>
        <v>-0.52631578947368418</v>
      </c>
      <c r="AQ63">
        <f t="shared" si="54"/>
        <v>3.0769230769230771</v>
      </c>
      <c r="AR63">
        <f t="shared" si="65"/>
        <v>-0.60526315789473684</v>
      </c>
      <c r="AS63">
        <f t="shared" si="66"/>
        <v>0.82022471910112371</v>
      </c>
      <c r="AT63">
        <f t="shared" si="67"/>
        <v>1.0449438202247192</v>
      </c>
      <c r="AU63">
        <f t="shared" si="68"/>
        <v>0.96629213483146059</v>
      </c>
      <c r="AW63">
        <f t="shared" si="69"/>
        <v>0.43668639053254432</v>
      </c>
      <c r="AX63">
        <f t="shared" si="57"/>
        <v>7.9999999999999988E-2</v>
      </c>
      <c r="AY63">
        <f t="shared" si="58"/>
        <v>1.1245986066992597</v>
      </c>
      <c r="BI63">
        <f t="shared" si="59"/>
        <v>5.8461538461538461E-2</v>
      </c>
      <c r="BJ63">
        <f t="shared" si="70"/>
        <v>0.78810453540341818</v>
      </c>
      <c r="BL63">
        <f t="shared" si="60"/>
        <v>3.8571000001662019E-2</v>
      </c>
      <c r="BM63">
        <f t="shared" si="71"/>
        <v>0.56779307461203887</v>
      </c>
      <c r="BO63">
        <f t="shared" si="61"/>
        <v>0.30494138624770684</v>
      </c>
      <c r="BP63">
        <f t="shared" si="62"/>
        <v>0.67692307692307696</v>
      </c>
      <c r="CA63">
        <v>0</v>
      </c>
      <c r="CB63">
        <v>0</v>
      </c>
    </row>
    <row r="64" spans="8:80" x14ac:dyDescent="0.25">
      <c r="U64">
        <v>15</v>
      </c>
      <c r="W64" s="8">
        <v>0.22</v>
      </c>
      <c r="X64" s="8">
        <v>5.85</v>
      </c>
      <c r="Y64" s="8">
        <v>8</v>
      </c>
      <c r="Z64" s="8">
        <v>6.3</v>
      </c>
      <c r="AA64" s="8">
        <v>2.5</v>
      </c>
      <c r="AB64" s="8">
        <v>2.4</v>
      </c>
      <c r="AC64" s="8">
        <v>2</v>
      </c>
      <c r="AD64" s="8">
        <v>1.1100000000000001</v>
      </c>
      <c r="AE64" s="8">
        <v>0.67</v>
      </c>
      <c r="AF64" s="8">
        <v>1.52</v>
      </c>
      <c r="AG64" s="8">
        <v>1.64</v>
      </c>
      <c r="AH64" s="11">
        <v>0</v>
      </c>
      <c r="AJ64">
        <f t="shared" si="50"/>
        <v>7.7464788732394378</v>
      </c>
      <c r="AK64">
        <f t="shared" si="55"/>
        <v>-0.21250000000000002</v>
      </c>
      <c r="AL64">
        <f t="shared" si="56"/>
        <v>-0.3963963963963964</v>
      </c>
      <c r="AM64">
        <f t="shared" si="52"/>
        <v>0.70422535211267612</v>
      </c>
      <c r="AN64">
        <f t="shared" si="64"/>
        <v>-0.60317460317460314</v>
      </c>
      <c r="AO64">
        <f t="shared" si="53"/>
        <v>1.7605633802816902</v>
      </c>
      <c r="AP64">
        <f t="shared" si="63"/>
        <v>-0.61904761904761907</v>
      </c>
      <c r="AQ64">
        <f t="shared" si="54"/>
        <v>2.8169014084507045</v>
      </c>
      <c r="AR64">
        <f t="shared" si="65"/>
        <v>-0.68253968253968256</v>
      </c>
      <c r="AS64">
        <f t="shared" si="66"/>
        <v>1.2686567164179103</v>
      </c>
      <c r="AT64">
        <f t="shared" si="67"/>
        <v>1.4477611940298505</v>
      </c>
      <c r="AW64">
        <f t="shared" si="69"/>
        <v>0.29012100773656019</v>
      </c>
      <c r="AX64">
        <f t="shared" si="57"/>
        <v>5.6338028169014093E-2</v>
      </c>
      <c r="AY64">
        <f t="shared" si="58"/>
        <v>0.94046860613277983</v>
      </c>
      <c r="BI64">
        <f t="shared" si="59"/>
        <v>4.4366197183098595E-2</v>
      </c>
      <c r="BJ64">
        <f t="shared" si="70"/>
        <v>0.56767023973780406</v>
      </c>
      <c r="BL64">
        <f t="shared" si="60"/>
        <v>3.4725548229425751E-2</v>
      </c>
      <c r="BM64">
        <f t="shared" si="71"/>
        <v>0.50355066562897566</v>
      </c>
      <c r="BO64">
        <f t="shared" si="61"/>
        <v>0.31312736834964527</v>
      </c>
      <c r="BP64">
        <f t="shared" si="62"/>
        <v>0.71267605633802811</v>
      </c>
      <c r="CA64">
        <v>3.5</v>
      </c>
      <c r="CB64">
        <v>3.5</v>
      </c>
    </row>
    <row r="65" spans="21:80" x14ac:dyDescent="0.25">
      <c r="U65">
        <v>16</v>
      </c>
      <c r="W65" s="8">
        <v>0.14000000000000001</v>
      </c>
      <c r="X65" s="8">
        <v>5.52</v>
      </c>
      <c r="Y65" s="8">
        <v>7.3</v>
      </c>
      <c r="Z65" s="8">
        <v>5.8</v>
      </c>
      <c r="AA65" s="8">
        <v>2.4</v>
      </c>
      <c r="AB65" s="8">
        <v>2.2999999999999998</v>
      </c>
      <c r="AC65" s="8">
        <v>2.1</v>
      </c>
      <c r="AD65" s="8">
        <v>1.1399999999999999</v>
      </c>
      <c r="AE65" s="8">
        <v>0.56000000000000005</v>
      </c>
      <c r="AF65" s="8">
        <v>1.33</v>
      </c>
      <c r="AG65" s="8">
        <v>1.41</v>
      </c>
      <c r="AH65" s="8">
        <v>1.24</v>
      </c>
      <c r="AJ65">
        <f t="shared" si="50"/>
        <v>7.9710144927536231</v>
      </c>
      <c r="AK65">
        <f t="shared" si="55"/>
        <v>-0.20547945205479454</v>
      </c>
      <c r="AL65">
        <f t="shared" si="56"/>
        <v>-0.50877192982456132</v>
      </c>
      <c r="AM65">
        <f t="shared" si="52"/>
        <v>0.72463768115942029</v>
      </c>
      <c r="AN65">
        <f t="shared" si="64"/>
        <v>-0.58620689655172409</v>
      </c>
      <c r="AO65">
        <f t="shared" si="53"/>
        <v>1.8115942028985506</v>
      </c>
      <c r="AP65">
        <f t="shared" si="63"/>
        <v>-0.60344827586206895</v>
      </c>
      <c r="AQ65">
        <f t="shared" si="54"/>
        <v>2.8985507246376812</v>
      </c>
      <c r="AR65">
        <f t="shared" si="65"/>
        <v>-0.63793103448275856</v>
      </c>
      <c r="AS65">
        <f t="shared" si="66"/>
        <v>1.375</v>
      </c>
      <c r="AT65">
        <f t="shared" si="67"/>
        <v>1.5178571428571426</v>
      </c>
      <c r="AU65">
        <f>(AH65-AE65)/AE65</f>
        <v>1.214285714285714</v>
      </c>
      <c r="AW65">
        <f t="shared" si="69"/>
        <v>0.28985507246376807</v>
      </c>
      <c r="AX65">
        <f t="shared" si="57"/>
        <v>5.2898550724637679E-2</v>
      </c>
      <c r="AY65">
        <f t="shared" si="58"/>
        <v>0.97978504082947371</v>
      </c>
      <c r="BI65">
        <f t="shared" si="59"/>
        <v>4.2028985507246368E-2</v>
      </c>
      <c r="BJ65">
        <f t="shared" si="70"/>
        <v>0.48129791479342576</v>
      </c>
      <c r="BL65">
        <f t="shared" si="60"/>
        <v>2.9670076558383933E-2</v>
      </c>
      <c r="BM65">
        <f t="shared" si="71"/>
        <v>0.43226120427345621</v>
      </c>
      <c r="BO65">
        <f t="shared" si="61"/>
        <v>0.34453351204787619</v>
      </c>
      <c r="BP65">
        <f t="shared" si="62"/>
        <v>0.70144927536231894</v>
      </c>
      <c r="BS65" t="s">
        <v>159</v>
      </c>
      <c r="BT65">
        <v>1</v>
      </c>
    </row>
    <row r="66" spans="21:80" x14ac:dyDescent="0.25">
      <c r="U66">
        <v>17</v>
      </c>
      <c r="W66" s="8">
        <v>7.0000000000000007E-2</v>
      </c>
      <c r="X66" s="8">
        <v>1.48</v>
      </c>
      <c r="Y66" s="8">
        <v>3</v>
      </c>
      <c r="Z66" s="8">
        <v>2.2999999999999998</v>
      </c>
      <c r="AA66" s="11">
        <v>0</v>
      </c>
      <c r="AB66" s="11">
        <v>0</v>
      </c>
      <c r="AC66" s="11">
        <v>0</v>
      </c>
      <c r="AD66" s="8">
        <v>0.68</v>
      </c>
      <c r="AE66" s="11">
        <v>0</v>
      </c>
      <c r="AF66" s="11">
        <v>0</v>
      </c>
      <c r="AG66" s="11">
        <v>0</v>
      </c>
      <c r="AH66" s="11">
        <v>0</v>
      </c>
      <c r="AJ66">
        <f t="shared" si="50"/>
        <v>8.2706766917293244</v>
      </c>
      <c r="AK66">
        <f t="shared" si="55"/>
        <v>-0.23333333333333339</v>
      </c>
      <c r="AL66">
        <f t="shared" si="56"/>
        <v>-1</v>
      </c>
      <c r="AM66">
        <f t="shared" si="52"/>
        <v>0.75187969924812026</v>
      </c>
      <c r="AN66">
        <f t="shared" si="64"/>
        <v>-1</v>
      </c>
      <c r="AO66">
        <f t="shared" si="53"/>
        <v>1.8796992481203008</v>
      </c>
      <c r="AP66">
        <f t="shared" si="63"/>
        <v>-1</v>
      </c>
      <c r="AQ66">
        <f t="shared" si="54"/>
        <v>3.007518796992481</v>
      </c>
      <c r="AR66">
        <f t="shared" si="65"/>
        <v>-1</v>
      </c>
      <c r="AS66" t="e">
        <f t="shared" si="66"/>
        <v>#DIV/0!</v>
      </c>
      <c r="AT66" t="e">
        <f t="shared" si="67"/>
        <v>#DIV/0!</v>
      </c>
      <c r="AU66" t="e">
        <f>(AH66-AE66)/AE66</f>
        <v>#DIV/0!</v>
      </c>
      <c r="AW66">
        <f t="shared" si="69"/>
        <v>8.3667816156933666E-2</v>
      </c>
      <c r="AX66">
        <f t="shared" si="57"/>
        <v>2.2556390977443608E-2</v>
      </c>
      <c r="AY66">
        <f t="shared" si="58"/>
        <v>0.59531741671016281</v>
      </c>
      <c r="BI66">
        <f t="shared" si="59"/>
        <v>1.7293233082706767E-2</v>
      </c>
      <c r="BL66">
        <f t="shared" si="60"/>
        <v>2.2243982756318514E-2</v>
      </c>
      <c r="BO66">
        <f t="shared" si="61"/>
        <v>0.39829079020108638</v>
      </c>
      <c r="BS66" t="s">
        <v>160</v>
      </c>
      <c r="BT66">
        <v>0</v>
      </c>
      <c r="CA66" t="s">
        <v>158</v>
      </c>
      <c r="CB66">
        <v>1</v>
      </c>
    </row>
    <row r="67" spans="21:80" x14ac:dyDescent="0.25">
      <c r="U67">
        <v>18</v>
      </c>
      <c r="W67" s="8">
        <v>7.0000000000000007E-2</v>
      </c>
      <c r="X67" s="8">
        <v>2.17</v>
      </c>
      <c r="Y67" s="8">
        <v>2.5</v>
      </c>
      <c r="Z67" s="8">
        <v>2.2999999999999998</v>
      </c>
      <c r="AA67" s="11">
        <v>0</v>
      </c>
      <c r="AB67" s="11">
        <v>0</v>
      </c>
      <c r="AC67" s="11">
        <v>0</v>
      </c>
      <c r="AD67" s="8">
        <v>0.69</v>
      </c>
      <c r="AE67" s="11">
        <v>0</v>
      </c>
      <c r="AF67" s="11">
        <v>0</v>
      </c>
      <c r="AG67" s="11">
        <v>0</v>
      </c>
      <c r="AH67" s="11">
        <v>0</v>
      </c>
      <c r="AJ67">
        <f t="shared" si="50"/>
        <v>8.7301587301587311</v>
      </c>
      <c r="AK67">
        <f t="shared" si="55"/>
        <v>-8.0000000000000071E-2</v>
      </c>
      <c r="AM67">
        <f t="shared" si="52"/>
        <v>0.79365079365079372</v>
      </c>
      <c r="AN67">
        <f t="shared" si="64"/>
        <v>-1</v>
      </c>
      <c r="AO67">
        <f t="shared" si="53"/>
        <v>1.9841269841269842</v>
      </c>
      <c r="AQ67">
        <f t="shared" si="54"/>
        <v>3.1746031746031749</v>
      </c>
      <c r="AW67">
        <f t="shared" si="69"/>
        <v>0.13668430335097001</v>
      </c>
      <c r="AX67">
        <f t="shared" si="57"/>
        <v>1.984126984126984E-2</v>
      </c>
      <c r="AY67">
        <f t="shared" si="58"/>
        <v>0.62062506952152363</v>
      </c>
      <c r="BI67">
        <f t="shared" si="59"/>
        <v>1.8253968253968255E-2</v>
      </c>
      <c r="BL67">
        <f t="shared" si="60"/>
        <v>2.0780866963120787E-2</v>
      </c>
      <c r="BO67">
        <f t="shared" si="61"/>
        <v>0.41688554957793006</v>
      </c>
      <c r="CA67" t="s">
        <v>147</v>
      </c>
      <c r="CB67">
        <v>0</v>
      </c>
    </row>
    <row r="69" spans="21:80" x14ac:dyDescent="0.25">
      <c r="V69" t="s">
        <v>33</v>
      </c>
      <c r="AL69">
        <f>AVERAGE(AL50:AL67)</f>
        <v>-0.38345581477165991</v>
      </c>
    </row>
    <row r="70" spans="21:80" x14ac:dyDescent="0.25">
      <c r="V70" t="s">
        <v>12</v>
      </c>
      <c r="W70" t="s">
        <v>13</v>
      </c>
      <c r="X70" t="s">
        <v>14</v>
      </c>
      <c r="Y70" t="s">
        <v>15</v>
      </c>
      <c r="AD70" t="s">
        <v>21</v>
      </c>
      <c r="AM70" t="s">
        <v>101</v>
      </c>
      <c r="AO70" t="s">
        <v>101</v>
      </c>
      <c r="AQ70" t="s">
        <v>101</v>
      </c>
    </row>
    <row r="71" spans="21:80" x14ac:dyDescent="0.25">
      <c r="X71" t="s">
        <v>22</v>
      </c>
      <c r="Y71" t="s">
        <v>16</v>
      </c>
      <c r="Z71" t="s">
        <v>17</v>
      </c>
      <c r="AA71" t="s">
        <v>18</v>
      </c>
      <c r="AB71" t="s">
        <v>19</v>
      </c>
      <c r="AC71" t="s">
        <v>20</v>
      </c>
      <c r="AD71" t="s">
        <v>16</v>
      </c>
      <c r="AE71" t="s">
        <v>17</v>
      </c>
      <c r="AF71" t="s">
        <v>18</v>
      </c>
      <c r="AG71" t="s">
        <v>19</v>
      </c>
      <c r="AH71" t="s">
        <v>20</v>
      </c>
    </row>
    <row r="72" spans="21:80" x14ac:dyDescent="0.25">
      <c r="U72">
        <v>1</v>
      </c>
      <c r="W72" s="8">
        <v>0.15</v>
      </c>
      <c r="X72" s="8">
        <v>5.59</v>
      </c>
      <c r="Y72" s="8">
        <v>6.4</v>
      </c>
      <c r="Z72" s="8">
        <v>5.3</v>
      </c>
      <c r="AA72" s="8">
        <v>2.8</v>
      </c>
      <c r="AB72" s="8">
        <v>2.8</v>
      </c>
      <c r="AC72" s="8">
        <v>2.2000000000000002</v>
      </c>
      <c r="AD72" s="8">
        <v>0.68</v>
      </c>
      <c r="AE72" s="8">
        <v>0.56999999999999995</v>
      </c>
      <c r="AF72" s="8">
        <v>1.21</v>
      </c>
      <c r="AG72" s="8">
        <v>1.26</v>
      </c>
      <c r="AH72" s="8">
        <v>1.39</v>
      </c>
      <c r="AK72">
        <f t="shared" ref="AK72" si="72">(Z72-Y72)/Y72</f>
        <v>-0.17187500000000008</v>
      </c>
      <c r="AL72">
        <f t="shared" ref="AL72" si="73">(AE72-AD72)/AD72</f>
        <v>-0.16176470588235306</v>
      </c>
      <c r="AM72">
        <f>0.1/E6</f>
        <v>0.69444444444444453</v>
      </c>
      <c r="AN72">
        <f>(AA72-Z72)/Z72</f>
        <v>-0.47169811320754718</v>
      </c>
      <c r="AO72">
        <f>0.25/E6</f>
        <v>1.7361111111111112</v>
      </c>
      <c r="AP72">
        <f>(AB72-Z72)/Z72</f>
        <v>-0.47169811320754718</v>
      </c>
      <c r="AQ72">
        <f>0.4/E6</f>
        <v>2.7777777777777781</v>
      </c>
      <c r="AR72">
        <f>(AC72-Z72)/Z72</f>
        <v>-0.58490566037735847</v>
      </c>
      <c r="AS72">
        <f>(AF72-AE72)/AE72</f>
        <v>1.1228070175438598</v>
      </c>
      <c r="AT72">
        <f>(AG72-AE72)/AE72</f>
        <v>1.2105263157894739</v>
      </c>
      <c r="AU72">
        <f>(AH72-AE72)/AE72</f>
        <v>1.4385964912280702</v>
      </c>
      <c r="AW72">
        <f>X72/1000/(E6^2)</f>
        <v>0.26957947530864196</v>
      </c>
      <c r="AX72">
        <f>Y72/1000/E6</f>
        <v>4.4444444444444453E-2</v>
      </c>
      <c r="AY72">
        <f>AD72/SQRT(9.81*E6)</f>
        <v>0.57212794765897268</v>
      </c>
      <c r="BI72">
        <f>Z72/1000/E6</f>
        <v>3.6805555555555557E-2</v>
      </c>
      <c r="BJ72">
        <f>AE72/SQRT(9.81*E6)</f>
        <v>0.47957783847884461</v>
      </c>
      <c r="BM72">
        <f>BF6*$CX$42*($BT$82-$BT$83*1.1/E6)</f>
        <v>0.48175153468899445</v>
      </c>
    </row>
    <row r="73" spans="21:80" x14ac:dyDescent="0.25">
      <c r="U73">
        <v>2</v>
      </c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M73">
        <f t="shared" ref="AM73:AM89" si="74">0.1/E7</f>
        <v>0.71942446043165464</v>
      </c>
      <c r="AO73">
        <f t="shared" ref="AO73:AO89" si="75">0.25/E7</f>
        <v>1.7985611510791366</v>
      </c>
      <c r="AQ73">
        <f t="shared" ref="AQ73:AQ89" si="76">0.4/E7</f>
        <v>2.8776978417266186</v>
      </c>
    </row>
    <row r="74" spans="21:80" x14ac:dyDescent="0.25">
      <c r="U74">
        <v>3</v>
      </c>
      <c r="W74" s="8">
        <v>0.23</v>
      </c>
      <c r="X74" s="8">
        <v>11.79</v>
      </c>
      <c r="Y74" s="8">
        <v>13.6</v>
      </c>
      <c r="Z74" s="8">
        <v>9.1999999999999993</v>
      </c>
      <c r="AA74" s="8">
        <v>6.3</v>
      </c>
      <c r="AB74" s="8">
        <v>6</v>
      </c>
      <c r="AC74" s="8">
        <v>5</v>
      </c>
      <c r="AD74" s="8">
        <v>1.43</v>
      </c>
      <c r="AE74" s="8">
        <v>1.18</v>
      </c>
      <c r="AF74" s="8">
        <v>1.92</v>
      </c>
      <c r="AG74" s="8">
        <v>2.15</v>
      </c>
      <c r="AH74" s="8">
        <v>2.2400000000000002</v>
      </c>
      <c r="AK74">
        <f t="shared" ref="AK74:AK89" si="77">(Z74-Y74)/Y74</f>
        <v>-0.3235294117647059</v>
      </c>
      <c r="AL74">
        <f t="shared" ref="AL74:AL87" si="78">(AE74-AD74)/AD74</f>
        <v>-0.17482517482517484</v>
      </c>
      <c r="AM74">
        <f t="shared" si="74"/>
        <v>0.66666666666666674</v>
      </c>
      <c r="AN74">
        <f>(AA74-Z74)/Z74</f>
        <v>-0.31521739130434778</v>
      </c>
      <c r="AO74">
        <f t="shared" si="75"/>
        <v>1.6666666666666667</v>
      </c>
      <c r="AP74">
        <f>(AB74-Z74)/Z74</f>
        <v>-0.34782608695652167</v>
      </c>
      <c r="AQ74">
        <f t="shared" si="76"/>
        <v>2.666666666666667</v>
      </c>
      <c r="AR74">
        <f>(AC74-Z74)/Z74</f>
        <v>-0.45652173913043476</v>
      </c>
      <c r="AS74">
        <f>(AF74-AE74)/AE74</f>
        <v>0.6271186440677966</v>
      </c>
      <c r="AT74">
        <f>(AG74-AE74)/AE74</f>
        <v>0.82203389830508478</v>
      </c>
      <c r="AU74">
        <f>(AH74-AE74)/AE74</f>
        <v>0.89830508474576298</v>
      </c>
      <c r="AW74">
        <f t="shared" ref="AW74:AW89" si="79">X74/1000/(E8^2)</f>
        <v>0.52399999999999991</v>
      </c>
      <c r="AX74">
        <f t="shared" ref="AX74:AX89" si="80">Y74/1000/E8</f>
        <v>9.0666666666666659E-2</v>
      </c>
      <c r="AY74">
        <f t="shared" ref="AY74:AY87" si="81">AD74/SQRT(9.81*E8)</f>
        <v>1.1788428242769702</v>
      </c>
      <c r="BI74">
        <f t="shared" ref="BI74:BI89" si="82">Z74/1000/E8</f>
        <v>6.1333333333333337E-2</v>
      </c>
      <c r="BJ74">
        <f>AE74/SQRT(9.81*E8)</f>
        <v>0.97275142143134596</v>
      </c>
      <c r="BM74">
        <f>BF8*$CX$42*($BT$82-$BT$83*1.1/E8)</f>
        <v>0.67171213933003104</v>
      </c>
      <c r="BW74" t="s">
        <v>119</v>
      </c>
    </row>
    <row r="75" spans="21:80" x14ac:dyDescent="0.25">
      <c r="U75">
        <v>4</v>
      </c>
      <c r="W75" s="8">
        <v>0.14000000000000001</v>
      </c>
      <c r="X75" s="8">
        <v>4.3899999999999997</v>
      </c>
      <c r="Y75" s="8">
        <v>5</v>
      </c>
      <c r="Z75" s="8">
        <v>3.8</v>
      </c>
      <c r="AA75" s="8">
        <v>1.7</v>
      </c>
      <c r="AB75" s="8">
        <v>1.8</v>
      </c>
      <c r="AC75" s="8">
        <v>1.2</v>
      </c>
      <c r="AD75" s="8">
        <v>0.56000000000000005</v>
      </c>
      <c r="AE75" s="11">
        <v>0</v>
      </c>
      <c r="AF75" s="11">
        <v>0</v>
      </c>
      <c r="AG75" s="11">
        <v>0</v>
      </c>
      <c r="AH75" s="11">
        <v>0</v>
      </c>
      <c r="AK75">
        <f t="shared" si="77"/>
        <v>-0.24000000000000005</v>
      </c>
      <c r="AM75">
        <f t="shared" si="74"/>
        <v>0.70422535211267612</v>
      </c>
      <c r="AN75">
        <f t="shared" ref="AN75:AN89" si="83">(AA75-Z75)/Z75</f>
        <v>-0.55263157894736836</v>
      </c>
      <c r="AO75">
        <f t="shared" si="75"/>
        <v>1.7605633802816902</v>
      </c>
      <c r="AP75">
        <f t="shared" ref="AP75:AP87" si="84">(AB75-Z75)/Z75</f>
        <v>-0.52631578947368418</v>
      </c>
      <c r="AQ75">
        <f t="shared" si="76"/>
        <v>2.8169014084507045</v>
      </c>
      <c r="AR75">
        <f t="shared" ref="AR75:AR87" si="85">(AC75-Z75)/Z75</f>
        <v>-0.68421052631578938</v>
      </c>
      <c r="AW75">
        <f t="shared" si="79"/>
        <v>0.21771473913905973</v>
      </c>
      <c r="AX75">
        <f t="shared" si="80"/>
        <v>3.5211267605633804E-2</v>
      </c>
      <c r="AY75">
        <f t="shared" si="81"/>
        <v>0.47447064813906015</v>
      </c>
      <c r="BI75">
        <f t="shared" si="82"/>
        <v>2.6760563380281693E-2</v>
      </c>
    </row>
    <row r="76" spans="21:80" x14ac:dyDescent="0.25">
      <c r="U76">
        <v>5</v>
      </c>
      <c r="W76" s="8">
        <v>0.27</v>
      </c>
      <c r="X76" s="8">
        <v>16.100000000000001</v>
      </c>
      <c r="Y76" s="8">
        <v>20.8</v>
      </c>
      <c r="Z76" s="8">
        <v>13</v>
      </c>
      <c r="AA76" s="8">
        <v>10.1</v>
      </c>
      <c r="AB76" s="8">
        <v>9.4</v>
      </c>
      <c r="AC76" s="8">
        <v>8.3000000000000007</v>
      </c>
      <c r="AD76" s="8">
        <v>1.59</v>
      </c>
      <c r="AE76" s="8">
        <v>1.26</v>
      </c>
      <c r="AF76" s="8">
        <v>1.98</v>
      </c>
      <c r="AG76" s="8">
        <v>2.2000000000000002</v>
      </c>
      <c r="AH76" s="8">
        <v>2.2799999999999998</v>
      </c>
      <c r="AK76">
        <f t="shared" si="77"/>
        <v>-0.375</v>
      </c>
      <c r="AL76">
        <f t="shared" si="78"/>
        <v>-0.20754716981132079</v>
      </c>
      <c r="AM76">
        <f t="shared" si="74"/>
        <v>0.65359477124183007</v>
      </c>
      <c r="AN76">
        <f t="shared" si="83"/>
        <v>-0.22307692307692312</v>
      </c>
      <c r="AO76">
        <f t="shared" si="75"/>
        <v>1.6339869281045751</v>
      </c>
      <c r="AP76">
        <f t="shared" si="84"/>
        <v>-0.27692307692307688</v>
      </c>
      <c r="AQ76">
        <f t="shared" si="76"/>
        <v>2.6143790849673203</v>
      </c>
      <c r="AR76">
        <f t="shared" si="85"/>
        <v>-0.36153846153846148</v>
      </c>
      <c r="AS76">
        <f>(AF76-AE76)/AE76</f>
        <v>0.5714285714285714</v>
      </c>
      <c r="AT76">
        <f>(AG76-AE76)/AE76</f>
        <v>0.74603174603174616</v>
      </c>
      <c r="AU76">
        <f>(AH76-AE76)/AE76</f>
        <v>0.80952380952380931</v>
      </c>
      <c r="AW76">
        <f t="shared" si="79"/>
        <v>0.68776966124140293</v>
      </c>
      <c r="AX76">
        <f t="shared" si="80"/>
        <v>0.13594771241830064</v>
      </c>
      <c r="AY76">
        <f t="shared" si="81"/>
        <v>1.2978272995535003</v>
      </c>
      <c r="BI76">
        <f t="shared" si="82"/>
        <v>8.4967320261437912E-2</v>
      </c>
      <c r="BJ76">
        <f>AE76/SQRT(9.81*E10)</f>
        <v>1.0284669166273019</v>
      </c>
      <c r="BM76">
        <f>BF10*$CX$42*($BT$82-$BT$83*1.1/E10)</f>
        <v>0.92999383642373756</v>
      </c>
    </row>
    <row r="77" spans="21:80" x14ac:dyDescent="0.25">
      <c r="U77">
        <v>6</v>
      </c>
      <c r="W77" s="8">
        <v>0.19</v>
      </c>
      <c r="X77" s="8">
        <v>8.56</v>
      </c>
      <c r="Y77" s="8">
        <v>11.4</v>
      </c>
      <c r="Z77" s="8">
        <v>8</v>
      </c>
      <c r="AA77" s="8">
        <v>4.7</v>
      </c>
      <c r="AB77" s="8">
        <v>4.7</v>
      </c>
      <c r="AC77" s="8">
        <v>4.2</v>
      </c>
      <c r="AD77" s="8">
        <v>1.21</v>
      </c>
      <c r="AE77" s="8">
        <v>0.91</v>
      </c>
      <c r="AF77" s="8">
        <v>1.74</v>
      </c>
      <c r="AG77" s="8">
        <v>1.7</v>
      </c>
      <c r="AH77" s="8">
        <v>1.82</v>
      </c>
      <c r="AK77">
        <f t="shared" si="77"/>
        <v>-0.29824561403508776</v>
      </c>
      <c r="AL77">
        <f t="shared" si="78"/>
        <v>-0.24793388429752061</v>
      </c>
      <c r="AM77">
        <f t="shared" si="74"/>
        <v>0.68965517241379315</v>
      </c>
      <c r="AN77">
        <f t="shared" si="83"/>
        <v>-0.41249999999999998</v>
      </c>
      <c r="AO77">
        <f t="shared" si="75"/>
        <v>1.7241379310344829</v>
      </c>
      <c r="AP77">
        <f t="shared" si="84"/>
        <v>-0.41249999999999998</v>
      </c>
      <c r="AQ77">
        <f t="shared" si="76"/>
        <v>2.7586206896551726</v>
      </c>
      <c r="AR77">
        <f t="shared" si="85"/>
        <v>-0.47499999999999998</v>
      </c>
      <c r="AS77">
        <f>(AF77-AE77)/AE77</f>
        <v>0.91208791208791207</v>
      </c>
      <c r="AT77">
        <f>(AG77-AE77)/AE77</f>
        <v>0.86813186813186805</v>
      </c>
      <c r="AU77">
        <f>(AH77-AE77)/AE77</f>
        <v>1</v>
      </c>
      <c r="AW77">
        <f t="shared" si="79"/>
        <v>0.40713436385255652</v>
      </c>
      <c r="AX77">
        <f t="shared" si="80"/>
        <v>7.8620689655172424E-2</v>
      </c>
      <c r="AY77">
        <f t="shared" si="81"/>
        <v>1.0145346060141265</v>
      </c>
      <c r="BI77">
        <f t="shared" si="82"/>
        <v>5.5172413793103454E-2</v>
      </c>
      <c r="BJ77">
        <f>AE77/SQRT(9.81*E11)</f>
        <v>0.76299710039078938</v>
      </c>
      <c r="BM77">
        <f>BF11*$CX$42*($BT$82-$BT$83*1.1/E11)</f>
        <v>0.5926745726816659</v>
      </c>
    </row>
    <row r="78" spans="21:80" x14ac:dyDescent="0.25">
      <c r="U78">
        <v>7</v>
      </c>
      <c r="W78" s="8">
        <v>0.09</v>
      </c>
      <c r="X78" s="8">
        <v>3.39</v>
      </c>
      <c r="Y78" s="8">
        <v>5.0999999999999996</v>
      </c>
      <c r="Z78" s="8">
        <v>3.7</v>
      </c>
      <c r="AA78" s="8">
        <v>1.5</v>
      </c>
      <c r="AB78" s="8">
        <v>1.6</v>
      </c>
      <c r="AC78" s="8">
        <v>1.1000000000000001</v>
      </c>
      <c r="AD78" s="8">
        <v>0.56000000000000005</v>
      </c>
      <c r="AE78" s="11">
        <v>0</v>
      </c>
      <c r="AF78" s="11">
        <v>0</v>
      </c>
      <c r="AG78" s="11">
        <v>0</v>
      </c>
      <c r="AH78" s="11">
        <v>0</v>
      </c>
      <c r="AK78">
        <f t="shared" si="77"/>
        <v>-0.27450980392156854</v>
      </c>
      <c r="AM78">
        <f t="shared" si="74"/>
        <v>0.72463768115942029</v>
      </c>
      <c r="AN78">
        <f t="shared" si="83"/>
        <v>-0.59459459459459463</v>
      </c>
      <c r="AO78">
        <f t="shared" si="75"/>
        <v>1.8115942028985506</v>
      </c>
      <c r="AP78">
        <f t="shared" si="84"/>
        <v>-0.56756756756756754</v>
      </c>
      <c r="AQ78">
        <f t="shared" si="76"/>
        <v>2.8985507246376812</v>
      </c>
      <c r="AR78">
        <f t="shared" si="85"/>
        <v>-0.70270270270270274</v>
      </c>
      <c r="AW78">
        <f t="shared" si="79"/>
        <v>0.17800882167611845</v>
      </c>
      <c r="AX78">
        <f t="shared" si="80"/>
        <v>3.695652173913043E-2</v>
      </c>
      <c r="AY78">
        <f t="shared" si="81"/>
        <v>0.48129791479342576</v>
      </c>
      <c r="BI78">
        <f t="shared" si="82"/>
        <v>2.681159420289855E-2</v>
      </c>
    </row>
    <row r="79" spans="21:80" x14ac:dyDescent="0.25">
      <c r="U79">
        <v>8</v>
      </c>
      <c r="W79" s="8">
        <v>0.24</v>
      </c>
      <c r="X79" s="8">
        <v>12.66</v>
      </c>
      <c r="Y79" s="8">
        <v>18.5</v>
      </c>
      <c r="Z79" s="8">
        <v>10.5</v>
      </c>
      <c r="AA79" s="8">
        <v>7.1</v>
      </c>
      <c r="AB79" s="8">
        <v>6.8</v>
      </c>
      <c r="AC79" s="8">
        <v>6.3</v>
      </c>
      <c r="AD79" s="8">
        <v>1.44</v>
      </c>
      <c r="AE79" s="8">
        <v>1.1100000000000001</v>
      </c>
      <c r="AF79" s="8">
        <v>1.84</v>
      </c>
      <c r="AG79" s="8">
        <v>1.99</v>
      </c>
      <c r="AH79" s="8">
        <v>2.09</v>
      </c>
      <c r="AK79">
        <f t="shared" si="77"/>
        <v>-0.43243243243243246</v>
      </c>
      <c r="AL79">
        <f t="shared" si="78"/>
        <v>-0.22916666666666657</v>
      </c>
      <c r="AM79">
        <f t="shared" si="74"/>
        <v>0.6802721088435375</v>
      </c>
      <c r="AN79">
        <f t="shared" si="83"/>
        <v>-0.32380952380952382</v>
      </c>
      <c r="AO79">
        <f t="shared" si="75"/>
        <v>1.7006802721088436</v>
      </c>
      <c r="AP79">
        <f t="shared" si="84"/>
        <v>-0.35238095238095241</v>
      </c>
      <c r="AQ79">
        <f t="shared" si="76"/>
        <v>2.72108843537415</v>
      </c>
      <c r="AR79">
        <f t="shared" si="85"/>
        <v>-0.4</v>
      </c>
      <c r="AS79">
        <f t="shared" ref="AS79:AS87" si="86">(AF79-AE79)/AE79</f>
        <v>0.6576576576576576</v>
      </c>
      <c r="AT79">
        <f t="shared" ref="AT79:AT87" si="87">(AG79-AE79)/AE79</f>
        <v>0.79279279279279258</v>
      </c>
      <c r="AU79">
        <f t="shared" ref="AU79:AU87" si="88">(AH79-AE79)/AE79</f>
        <v>0.88288288288288264</v>
      </c>
      <c r="AW79">
        <f t="shared" si="79"/>
        <v>0.58586699986116908</v>
      </c>
      <c r="AX79">
        <f t="shared" si="80"/>
        <v>0.12585034013605442</v>
      </c>
      <c r="AY79">
        <f t="shared" si="81"/>
        <v>1.1991384287702895</v>
      </c>
      <c r="BI79">
        <f t="shared" si="82"/>
        <v>7.1428571428571438E-2</v>
      </c>
      <c r="BJ79">
        <f t="shared" ref="BJ79:BJ87" si="89">AE79/SQRT(9.81*E13)</f>
        <v>0.92433587217709834</v>
      </c>
      <c r="BM79">
        <f t="shared" ref="BM79:BM87" si="90">BF13*$CX$42*($BT$82-$BT$83*1.1/E13)</f>
        <v>0.8958226952179239</v>
      </c>
    </row>
    <row r="80" spans="21:80" x14ac:dyDescent="0.25">
      <c r="U80">
        <v>9</v>
      </c>
      <c r="W80" s="8">
        <v>0.21</v>
      </c>
      <c r="X80" s="8">
        <v>6.95</v>
      </c>
      <c r="Y80" s="8">
        <v>10.7</v>
      </c>
      <c r="Z80" s="8">
        <v>6.8</v>
      </c>
      <c r="AA80" s="8">
        <v>3.8</v>
      </c>
      <c r="AB80" s="8">
        <v>4.0999999999999996</v>
      </c>
      <c r="AC80" s="8">
        <v>3.5</v>
      </c>
      <c r="AD80" s="8">
        <v>0.95</v>
      </c>
      <c r="AE80" s="8">
        <v>0.75</v>
      </c>
      <c r="AF80" s="8">
        <v>1.51</v>
      </c>
      <c r="AG80" s="8">
        <v>1.49</v>
      </c>
      <c r="AH80" s="8">
        <v>1.65</v>
      </c>
      <c r="AK80">
        <f t="shared" si="77"/>
        <v>-0.3644859813084112</v>
      </c>
      <c r="AL80">
        <f t="shared" si="78"/>
        <v>-0.21052631578947364</v>
      </c>
      <c r="AM80">
        <f t="shared" si="74"/>
        <v>0.7142857142857143</v>
      </c>
      <c r="AN80">
        <f t="shared" si="83"/>
        <v>-0.44117647058823528</v>
      </c>
      <c r="AO80">
        <f t="shared" si="75"/>
        <v>1.7857142857142856</v>
      </c>
      <c r="AP80">
        <f t="shared" si="84"/>
        <v>-0.3970588235294118</v>
      </c>
      <c r="AQ80">
        <f t="shared" si="76"/>
        <v>2.8571428571428572</v>
      </c>
      <c r="AR80">
        <f t="shared" si="85"/>
        <v>-0.48529411764705882</v>
      </c>
      <c r="AS80">
        <f t="shared" si="86"/>
        <v>1.0133333333333334</v>
      </c>
      <c r="AT80">
        <f t="shared" si="87"/>
        <v>0.98666666666666669</v>
      </c>
      <c r="AU80">
        <f t="shared" si="88"/>
        <v>1.2</v>
      </c>
      <c r="AW80">
        <f t="shared" si="79"/>
        <v>0.35459183673469385</v>
      </c>
      <c r="AX80">
        <f t="shared" si="80"/>
        <v>7.6428571428571415E-2</v>
      </c>
      <c r="AY80">
        <f t="shared" si="81"/>
        <v>0.81063450132780157</v>
      </c>
      <c r="BI80">
        <f t="shared" si="82"/>
        <v>4.8571428571428564E-2</v>
      </c>
      <c r="BJ80">
        <f t="shared" si="89"/>
        <v>0.63997460631142233</v>
      </c>
      <c r="BM80">
        <f t="shared" si="90"/>
        <v>0.6049741809486282</v>
      </c>
      <c r="CA80" t="s">
        <v>158</v>
      </c>
      <c r="CB80">
        <v>0.8</v>
      </c>
    </row>
    <row r="81" spans="21:90" x14ac:dyDescent="0.25">
      <c r="U81">
        <v>10</v>
      </c>
      <c r="W81" s="8">
        <v>0.21</v>
      </c>
      <c r="X81" s="8">
        <v>18.25</v>
      </c>
      <c r="Y81" s="8">
        <v>21.2</v>
      </c>
      <c r="Z81" s="8">
        <v>12.8</v>
      </c>
      <c r="AA81" s="8">
        <v>8.4</v>
      </c>
      <c r="AB81" s="8">
        <v>7.7</v>
      </c>
      <c r="AC81" s="8">
        <v>7.2</v>
      </c>
      <c r="AD81" s="8">
        <v>1.54</v>
      </c>
      <c r="AE81" s="8">
        <v>1.07</v>
      </c>
      <c r="AF81" s="8">
        <v>1.89</v>
      </c>
      <c r="AG81" s="8">
        <v>2.1</v>
      </c>
      <c r="AH81" s="8">
        <v>2.2200000000000002</v>
      </c>
      <c r="AK81">
        <f t="shared" si="77"/>
        <v>-0.39622641509433959</v>
      </c>
      <c r="AL81">
        <f t="shared" si="78"/>
        <v>-0.30519480519480519</v>
      </c>
      <c r="AM81">
        <f t="shared" si="74"/>
        <v>0.69444444444444453</v>
      </c>
      <c r="AN81">
        <f t="shared" si="83"/>
        <v>-0.34375</v>
      </c>
      <c r="AO81">
        <f t="shared" si="75"/>
        <v>1.7361111111111112</v>
      </c>
      <c r="AP81">
        <f t="shared" si="84"/>
        <v>-0.3984375</v>
      </c>
      <c r="AQ81">
        <f t="shared" si="76"/>
        <v>2.7777777777777781</v>
      </c>
      <c r="AR81">
        <f t="shared" si="85"/>
        <v>-0.4375</v>
      </c>
      <c r="AS81">
        <f t="shared" si="86"/>
        <v>0.76635514018691564</v>
      </c>
      <c r="AT81">
        <f t="shared" si="87"/>
        <v>0.96261682242990654</v>
      </c>
      <c r="AU81">
        <f t="shared" si="88"/>
        <v>1.0747663551401869</v>
      </c>
      <c r="AW81">
        <f t="shared" si="79"/>
        <v>0.88011188271604945</v>
      </c>
      <c r="AX81">
        <f t="shared" si="80"/>
        <v>0.14722222222222223</v>
      </c>
      <c r="AY81">
        <f t="shared" si="81"/>
        <v>1.295701528521791</v>
      </c>
      <c r="BI81">
        <f t="shared" si="82"/>
        <v>8.8888888888888906E-2</v>
      </c>
      <c r="BJ81">
        <f t="shared" si="89"/>
        <v>0.90026015293397166</v>
      </c>
      <c r="BM81">
        <f t="shared" si="90"/>
        <v>0.99921023901157191</v>
      </c>
      <c r="CA81" t="s">
        <v>147</v>
      </c>
      <c r="CB81">
        <v>0.02</v>
      </c>
    </row>
    <row r="82" spans="21:90" x14ac:dyDescent="0.25">
      <c r="U82">
        <v>11</v>
      </c>
      <c r="W82" s="8">
        <v>0.25</v>
      </c>
      <c r="X82" s="8">
        <v>12.21</v>
      </c>
      <c r="Y82" s="8">
        <v>15.5</v>
      </c>
      <c r="Z82" s="8">
        <v>10.199999999999999</v>
      </c>
      <c r="AA82" s="8">
        <v>6.5</v>
      </c>
      <c r="AB82" s="8">
        <v>6.4</v>
      </c>
      <c r="AC82" s="8">
        <v>5.8</v>
      </c>
      <c r="AD82" s="8">
        <v>1.48</v>
      </c>
      <c r="AE82" s="8">
        <v>1.1100000000000001</v>
      </c>
      <c r="AF82" s="8">
        <v>1.86</v>
      </c>
      <c r="AG82" s="8">
        <v>2.0699999999999998</v>
      </c>
      <c r="AH82" s="8">
        <v>2.12</v>
      </c>
      <c r="AK82">
        <f t="shared" si="77"/>
        <v>-0.34193548387096778</v>
      </c>
      <c r="AL82">
        <f t="shared" si="78"/>
        <v>-0.24999999999999992</v>
      </c>
      <c r="AM82">
        <f t="shared" si="74"/>
        <v>0.65789473684210531</v>
      </c>
      <c r="AN82">
        <f t="shared" si="83"/>
        <v>-0.36274509803921562</v>
      </c>
      <c r="AO82">
        <f t="shared" si="75"/>
        <v>1.6447368421052633</v>
      </c>
      <c r="AP82">
        <f t="shared" si="84"/>
        <v>-0.37254901960784303</v>
      </c>
      <c r="AQ82">
        <f t="shared" si="76"/>
        <v>2.6315789473684212</v>
      </c>
      <c r="AR82">
        <f t="shared" si="85"/>
        <v>-0.43137254901960781</v>
      </c>
      <c r="AS82">
        <f t="shared" si="86"/>
        <v>0.67567567567567566</v>
      </c>
      <c r="AT82">
        <f t="shared" si="87"/>
        <v>0.86486486486486458</v>
      </c>
      <c r="AU82">
        <f t="shared" si="88"/>
        <v>0.90990990990990983</v>
      </c>
      <c r="AW82">
        <f t="shared" si="79"/>
        <v>0.52847991689750695</v>
      </c>
      <c r="AX82">
        <f t="shared" si="80"/>
        <v>0.10197368421052631</v>
      </c>
      <c r="AY82">
        <f t="shared" si="81"/>
        <v>1.2120078082238848</v>
      </c>
      <c r="BI82">
        <f t="shared" si="82"/>
        <v>6.7105263157894737E-2</v>
      </c>
      <c r="BJ82">
        <f t="shared" si="89"/>
        <v>0.90900585616791363</v>
      </c>
      <c r="BM82">
        <f t="shared" si="90"/>
        <v>0.82105885262630074</v>
      </c>
      <c r="BS82" t="s">
        <v>159</v>
      </c>
      <c r="BT82">
        <v>1.1000000000000001</v>
      </c>
    </row>
    <row r="83" spans="21:90" x14ac:dyDescent="0.25">
      <c r="U83">
        <v>12</v>
      </c>
      <c r="W83" s="8">
        <v>0.22</v>
      </c>
      <c r="X83" s="8">
        <v>10.91</v>
      </c>
      <c r="Y83" s="8">
        <v>12.8</v>
      </c>
      <c r="Z83" s="8">
        <v>8.9</v>
      </c>
      <c r="AA83" s="8">
        <v>5.8</v>
      </c>
      <c r="AB83" s="8">
        <v>5.6</v>
      </c>
      <c r="AC83" s="8">
        <v>4.8</v>
      </c>
      <c r="AD83" s="8">
        <v>1.26</v>
      </c>
      <c r="AE83" s="8">
        <v>1.05</v>
      </c>
      <c r="AF83" s="8">
        <v>1.79</v>
      </c>
      <c r="AG83" s="8">
        <v>1.96</v>
      </c>
      <c r="AH83" s="8">
        <v>2</v>
      </c>
      <c r="AK83">
        <f t="shared" si="77"/>
        <v>-0.3046875</v>
      </c>
      <c r="AL83">
        <f t="shared" si="78"/>
        <v>-0.16666666666666663</v>
      </c>
      <c r="AM83">
        <f t="shared" si="74"/>
        <v>0.67567567567567577</v>
      </c>
      <c r="AN83">
        <f t="shared" si="83"/>
        <v>-0.34831460674157311</v>
      </c>
      <c r="AO83">
        <f t="shared" si="75"/>
        <v>1.6891891891891893</v>
      </c>
      <c r="AP83">
        <f t="shared" si="84"/>
        <v>-0.37078651685393266</v>
      </c>
      <c r="AQ83">
        <f t="shared" si="76"/>
        <v>2.7027027027027031</v>
      </c>
      <c r="AR83">
        <f t="shared" si="85"/>
        <v>-0.4606741573033708</v>
      </c>
      <c r="AS83">
        <f t="shared" si="86"/>
        <v>0.7047619047619047</v>
      </c>
      <c r="AT83">
        <f t="shared" si="87"/>
        <v>0.86666666666666659</v>
      </c>
      <c r="AU83">
        <f t="shared" si="88"/>
        <v>0.90476190476190466</v>
      </c>
      <c r="AW83">
        <f t="shared" si="79"/>
        <v>0.49808254200146096</v>
      </c>
      <c r="AX83">
        <f t="shared" si="80"/>
        <v>8.6486486486486491E-2</v>
      </c>
      <c r="AY83">
        <f t="shared" si="81"/>
        <v>1.0456953666822943</v>
      </c>
      <c r="BI83">
        <f t="shared" si="82"/>
        <v>6.0135135135135138E-2</v>
      </c>
      <c r="BJ83">
        <f t="shared" si="89"/>
        <v>0.8714128055685787</v>
      </c>
      <c r="BM83">
        <f t="shared" si="90"/>
        <v>0.69977211781893767</v>
      </c>
      <c r="BS83" t="s">
        <v>160</v>
      </c>
      <c r="BT83">
        <v>0.05</v>
      </c>
    </row>
    <row r="84" spans="21:90" x14ac:dyDescent="0.25">
      <c r="U84">
        <v>13</v>
      </c>
      <c r="W84" s="8">
        <v>0.2</v>
      </c>
      <c r="X84" s="8">
        <v>8.26</v>
      </c>
      <c r="Y84" s="8">
        <v>10.8</v>
      </c>
      <c r="Z84" s="8">
        <v>7.9</v>
      </c>
      <c r="AA84" s="8">
        <v>4.9000000000000004</v>
      </c>
      <c r="AB84" s="8">
        <v>4.9000000000000004</v>
      </c>
      <c r="AC84" s="8">
        <v>4</v>
      </c>
      <c r="AD84" s="8">
        <v>1.1200000000000001</v>
      </c>
      <c r="AE84" s="8">
        <v>0.93</v>
      </c>
      <c r="AF84" s="8">
        <v>1.72</v>
      </c>
      <c r="AG84" s="8">
        <v>1.74</v>
      </c>
      <c r="AH84" s="8">
        <v>1.89</v>
      </c>
      <c r="AK84">
        <f t="shared" si="77"/>
        <v>-0.26851851851851855</v>
      </c>
      <c r="AL84">
        <f t="shared" si="78"/>
        <v>-0.16964285714285718</v>
      </c>
      <c r="AM84">
        <f t="shared" si="74"/>
        <v>0.71942446043165464</v>
      </c>
      <c r="AN84">
        <f t="shared" si="83"/>
        <v>-0.37974683544303794</v>
      </c>
      <c r="AO84">
        <f t="shared" si="75"/>
        <v>1.7985611510791366</v>
      </c>
      <c r="AP84">
        <f t="shared" si="84"/>
        <v>-0.37974683544303794</v>
      </c>
      <c r="AQ84">
        <f t="shared" si="76"/>
        <v>2.8776978417266186</v>
      </c>
      <c r="AR84">
        <f t="shared" si="85"/>
        <v>-0.49367088607594939</v>
      </c>
      <c r="AS84">
        <f t="shared" si="86"/>
        <v>0.84946236559139776</v>
      </c>
      <c r="AT84">
        <f t="shared" si="87"/>
        <v>0.87096774193548376</v>
      </c>
      <c r="AU84">
        <f t="shared" si="88"/>
        <v>1.0322580645161288</v>
      </c>
      <c r="AW84">
        <f t="shared" si="79"/>
        <v>0.42751410382485366</v>
      </c>
      <c r="AX84">
        <f t="shared" si="80"/>
        <v>7.7697841726618699E-2</v>
      </c>
      <c r="AY84">
        <f t="shared" si="81"/>
        <v>0.95912700450466903</v>
      </c>
      <c r="BI84">
        <f t="shared" si="82"/>
        <v>5.6834532374100723E-2</v>
      </c>
      <c r="BJ84">
        <f t="shared" si="89"/>
        <v>0.79641795909762692</v>
      </c>
      <c r="BM84">
        <f t="shared" si="90"/>
        <v>0.59355603061537165</v>
      </c>
      <c r="CL84" s="4"/>
    </row>
    <row r="85" spans="21:90" x14ac:dyDescent="0.25">
      <c r="U85">
        <v>14</v>
      </c>
      <c r="W85" s="8">
        <v>0.16</v>
      </c>
      <c r="X85" s="8">
        <v>6.92</v>
      </c>
      <c r="Y85" s="8">
        <v>10.4</v>
      </c>
      <c r="Z85" s="8">
        <v>6.7</v>
      </c>
      <c r="AA85" s="8">
        <v>4.2</v>
      </c>
      <c r="AB85" s="8">
        <v>4.2</v>
      </c>
      <c r="AC85" s="8">
        <v>3.6</v>
      </c>
      <c r="AD85" s="8">
        <v>1</v>
      </c>
      <c r="AE85" s="8">
        <v>0.82</v>
      </c>
      <c r="AF85" s="8">
        <v>1.6</v>
      </c>
      <c r="AG85" s="8">
        <v>1.63</v>
      </c>
      <c r="AH85" s="8">
        <v>1.77</v>
      </c>
      <c r="AK85">
        <f t="shared" si="77"/>
        <v>-0.35576923076923078</v>
      </c>
      <c r="AL85">
        <f t="shared" si="78"/>
        <v>-0.18000000000000005</v>
      </c>
      <c r="AM85">
        <f t="shared" si="74"/>
        <v>0.76923076923076927</v>
      </c>
      <c r="AN85">
        <f t="shared" si="83"/>
        <v>-0.37313432835820892</v>
      </c>
      <c r="AO85">
        <f t="shared" si="75"/>
        <v>1.9230769230769229</v>
      </c>
      <c r="AP85">
        <f t="shared" si="84"/>
        <v>-0.37313432835820892</v>
      </c>
      <c r="AQ85">
        <f t="shared" si="76"/>
        <v>3.0769230769230771</v>
      </c>
      <c r="AR85">
        <f t="shared" si="85"/>
        <v>-0.46268656716417911</v>
      </c>
      <c r="AS85">
        <f t="shared" si="86"/>
        <v>0.95121951219512213</v>
      </c>
      <c r="AT85">
        <f t="shared" si="87"/>
        <v>0.98780487804878048</v>
      </c>
      <c r="AU85">
        <f t="shared" si="88"/>
        <v>1.1585365853658538</v>
      </c>
      <c r="AW85">
        <f t="shared" si="79"/>
        <v>0.40946745562130171</v>
      </c>
      <c r="AX85">
        <f t="shared" si="80"/>
        <v>7.9999999999999988E-2</v>
      </c>
      <c r="AY85">
        <f t="shared" si="81"/>
        <v>0.88551071393642489</v>
      </c>
      <c r="BI85">
        <f t="shared" si="82"/>
        <v>5.153846153846154E-2</v>
      </c>
      <c r="BJ85">
        <f t="shared" si="89"/>
        <v>0.72611878542786845</v>
      </c>
      <c r="BM85">
        <f t="shared" si="90"/>
        <v>0.56779307461203887</v>
      </c>
    </row>
    <row r="86" spans="21:90" x14ac:dyDescent="0.25">
      <c r="U86">
        <v>15</v>
      </c>
      <c r="W86" s="8">
        <v>0.13</v>
      </c>
      <c r="X86" s="8">
        <v>5.99</v>
      </c>
      <c r="Y86" s="8">
        <v>8</v>
      </c>
      <c r="Z86" s="8">
        <v>5.7</v>
      </c>
      <c r="AA86" s="8">
        <v>2.8</v>
      </c>
      <c r="AB86" s="8">
        <v>3.1</v>
      </c>
      <c r="AC86" s="8">
        <v>2.6</v>
      </c>
      <c r="AD86" s="8">
        <v>0.9</v>
      </c>
      <c r="AE86" s="8">
        <v>0.65</v>
      </c>
      <c r="AF86" s="8">
        <v>1.37</v>
      </c>
      <c r="AG86" s="8">
        <v>1.28</v>
      </c>
      <c r="AH86" s="8">
        <v>1.37</v>
      </c>
      <c r="AK86">
        <f t="shared" si="77"/>
        <v>-0.28749999999999998</v>
      </c>
      <c r="AL86">
        <f t="shared" si="78"/>
        <v>-0.27777777777777779</v>
      </c>
      <c r="AM86">
        <f t="shared" si="74"/>
        <v>0.70422535211267612</v>
      </c>
      <c r="AN86">
        <f t="shared" si="83"/>
        <v>-0.50877192982456143</v>
      </c>
      <c r="AO86">
        <f t="shared" si="75"/>
        <v>1.7605633802816902</v>
      </c>
      <c r="AP86">
        <f t="shared" si="84"/>
        <v>-0.45614035087719296</v>
      </c>
      <c r="AQ86">
        <f t="shared" si="76"/>
        <v>2.8169014084507045</v>
      </c>
      <c r="AR86">
        <f t="shared" si="85"/>
        <v>-0.54385964912280704</v>
      </c>
      <c r="AS86">
        <f t="shared" si="86"/>
        <v>1.1076923076923078</v>
      </c>
      <c r="AT86">
        <f t="shared" si="87"/>
        <v>0.96923076923076923</v>
      </c>
      <c r="AU86">
        <f t="shared" si="88"/>
        <v>1.1076923076923078</v>
      </c>
      <c r="AW86">
        <f t="shared" si="79"/>
        <v>0.29706407458837536</v>
      </c>
      <c r="AX86">
        <f t="shared" si="80"/>
        <v>5.6338028169014093E-2</v>
      </c>
      <c r="AY86">
        <f t="shared" si="81"/>
        <v>0.76254211308063224</v>
      </c>
      <c r="BI86">
        <f t="shared" si="82"/>
        <v>4.0140845070422537E-2</v>
      </c>
      <c r="BJ86">
        <f t="shared" si="89"/>
        <v>0.55072485944712335</v>
      </c>
      <c r="BM86">
        <f t="shared" si="90"/>
        <v>0.50355066562897566</v>
      </c>
    </row>
    <row r="87" spans="21:90" x14ac:dyDescent="0.25">
      <c r="U87">
        <v>16</v>
      </c>
      <c r="W87" s="8">
        <v>0.13</v>
      </c>
      <c r="X87" s="8">
        <v>5.28</v>
      </c>
      <c r="Y87" s="8">
        <v>6.7</v>
      </c>
      <c r="Z87" s="8">
        <v>5.2</v>
      </c>
      <c r="AA87" s="8">
        <v>2.7</v>
      </c>
      <c r="AB87" s="8">
        <v>2.9</v>
      </c>
      <c r="AC87" s="8">
        <v>2.2999999999999998</v>
      </c>
      <c r="AD87" s="8">
        <v>0.68</v>
      </c>
      <c r="AE87" s="8">
        <v>0.62</v>
      </c>
      <c r="AF87" s="8">
        <v>1.36</v>
      </c>
      <c r="AG87" s="8">
        <v>1.28</v>
      </c>
      <c r="AH87" s="8">
        <v>1.37</v>
      </c>
      <c r="AK87">
        <f t="shared" si="77"/>
        <v>-0.22388059701492538</v>
      </c>
      <c r="AL87">
        <f t="shared" si="78"/>
        <v>-8.8235294117647134E-2</v>
      </c>
      <c r="AM87">
        <f t="shared" si="74"/>
        <v>0.72463768115942029</v>
      </c>
      <c r="AN87">
        <f t="shared" si="83"/>
        <v>-0.48076923076923073</v>
      </c>
      <c r="AO87">
        <f t="shared" si="75"/>
        <v>1.8115942028985506</v>
      </c>
      <c r="AP87">
        <f t="shared" si="84"/>
        <v>-0.44230769230769235</v>
      </c>
      <c r="AQ87">
        <f t="shared" si="76"/>
        <v>2.8985507246376812</v>
      </c>
      <c r="AR87">
        <f t="shared" si="85"/>
        <v>-0.55769230769230771</v>
      </c>
      <c r="AS87">
        <f t="shared" si="86"/>
        <v>1.1935483870967745</v>
      </c>
      <c r="AT87">
        <f t="shared" si="87"/>
        <v>1.0645161290322582</v>
      </c>
      <c r="AU87">
        <f t="shared" si="88"/>
        <v>1.209677419354839</v>
      </c>
      <c r="AW87">
        <f t="shared" si="79"/>
        <v>0.27725267800882164</v>
      </c>
      <c r="AX87">
        <f t="shared" si="80"/>
        <v>4.8550724637681154E-2</v>
      </c>
      <c r="AY87">
        <f t="shared" si="81"/>
        <v>0.58443318224915985</v>
      </c>
      <c r="BI87">
        <f t="shared" si="82"/>
        <v>3.768115942028985E-2</v>
      </c>
      <c r="BJ87">
        <f t="shared" si="89"/>
        <v>0.53286554852129275</v>
      </c>
      <c r="BM87">
        <f t="shared" si="90"/>
        <v>0.43226120427345621</v>
      </c>
    </row>
    <row r="88" spans="21:90" x14ac:dyDescent="0.25">
      <c r="U88">
        <v>17</v>
      </c>
      <c r="W88" s="8">
        <v>0.06</v>
      </c>
      <c r="X88" s="8">
        <v>2.2599999999999998</v>
      </c>
      <c r="Y88" s="8">
        <v>2.1</v>
      </c>
      <c r="Z88" s="8">
        <v>1.2</v>
      </c>
      <c r="AA88" s="11">
        <v>0</v>
      </c>
      <c r="AB88" s="11">
        <v>0</v>
      </c>
      <c r="AC88" s="11">
        <v>0</v>
      </c>
      <c r="AD88" s="11">
        <v>0</v>
      </c>
      <c r="AE88" s="11">
        <v>0</v>
      </c>
      <c r="AF88" s="11">
        <v>0</v>
      </c>
      <c r="AG88" s="11">
        <v>0</v>
      </c>
      <c r="AH88" s="11">
        <v>0</v>
      </c>
      <c r="AK88">
        <f t="shared" si="77"/>
        <v>-0.4285714285714286</v>
      </c>
      <c r="AM88">
        <f t="shared" si="74"/>
        <v>0.75187969924812026</v>
      </c>
      <c r="AN88">
        <f t="shared" si="83"/>
        <v>-1</v>
      </c>
      <c r="AO88">
        <f t="shared" si="75"/>
        <v>1.8796992481203008</v>
      </c>
      <c r="AQ88">
        <f t="shared" si="76"/>
        <v>3.007518796992481</v>
      </c>
      <c r="AW88">
        <f t="shared" si="79"/>
        <v>0.12776301656396627</v>
      </c>
      <c r="AX88">
        <f t="shared" si="80"/>
        <v>1.5789473684210527E-2</v>
      </c>
      <c r="BI88">
        <f t="shared" si="82"/>
        <v>9.0225563909774424E-3</v>
      </c>
    </row>
    <row r="89" spans="21:90" x14ac:dyDescent="0.25">
      <c r="U89">
        <v>18</v>
      </c>
      <c r="W89" s="8">
        <v>7.0000000000000007E-2</v>
      </c>
      <c r="X89" s="8">
        <v>2.17</v>
      </c>
      <c r="Y89" s="8">
        <v>2.9</v>
      </c>
      <c r="Z89" s="8">
        <v>1.3</v>
      </c>
      <c r="AA89" s="11">
        <v>0</v>
      </c>
      <c r="AB89" s="11">
        <v>0</v>
      </c>
      <c r="AC89" s="11">
        <v>0</v>
      </c>
      <c r="AD89" s="11">
        <v>0</v>
      </c>
      <c r="AE89" s="11">
        <v>0</v>
      </c>
      <c r="AF89" s="11">
        <v>0</v>
      </c>
      <c r="AG89" s="11">
        <v>0</v>
      </c>
      <c r="AH89" s="11">
        <v>0</v>
      </c>
      <c r="AK89">
        <f t="shared" si="77"/>
        <v>-0.55172413793103448</v>
      </c>
      <c r="AM89">
        <f t="shared" si="74"/>
        <v>0.79365079365079372</v>
      </c>
      <c r="AN89">
        <f t="shared" si="83"/>
        <v>-1</v>
      </c>
      <c r="AO89">
        <f t="shared" si="75"/>
        <v>1.9841269841269842</v>
      </c>
      <c r="AQ89">
        <f t="shared" si="76"/>
        <v>3.1746031746031749</v>
      </c>
      <c r="AW89">
        <f t="shared" si="79"/>
        <v>0.13668430335097001</v>
      </c>
      <c r="AX89">
        <f t="shared" si="80"/>
        <v>2.3015873015873014E-2</v>
      </c>
      <c r="BI89">
        <f t="shared" si="82"/>
        <v>1.0317460317460317E-2</v>
      </c>
    </row>
    <row r="91" spans="21:90" x14ac:dyDescent="0.25">
      <c r="V91" t="s">
        <v>34</v>
      </c>
      <c r="AL91">
        <f>AVERAGE(AL72:AL89)</f>
        <v>-0.20532933216709723</v>
      </c>
      <c r="BD91" s="1" t="s">
        <v>147</v>
      </c>
      <c r="BE91" s="1">
        <f>CO75</f>
        <v>0</v>
      </c>
    </row>
    <row r="92" spans="21:90" x14ac:dyDescent="0.25">
      <c r="V92" t="s">
        <v>12</v>
      </c>
      <c r="W92" t="s">
        <v>13</v>
      </c>
      <c r="X92" t="s">
        <v>14</v>
      </c>
      <c r="Y92" t="s">
        <v>15</v>
      </c>
      <c r="AD92" t="s">
        <v>21</v>
      </c>
      <c r="BD92" s="1" t="s">
        <v>137</v>
      </c>
      <c r="BE92" s="1">
        <v>0.3</v>
      </c>
    </row>
    <row r="93" spans="21:90" x14ac:dyDescent="0.25">
      <c r="X93" t="s">
        <v>22</v>
      </c>
      <c r="Y93" t="s">
        <v>16</v>
      </c>
      <c r="Z93" t="s">
        <v>17</v>
      </c>
      <c r="AA93" t="s">
        <v>18</v>
      </c>
      <c r="AB93" t="s">
        <v>19</v>
      </c>
      <c r="AC93" t="s">
        <v>20</v>
      </c>
      <c r="AD93" t="s">
        <v>16</v>
      </c>
      <c r="AE93" t="s">
        <v>17</v>
      </c>
      <c r="AF93" t="s">
        <v>18</v>
      </c>
      <c r="AG93" t="s">
        <v>19</v>
      </c>
      <c r="AH93" t="s">
        <v>20</v>
      </c>
      <c r="AJ93" t="s">
        <v>54</v>
      </c>
      <c r="BD93" s="1" t="s">
        <v>136</v>
      </c>
      <c r="BE93" s="1">
        <v>0.2</v>
      </c>
      <c r="BL93" t="s">
        <v>121</v>
      </c>
      <c r="BM93" t="s">
        <v>82</v>
      </c>
      <c r="CC93" t="s">
        <v>102</v>
      </c>
    </row>
    <row r="94" spans="21:90" x14ac:dyDescent="0.25">
      <c r="U94">
        <v>1</v>
      </c>
      <c r="W94" s="8">
        <v>0.05</v>
      </c>
      <c r="X94" s="8">
        <v>3.98</v>
      </c>
      <c r="Y94" s="8">
        <v>7.1</v>
      </c>
      <c r="Z94" s="8">
        <v>4.5</v>
      </c>
      <c r="AA94" s="8">
        <v>3</v>
      </c>
      <c r="AB94" s="8">
        <v>3</v>
      </c>
      <c r="AC94" s="8">
        <v>2.9</v>
      </c>
      <c r="AD94" s="8">
        <v>0</v>
      </c>
      <c r="AE94" s="8">
        <v>0</v>
      </c>
      <c r="AF94" s="8">
        <v>0</v>
      </c>
      <c r="AG94" s="8">
        <v>0</v>
      </c>
      <c r="AH94" s="8">
        <v>0</v>
      </c>
      <c r="AN94">
        <f t="shared" ref="AN94" si="91">(AA94-Z94)/Z94</f>
        <v>-0.33333333333333331</v>
      </c>
      <c r="AP94">
        <f t="shared" ref="AP94" si="92">(AB94-Z94)/Z94</f>
        <v>-0.33333333333333331</v>
      </c>
      <c r="AR94">
        <f t="shared" ref="AR94" si="93">(AC94-Z94)/Z94</f>
        <v>-0.35555555555555557</v>
      </c>
      <c r="AW94">
        <f>X94/1000/(E6^2)</f>
        <v>0.19193672839506176</v>
      </c>
      <c r="AX94">
        <f>Y94/1000/E6</f>
        <v>4.9305555555555554E-2</v>
      </c>
      <c r="BI94">
        <f>Z94/1000/E6</f>
        <v>3.125E-2</v>
      </c>
      <c r="BL94">
        <f>BE6*$CQ$42*($CB$80-$CB$81*1.1/E6)*(1+$BE$93)</f>
        <v>3.7068407643200317E-2</v>
      </c>
      <c r="BM94">
        <f>BF6*$CX$42*($BT$82-$BT$83*1.1/E6)*(1-$BE$92)</f>
        <v>0.33722607428229612</v>
      </c>
      <c r="BS94" t="s">
        <v>85</v>
      </c>
    </row>
    <row r="95" spans="21:90" x14ac:dyDescent="0.25">
      <c r="U95">
        <v>2</v>
      </c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BL95">
        <f t="shared" ref="BL95:BL111" si="94">BE7*$CQ$42*($CB$80-$CB$81*1.1/E7)*(1+$BE$93)</f>
        <v>2.3944891157888858E-2</v>
      </c>
      <c r="BM95">
        <f t="shared" ref="BM95:BM111" si="95">BF7*$CX$42*($BT$82-$BT$83*1.1/E7)*(1-$BE$92)</f>
        <v>0.18496140045437015</v>
      </c>
    </row>
    <row r="96" spans="21:90" x14ac:dyDescent="0.25">
      <c r="U96">
        <v>3</v>
      </c>
      <c r="W96" s="8">
        <v>0.14000000000000001</v>
      </c>
      <c r="X96" s="8">
        <v>11.82</v>
      </c>
      <c r="Y96" s="8">
        <v>15.1</v>
      </c>
      <c r="Z96" s="8">
        <v>12</v>
      </c>
      <c r="AA96" s="8">
        <v>7.6</v>
      </c>
      <c r="AB96" s="8">
        <v>7.4</v>
      </c>
      <c r="AC96" s="8">
        <v>5.4</v>
      </c>
      <c r="AD96" s="8">
        <v>1.33</v>
      </c>
      <c r="AE96" s="8">
        <v>0.74</v>
      </c>
      <c r="AF96" s="8">
        <v>1.03</v>
      </c>
      <c r="AG96" s="8">
        <v>1.01</v>
      </c>
      <c r="AH96" s="8">
        <v>0.95</v>
      </c>
      <c r="AN96">
        <f t="shared" ref="AN96" si="96">(AA96-Z96)/Z96</f>
        <v>-0.3666666666666667</v>
      </c>
      <c r="AP96">
        <f t="shared" ref="AP96" si="97">(AB96-Z96)/Z96</f>
        <v>-0.3833333333333333</v>
      </c>
      <c r="AR96">
        <f t="shared" ref="AR96" si="98">(AC96-Z96)/Z96</f>
        <v>-0.54999999999999993</v>
      </c>
      <c r="AS96">
        <f t="shared" ref="AS96" si="99">(AF96-AE96)/AE96</f>
        <v>0.39189189189189194</v>
      </c>
      <c r="AT96">
        <f t="shared" ref="AT96" si="100">(AG96-AE96)/AE96</f>
        <v>0.36486486486486491</v>
      </c>
      <c r="AU96">
        <f t="shared" ref="AU96" si="101">(AH96-AE96)/AE96</f>
        <v>0.28378378378378372</v>
      </c>
      <c r="AW96">
        <f>X96/1000/(E8^2)</f>
        <v>0.52533333333333343</v>
      </c>
      <c r="AX96">
        <f t="shared" ref="AX96:AX111" si="102">Y96/1000/E8</f>
        <v>0.10066666666666667</v>
      </c>
      <c r="AY96">
        <f t="shared" ref="AY96:AY109" si="103">AD96/SQRT(9.81*E8)</f>
        <v>1.0964062631387206</v>
      </c>
      <c r="BI96">
        <f t="shared" ref="BI96:BI109" si="104">Z96/1000/E8</f>
        <v>0.08</v>
      </c>
      <c r="BJ96">
        <f>AE96/SQRT(9.81*E8)</f>
        <v>0.61003055242304749</v>
      </c>
      <c r="BL96">
        <f t="shared" si="94"/>
        <v>5.3031490121259246E-2</v>
      </c>
      <c r="BM96">
        <f t="shared" si="95"/>
        <v>0.47019849753102172</v>
      </c>
    </row>
    <row r="97" spans="21:89" x14ac:dyDescent="0.25">
      <c r="U97">
        <v>4</v>
      </c>
      <c r="W97" s="8">
        <v>0.01</v>
      </c>
      <c r="X97" s="11">
        <v>0</v>
      </c>
      <c r="Y97" s="8">
        <v>5.0999999999999996</v>
      </c>
      <c r="Z97" s="11">
        <v>0</v>
      </c>
      <c r="AA97" s="11">
        <v>0</v>
      </c>
      <c r="AB97" s="11">
        <v>0</v>
      </c>
      <c r="AC97" s="8">
        <v>2.1</v>
      </c>
      <c r="AD97" s="8">
        <v>0.75</v>
      </c>
      <c r="AE97" s="11">
        <v>0</v>
      </c>
      <c r="AF97" s="11">
        <v>0</v>
      </c>
      <c r="AG97" s="11">
        <v>0</v>
      </c>
      <c r="AH97" s="11">
        <v>0</v>
      </c>
      <c r="AX97">
        <f t="shared" si="102"/>
        <v>3.591549295774648E-2</v>
      </c>
      <c r="AY97">
        <f t="shared" si="103"/>
        <v>0.63545176090052691</v>
      </c>
      <c r="BL97">
        <f t="shared" si="94"/>
        <v>3.3488020443153861E-2</v>
      </c>
      <c r="BM97">
        <f t="shared" si="95"/>
        <v>0.28914192595568405</v>
      </c>
    </row>
    <row r="98" spans="21:89" x14ac:dyDescent="0.25">
      <c r="U98">
        <v>5</v>
      </c>
      <c r="W98" s="8">
        <v>0.22</v>
      </c>
      <c r="X98" s="8">
        <v>20.260000000000002</v>
      </c>
      <c r="Y98" s="8">
        <v>22.9</v>
      </c>
      <c r="Z98" s="8">
        <v>16.2</v>
      </c>
      <c r="AA98" s="8">
        <v>10</v>
      </c>
      <c r="AB98" s="8">
        <v>9.8000000000000007</v>
      </c>
      <c r="AC98" s="8">
        <v>7.7</v>
      </c>
      <c r="AD98" s="8">
        <v>1.58</v>
      </c>
      <c r="AE98" s="8">
        <v>0.91</v>
      </c>
      <c r="AF98" s="8">
        <v>1.34</v>
      </c>
      <c r="AG98" s="8">
        <v>1.41</v>
      </c>
      <c r="AH98" s="8">
        <v>1.53</v>
      </c>
      <c r="AN98">
        <f t="shared" ref="AN98:AN99" si="105">(AA98-Z98)/Z98</f>
        <v>-0.38271604938271603</v>
      </c>
      <c r="AP98">
        <f t="shared" ref="AP98:AP99" si="106">(AB98-Z98)/Z98</f>
        <v>-0.39506172839506165</v>
      </c>
      <c r="AR98">
        <f t="shared" ref="AR98:AR99" si="107">(AC98-Z98)/Z98</f>
        <v>-0.52469135802469136</v>
      </c>
      <c r="AS98">
        <f t="shared" ref="AS98:AS99" si="108">(AF98-AE98)/AE98</f>
        <v>0.47252747252747257</v>
      </c>
      <c r="AT98">
        <f t="shared" ref="AT98:AT99" si="109">(AG98-AE98)/AE98</f>
        <v>0.54945054945054927</v>
      </c>
      <c r="AU98">
        <f t="shared" ref="AU98" si="110">(AH98-AE98)/AE98</f>
        <v>0.68131868131868134</v>
      </c>
      <c r="AW98">
        <f>X98/1000/(E10^2)</f>
        <v>0.8654790892391816</v>
      </c>
      <c r="AX98">
        <f t="shared" si="102"/>
        <v>0.14967320261437908</v>
      </c>
      <c r="AY98">
        <f t="shared" si="103"/>
        <v>1.2896648637072519</v>
      </c>
      <c r="BI98">
        <f t="shared" si="104"/>
        <v>0.10588235294117647</v>
      </c>
      <c r="BJ98">
        <f>AE98/SQRT(9.81*E10)</f>
        <v>0.74278166200860707</v>
      </c>
      <c r="BL98">
        <f t="shared" si="94"/>
        <v>7.9954127457816326E-2</v>
      </c>
      <c r="BM98">
        <f t="shared" si="95"/>
        <v>0.65099568549661624</v>
      </c>
      <c r="CJ98" t="s">
        <v>100</v>
      </c>
      <c r="CK98">
        <v>0.04</v>
      </c>
    </row>
    <row r="99" spans="21:89" x14ac:dyDescent="0.25">
      <c r="U99">
        <v>6</v>
      </c>
      <c r="W99" s="8">
        <v>0.09</v>
      </c>
      <c r="X99" s="8">
        <v>8.35</v>
      </c>
      <c r="Y99" s="8">
        <v>12</v>
      </c>
      <c r="Z99" s="8">
        <v>7.7</v>
      </c>
      <c r="AA99" s="8">
        <v>5.0999999999999996</v>
      </c>
      <c r="AB99" s="8">
        <v>4.9000000000000004</v>
      </c>
      <c r="AC99" s="8">
        <v>3.8</v>
      </c>
      <c r="AD99" s="8">
        <v>1.19</v>
      </c>
      <c r="AE99" s="8">
        <v>0.59</v>
      </c>
      <c r="AF99" s="8">
        <v>0.68</v>
      </c>
      <c r="AG99" s="8">
        <v>0.77</v>
      </c>
      <c r="AH99" s="11">
        <v>0</v>
      </c>
      <c r="AN99">
        <f t="shared" si="105"/>
        <v>-0.33766233766233772</v>
      </c>
      <c r="AP99">
        <f t="shared" si="106"/>
        <v>-0.36363636363636359</v>
      </c>
      <c r="AR99">
        <f t="shared" si="107"/>
        <v>-0.50649350649350655</v>
      </c>
      <c r="AS99">
        <f t="shared" si="108"/>
        <v>0.15254237288135608</v>
      </c>
      <c r="AT99">
        <f t="shared" si="109"/>
        <v>0.30508474576271194</v>
      </c>
      <c r="AW99">
        <f>X99/1000/(E11^2)</f>
        <v>0.39714625445897744</v>
      </c>
      <c r="AX99">
        <f t="shared" si="102"/>
        <v>8.2758620689655185E-2</v>
      </c>
      <c r="AY99">
        <f t="shared" si="103"/>
        <v>0.99776543897257075</v>
      </c>
      <c r="BI99">
        <f t="shared" si="104"/>
        <v>5.3103448275862074E-2</v>
      </c>
      <c r="BJ99">
        <f>AE99/SQRT(9.81*E11)</f>
        <v>0.49469042772589639</v>
      </c>
      <c r="BL99">
        <f t="shared" si="94"/>
        <v>4.9095071880953141E-2</v>
      </c>
      <c r="BM99">
        <f t="shared" si="95"/>
        <v>0.41487220087716609</v>
      </c>
      <c r="CJ99" t="s">
        <v>107</v>
      </c>
      <c r="CK99">
        <f>CK98*2.5</f>
        <v>0.1</v>
      </c>
    </row>
    <row r="100" spans="21:89" x14ac:dyDescent="0.25">
      <c r="U100">
        <v>7</v>
      </c>
      <c r="W100" s="8">
        <v>0.01</v>
      </c>
      <c r="X100" s="11">
        <v>0</v>
      </c>
      <c r="Y100" s="8">
        <v>4</v>
      </c>
      <c r="Z100" s="11">
        <v>0</v>
      </c>
      <c r="AA100" s="11">
        <v>0</v>
      </c>
      <c r="AB100" s="11">
        <v>0</v>
      </c>
      <c r="AC100" s="11">
        <v>0</v>
      </c>
      <c r="AD100" s="8">
        <v>0.74</v>
      </c>
      <c r="AE100" s="11">
        <v>0</v>
      </c>
      <c r="AF100" s="11">
        <v>0</v>
      </c>
      <c r="AG100" s="11">
        <v>0</v>
      </c>
      <c r="AH100" s="11">
        <v>0</v>
      </c>
      <c r="AX100">
        <f t="shared" si="102"/>
        <v>2.8985507246376808E-2</v>
      </c>
      <c r="AY100">
        <f t="shared" si="103"/>
        <v>0.63600081597702685</v>
      </c>
      <c r="BL100">
        <f t="shared" si="94"/>
        <v>3.1192653978940055E-2</v>
      </c>
      <c r="BM100">
        <f t="shared" si="95"/>
        <v>0.25471515948181955</v>
      </c>
      <c r="CJ100" t="s">
        <v>108</v>
      </c>
      <c r="CK100">
        <f>CK98*4</f>
        <v>0.16</v>
      </c>
    </row>
    <row r="101" spans="21:89" x14ac:dyDescent="0.25">
      <c r="U101">
        <v>8</v>
      </c>
      <c r="W101" s="8">
        <v>0.2</v>
      </c>
      <c r="X101" s="8">
        <v>12.66</v>
      </c>
      <c r="Y101" s="8">
        <v>22</v>
      </c>
      <c r="Z101" s="8">
        <v>13.2</v>
      </c>
      <c r="AA101" s="8">
        <v>8.1999999999999993</v>
      </c>
      <c r="AB101" s="8">
        <v>8.3000000000000007</v>
      </c>
      <c r="AC101" s="8">
        <v>6.5</v>
      </c>
      <c r="AD101" s="8">
        <v>1.43</v>
      </c>
      <c r="AE101" s="8">
        <v>0.78</v>
      </c>
      <c r="AF101" s="8">
        <v>1.1000000000000001</v>
      </c>
      <c r="AG101" s="8">
        <v>1.22</v>
      </c>
      <c r="AH101" s="8">
        <v>1.22</v>
      </c>
      <c r="AN101">
        <f t="shared" ref="AN101" si="111">(AA101-Z101)/Z101</f>
        <v>-0.37878787878787878</v>
      </c>
      <c r="AP101">
        <f t="shared" ref="AP101" si="112">(AB101-Z101)/Z101</f>
        <v>-0.3712121212121211</v>
      </c>
      <c r="AR101">
        <f t="shared" ref="AR101" si="113">(AC101-Z101)/Z101</f>
        <v>-0.50757575757575757</v>
      </c>
      <c r="AS101">
        <f t="shared" ref="AS101" si="114">(AF101-AE101)/AE101</f>
        <v>0.4102564102564103</v>
      </c>
      <c r="AT101">
        <f t="shared" ref="AT101" si="115">(AG101-AE101)/AE101</f>
        <v>0.56410256410256399</v>
      </c>
      <c r="AU101">
        <f t="shared" ref="AU101" si="116">(AH101-AE101)/AE101</f>
        <v>0.56410256410256399</v>
      </c>
      <c r="AW101">
        <f t="shared" ref="AW101:AW111" si="117">X101/1000/(E13^2)</f>
        <v>0.58586699986116908</v>
      </c>
      <c r="AX101">
        <f t="shared" si="102"/>
        <v>0.14965986394557823</v>
      </c>
      <c r="AY101">
        <f t="shared" si="103"/>
        <v>1.190811078570496</v>
      </c>
      <c r="BI101">
        <f t="shared" si="104"/>
        <v>8.9795918367346947E-2</v>
      </c>
      <c r="BJ101">
        <f>AE101/SQRT(9.81*E13)</f>
        <v>0.64953331558390692</v>
      </c>
      <c r="BL101">
        <f t="shared" si="94"/>
        <v>8.4342811639043003E-2</v>
      </c>
      <c r="BM101">
        <f t="shared" si="95"/>
        <v>0.62707588665254665</v>
      </c>
    </row>
    <row r="102" spans="21:89" x14ac:dyDescent="0.25">
      <c r="U102">
        <v>9</v>
      </c>
      <c r="W102" s="8">
        <v>0.11</v>
      </c>
      <c r="X102" s="8">
        <v>5.8</v>
      </c>
      <c r="Y102" s="8">
        <v>11.3</v>
      </c>
      <c r="Z102" s="8">
        <v>6.4</v>
      </c>
      <c r="AA102" s="8">
        <v>4</v>
      </c>
      <c r="AB102" s="8">
        <v>4</v>
      </c>
      <c r="AC102" s="8">
        <v>3.7</v>
      </c>
      <c r="AD102" s="8">
        <v>1.06</v>
      </c>
      <c r="AE102" s="11">
        <v>0</v>
      </c>
      <c r="AF102" s="11">
        <v>0</v>
      </c>
      <c r="AG102" s="11">
        <v>0</v>
      </c>
      <c r="AH102" s="11">
        <v>0</v>
      </c>
      <c r="AN102">
        <f t="shared" ref="AN102:AN110" si="118">(AA102-Z102)/Z102</f>
        <v>-0.37500000000000006</v>
      </c>
      <c r="AP102">
        <f t="shared" ref="AP102:AP110" si="119">(AB102-Z102)/Z102</f>
        <v>-0.37500000000000006</v>
      </c>
      <c r="AR102">
        <f t="shared" ref="AR102:AR110" si="120">(AC102-Z102)/Z102</f>
        <v>-0.421875</v>
      </c>
      <c r="AW102">
        <f t="shared" si="117"/>
        <v>0.29591836734693872</v>
      </c>
      <c r="AX102">
        <f t="shared" si="102"/>
        <v>8.0714285714285711E-2</v>
      </c>
      <c r="AY102">
        <f t="shared" si="103"/>
        <v>0.90449744358681028</v>
      </c>
      <c r="BI102">
        <f t="shared" si="104"/>
        <v>4.5714285714285714E-2</v>
      </c>
      <c r="BL102">
        <f t="shared" si="94"/>
        <v>5.4513793110872781E-2</v>
      </c>
      <c r="BM102">
        <f t="shared" si="95"/>
        <v>0.42348192666403972</v>
      </c>
    </row>
    <row r="103" spans="21:89" x14ac:dyDescent="0.25">
      <c r="U103">
        <v>10</v>
      </c>
      <c r="W103" s="8">
        <v>0.28999999999999998</v>
      </c>
      <c r="X103" s="8">
        <v>16.18</v>
      </c>
      <c r="Y103" s="8">
        <v>23.1</v>
      </c>
      <c r="Z103" s="8">
        <v>15.5</v>
      </c>
      <c r="AA103" s="8">
        <v>9.4</v>
      </c>
      <c r="AB103" s="8">
        <v>10</v>
      </c>
      <c r="AC103" s="8">
        <v>8.3000000000000007</v>
      </c>
      <c r="AD103" s="8">
        <v>1.46</v>
      </c>
      <c r="AE103" s="8">
        <v>0.84</v>
      </c>
      <c r="AF103" s="8">
        <v>1.21</v>
      </c>
      <c r="AG103" s="8">
        <v>1.33</v>
      </c>
      <c r="AH103" s="8">
        <v>1.46</v>
      </c>
      <c r="AN103">
        <f t="shared" si="118"/>
        <v>-0.39354838709677414</v>
      </c>
      <c r="AP103">
        <f t="shared" si="119"/>
        <v>-0.35483870967741937</v>
      </c>
      <c r="AR103">
        <f t="shared" si="120"/>
        <v>-0.46451612903225803</v>
      </c>
      <c r="AS103">
        <f>(AF103-AE103)/AE103</f>
        <v>0.44047619047619047</v>
      </c>
      <c r="AT103">
        <f>(AG103-AE103)/AE103</f>
        <v>0.58333333333333348</v>
      </c>
      <c r="AU103">
        <f>(AH103-AE103)/AE103</f>
        <v>0.73809523809523814</v>
      </c>
      <c r="AW103">
        <f t="shared" si="117"/>
        <v>0.78028549382716061</v>
      </c>
      <c r="AX103">
        <f t="shared" si="102"/>
        <v>0.16041666666666671</v>
      </c>
      <c r="AY103">
        <f t="shared" si="103"/>
        <v>1.2283923582089706</v>
      </c>
      <c r="BI103">
        <f t="shared" si="104"/>
        <v>0.1076388888888889</v>
      </c>
      <c r="BJ103">
        <f>AE103/SQRT(9.81*E15)</f>
        <v>0.70674628828461317</v>
      </c>
      <c r="BL103">
        <f t="shared" si="94"/>
        <v>0.110173576667731</v>
      </c>
      <c r="BM103">
        <f t="shared" si="95"/>
        <v>0.6994471673081003</v>
      </c>
    </row>
    <row r="104" spans="21:89" x14ac:dyDescent="0.25">
      <c r="U104">
        <v>11</v>
      </c>
      <c r="W104" s="8">
        <v>0.19</v>
      </c>
      <c r="X104" s="8">
        <v>10.99</v>
      </c>
      <c r="Y104" s="8">
        <v>17.5</v>
      </c>
      <c r="Z104" s="8">
        <v>12</v>
      </c>
      <c r="AA104" s="8">
        <v>7.3</v>
      </c>
      <c r="AB104" s="8">
        <v>7.6</v>
      </c>
      <c r="AC104" s="8">
        <v>5.6</v>
      </c>
      <c r="AD104" s="8">
        <v>1.32</v>
      </c>
      <c r="AE104" s="8">
        <v>0.75</v>
      </c>
      <c r="AF104" s="8">
        <v>1.06</v>
      </c>
      <c r="AG104" s="8">
        <v>1.1599999999999999</v>
      </c>
      <c r="AH104" s="8">
        <v>1.1200000000000001</v>
      </c>
      <c r="AN104">
        <f t="shared" si="118"/>
        <v>-0.39166666666666666</v>
      </c>
      <c r="AP104">
        <f t="shared" si="119"/>
        <v>-0.3666666666666667</v>
      </c>
      <c r="AR104">
        <f t="shared" si="120"/>
        <v>-0.53333333333333333</v>
      </c>
      <c r="AS104">
        <f>(AF104-AE104)/AE104</f>
        <v>0.41333333333333339</v>
      </c>
      <c r="AT104">
        <f>(AG104-AE104)/AE104</f>
        <v>0.54666666666666652</v>
      </c>
      <c r="AU104">
        <f>(AH104-AE104)/AE104</f>
        <v>0.49333333333333346</v>
      </c>
      <c r="AW104">
        <f t="shared" si="117"/>
        <v>0.47567520775623268</v>
      </c>
      <c r="AX104">
        <f t="shared" si="102"/>
        <v>0.11513157894736843</v>
      </c>
      <c r="AY104">
        <f t="shared" si="103"/>
        <v>1.0809799370645459</v>
      </c>
      <c r="BI104">
        <f t="shared" si="104"/>
        <v>7.8947368421052641E-2</v>
      </c>
      <c r="BJ104">
        <f>AE104/SQRT(9.81*E16)</f>
        <v>0.61419314605940112</v>
      </c>
      <c r="BL104">
        <f t="shared" si="94"/>
        <v>6.9257597235623233E-2</v>
      </c>
      <c r="BM104">
        <f t="shared" si="95"/>
        <v>0.57474119683841052</v>
      </c>
    </row>
    <row r="105" spans="21:89" x14ac:dyDescent="0.25">
      <c r="U105">
        <v>12</v>
      </c>
      <c r="W105" s="8">
        <v>0.15</v>
      </c>
      <c r="X105" s="8">
        <v>9.8699999999999992</v>
      </c>
      <c r="Y105" s="8">
        <v>13.4</v>
      </c>
      <c r="Z105" s="8">
        <v>10.1</v>
      </c>
      <c r="AA105" s="8">
        <v>6.5</v>
      </c>
      <c r="AB105" s="8">
        <v>6.5</v>
      </c>
      <c r="AC105" s="8">
        <v>5</v>
      </c>
      <c r="AD105" s="8">
        <v>1.32</v>
      </c>
      <c r="AE105" s="8">
        <v>0.64</v>
      </c>
      <c r="AF105" s="8">
        <v>0.89</v>
      </c>
      <c r="AG105" s="8">
        <v>0.99</v>
      </c>
      <c r="AH105" s="8">
        <v>0.87</v>
      </c>
      <c r="AN105">
        <f t="shared" si="118"/>
        <v>-0.35643564356435642</v>
      </c>
      <c r="AP105">
        <f t="shared" si="119"/>
        <v>-0.35643564356435642</v>
      </c>
      <c r="AR105">
        <f t="shared" si="120"/>
        <v>-0.50495049504950495</v>
      </c>
      <c r="AS105">
        <f>(AF105-AE105)/AE105</f>
        <v>0.390625</v>
      </c>
      <c r="AT105">
        <f>(AG105-AE105)/AE105</f>
        <v>0.546875</v>
      </c>
      <c r="AU105">
        <f>(AH105-AE105)/AE105</f>
        <v>0.35937499999999994</v>
      </c>
      <c r="AW105">
        <f t="shared" si="117"/>
        <v>0.45060262965668374</v>
      </c>
      <c r="AX105">
        <f t="shared" si="102"/>
        <v>9.0540540540540546E-2</v>
      </c>
      <c r="AY105">
        <f t="shared" si="103"/>
        <v>1.0954903841433561</v>
      </c>
      <c r="BI105">
        <f t="shared" si="104"/>
        <v>6.824324324324324E-2</v>
      </c>
      <c r="BJ105">
        <f>AE105/SQRT(9.81*E17)</f>
        <v>0.5311468529179908</v>
      </c>
      <c r="BL105">
        <f t="shared" si="94"/>
        <v>5.7538334943672408E-2</v>
      </c>
      <c r="BM105">
        <f t="shared" si="95"/>
        <v>0.48984048247325634</v>
      </c>
    </row>
    <row r="106" spans="21:89" x14ac:dyDescent="0.25">
      <c r="U106">
        <v>13</v>
      </c>
      <c r="W106" s="8">
        <v>0.1</v>
      </c>
      <c r="X106" s="8">
        <v>8.33</v>
      </c>
      <c r="Y106" s="8">
        <v>12</v>
      </c>
      <c r="Z106" s="8">
        <v>7.8</v>
      </c>
      <c r="AA106" s="8">
        <v>5.3</v>
      </c>
      <c r="AB106" s="8">
        <v>4.8</v>
      </c>
      <c r="AC106" s="8">
        <v>4.0999999999999996</v>
      </c>
      <c r="AD106" s="8">
        <v>1.2</v>
      </c>
      <c r="AE106" s="11">
        <v>0</v>
      </c>
      <c r="AF106" s="8">
        <v>0.71</v>
      </c>
      <c r="AG106" s="8">
        <v>0.79</v>
      </c>
      <c r="AH106" s="11">
        <v>0</v>
      </c>
      <c r="AN106">
        <f t="shared" si="118"/>
        <v>-0.32051282051282054</v>
      </c>
      <c r="AP106">
        <f t="shared" si="119"/>
        <v>-0.38461538461538464</v>
      </c>
      <c r="AR106">
        <f t="shared" si="120"/>
        <v>-0.47435897435897439</v>
      </c>
      <c r="AS106" t="e">
        <f>(AF106-AE106)/AE106</f>
        <v>#DIV/0!</v>
      </c>
      <c r="AT106" t="e">
        <f>(AG106-AE106)/AE106</f>
        <v>#DIV/0!</v>
      </c>
      <c r="AU106" t="e">
        <f>(AH106-AE106)/AE106</f>
        <v>#DIV/0!</v>
      </c>
      <c r="AW106">
        <f t="shared" si="117"/>
        <v>0.43113710470472533</v>
      </c>
      <c r="AX106">
        <f t="shared" si="102"/>
        <v>8.6330935251798552E-2</v>
      </c>
      <c r="AY106">
        <f t="shared" si="103"/>
        <v>1.0276360762550023</v>
      </c>
      <c r="BI106">
        <f t="shared" si="104"/>
        <v>5.6115107913669054E-2</v>
      </c>
      <c r="BL106">
        <f t="shared" si="94"/>
        <v>4.8203714120190998E-2</v>
      </c>
      <c r="BM106">
        <f t="shared" si="95"/>
        <v>0.41548922143076011</v>
      </c>
    </row>
    <row r="107" spans="21:89" x14ac:dyDescent="0.25">
      <c r="U107">
        <v>14</v>
      </c>
      <c r="W107" s="8">
        <v>0.09</v>
      </c>
      <c r="X107" s="8">
        <v>7.09</v>
      </c>
      <c r="Y107" s="8">
        <v>10.7</v>
      </c>
      <c r="Z107" s="8">
        <v>6.8</v>
      </c>
      <c r="AA107" s="8">
        <v>4.2</v>
      </c>
      <c r="AB107" s="8">
        <v>4.2</v>
      </c>
      <c r="AC107" s="8">
        <v>3.6</v>
      </c>
      <c r="AD107" s="8">
        <v>1.0900000000000001</v>
      </c>
      <c r="AE107" s="11">
        <v>0</v>
      </c>
      <c r="AF107" s="11">
        <v>0</v>
      </c>
      <c r="AG107" s="11">
        <v>0</v>
      </c>
      <c r="AH107" s="11">
        <v>0</v>
      </c>
      <c r="AN107">
        <f t="shared" si="118"/>
        <v>-0.38235294117647056</v>
      </c>
      <c r="AP107">
        <f t="shared" si="119"/>
        <v>-0.38235294117647056</v>
      </c>
      <c r="AR107">
        <f t="shared" si="120"/>
        <v>-0.47058823529411764</v>
      </c>
      <c r="AW107">
        <f t="shared" si="117"/>
        <v>0.41952662721893486</v>
      </c>
      <c r="AX107">
        <f t="shared" si="102"/>
        <v>8.2307692307692304E-2</v>
      </c>
      <c r="AY107">
        <f t="shared" si="103"/>
        <v>0.96520667819070327</v>
      </c>
      <c r="BI107">
        <f t="shared" si="104"/>
        <v>5.2307692307692305E-2</v>
      </c>
      <c r="BL107">
        <f t="shared" si="94"/>
        <v>4.6285200001994424E-2</v>
      </c>
      <c r="BM107">
        <f t="shared" si="95"/>
        <v>0.3974551522284272</v>
      </c>
    </row>
    <row r="108" spans="21:89" x14ac:dyDescent="0.25">
      <c r="U108">
        <v>15</v>
      </c>
      <c r="W108" s="8">
        <v>0.04</v>
      </c>
      <c r="X108" s="8">
        <v>1.46</v>
      </c>
      <c r="Y108" s="8">
        <v>7.7</v>
      </c>
      <c r="Z108" s="8">
        <v>3.8</v>
      </c>
      <c r="AA108" s="8">
        <v>2.6</v>
      </c>
      <c r="AB108" s="8">
        <v>2</v>
      </c>
      <c r="AC108" s="8">
        <v>2.6</v>
      </c>
      <c r="AD108" s="8">
        <v>0.99</v>
      </c>
      <c r="AE108" s="11">
        <v>0</v>
      </c>
      <c r="AF108" s="11">
        <v>0</v>
      </c>
      <c r="AG108" s="11">
        <v>0</v>
      </c>
      <c r="AH108" s="11">
        <v>0</v>
      </c>
      <c r="AN108">
        <f t="shared" si="118"/>
        <v>-0.31578947368421045</v>
      </c>
      <c r="AP108">
        <f t="shared" si="119"/>
        <v>-0.47368421052631576</v>
      </c>
      <c r="AR108">
        <f t="shared" si="120"/>
        <v>-0.31578947368421045</v>
      </c>
      <c r="AW108">
        <f t="shared" si="117"/>
        <v>7.2406268597500503E-2</v>
      </c>
      <c r="AX108">
        <f t="shared" si="102"/>
        <v>5.422535211267606E-2</v>
      </c>
      <c r="AY108">
        <f t="shared" si="103"/>
        <v>0.83879632438869545</v>
      </c>
      <c r="BI108">
        <f t="shared" si="104"/>
        <v>2.6760563380281693E-2</v>
      </c>
      <c r="BL108">
        <f t="shared" si="94"/>
        <v>4.16706578753109E-2</v>
      </c>
      <c r="BM108">
        <f t="shared" si="95"/>
        <v>0.35248546594028296</v>
      </c>
    </row>
    <row r="109" spans="21:89" x14ac:dyDescent="0.25">
      <c r="U109">
        <v>16</v>
      </c>
      <c r="W109" s="8">
        <v>0.04</v>
      </c>
      <c r="X109" s="8">
        <v>1.41</v>
      </c>
      <c r="Y109" s="8">
        <v>6.9</v>
      </c>
      <c r="Z109" s="8">
        <v>3.7</v>
      </c>
      <c r="AA109" s="8">
        <v>2.7</v>
      </c>
      <c r="AB109" s="8">
        <v>2.1</v>
      </c>
      <c r="AC109" s="8">
        <v>2.6</v>
      </c>
      <c r="AD109" s="8">
        <v>0.92</v>
      </c>
      <c r="AE109" s="11">
        <v>0</v>
      </c>
      <c r="AF109" s="11">
        <v>0</v>
      </c>
      <c r="AG109" s="11">
        <v>0</v>
      </c>
      <c r="AH109" s="11">
        <v>0</v>
      </c>
      <c r="AN109">
        <f t="shared" si="118"/>
        <v>-0.27027027027027023</v>
      </c>
      <c r="AP109">
        <f t="shared" si="119"/>
        <v>-0.43243243243243246</v>
      </c>
      <c r="AR109">
        <f t="shared" si="120"/>
        <v>-0.29729729729729731</v>
      </c>
      <c r="AW109">
        <f t="shared" si="117"/>
        <v>7.4039067422810328E-2</v>
      </c>
      <c r="AX109">
        <f t="shared" si="102"/>
        <v>0.05</v>
      </c>
      <c r="AY109">
        <f t="shared" si="103"/>
        <v>0.79070371716062804</v>
      </c>
      <c r="BI109">
        <f t="shared" si="104"/>
        <v>2.681159420289855E-2</v>
      </c>
      <c r="BL109">
        <f t="shared" si="94"/>
        <v>3.5604091870060715E-2</v>
      </c>
      <c r="BM109">
        <f t="shared" si="95"/>
        <v>0.30258284299141935</v>
      </c>
    </row>
    <row r="110" spans="21:89" x14ac:dyDescent="0.25">
      <c r="U110">
        <v>17</v>
      </c>
      <c r="W110" s="11">
        <v>0</v>
      </c>
      <c r="X110" s="11">
        <v>0</v>
      </c>
      <c r="Y110" s="8">
        <v>1.6</v>
      </c>
      <c r="Z110" s="11">
        <v>0</v>
      </c>
      <c r="AA110" s="11">
        <v>0</v>
      </c>
      <c r="AB110" s="11">
        <v>0</v>
      </c>
      <c r="AC110" s="11">
        <v>0</v>
      </c>
      <c r="AD110" s="11">
        <v>0</v>
      </c>
      <c r="AE110" s="11">
        <v>0</v>
      </c>
      <c r="AF110" s="11">
        <v>0</v>
      </c>
      <c r="AG110" s="11">
        <v>0</v>
      </c>
      <c r="AH110" s="11">
        <v>0</v>
      </c>
      <c r="AN110" t="e">
        <f t="shared" si="118"/>
        <v>#DIV/0!</v>
      </c>
      <c r="AP110" t="e">
        <f t="shared" si="119"/>
        <v>#DIV/0!</v>
      </c>
      <c r="AR110" t="e">
        <f t="shared" si="120"/>
        <v>#DIV/0!</v>
      </c>
      <c r="AW110">
        <f t="shared" si="117"/>
        <v>0</v>
      </c>
      <c r="AX110">
        <f t="shared" si="102"/>
        <v>1.2030075187969926E-2</v>
      </c>
      <c r="BL110">
        <f t="shared" si="94"/>
        <v>2.6692779307582216E-2</v>
      </c>
      <c r="BM110">
        <f t="shared" si="95"/>
        <v>0.21293821824832557</v>
      </c>
    </row>
    <row r="111" spans="21:89" x14ac:dyDescent="0.25">
      <c r="U111">
        <v>18</v>
      </c>
      <c r="W111" s="11">
        <v>0</v>
      </c>
      <c r="X111" s="11">
        <v>0</v>
      </c>
      <c r="Y111" s="8">
        <v>1.6</v>
      </c>
      <c r="Z111" s="11">
        <v>0</v>
      </c>
      <c r="AA111" s="11">
        <v>0</v>
      </c>
      <c r="AB111" s="11">
        <v>0</v>
      </c>
      <c r="AC111" s="11">
        <v>0</v>
      </c>
      <c r="AD111" s="11">
        <v>0</v>
      </c>
      <c r="AE111" s="11">
        <v>0</v>
      </c>
      <c r="AF111" s="11">
        <v>0</v>
      </c>
      <c r="AG111" s="11">
        <v>0</v>
      </c>
      <c r="AH111" s="11">
        <v>0</v>
      </c>
      <c r="AW111">
        <f t="shared" si="117"/>
        <v>0</v>
      </c>
      <c r="AX111">
        <f t="shared" si="102"/>
        <v>1.2698412698412698E-2</v>
      </c>
      <c r="BL111">
        <f t="shared" si="94"/>
        <v>2.4937040355744945E-2</v>
      </c>
      <c r="BM111">
        <f t="shared" si="95"/>
        <v>0.19253432988312533</v>
      </c>
    </row>
    <row r="112" spans="21:89" x14ac:dyDescent="0.25"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</row>
    <row r="113" spans="26:45" x14ac:dyDescent="0.25">
      <c r="Z113" s="6"/>
      <c r="AA113" s="6"/>
      <c r="AB113" s="6"/>
      <c r="AC113" s="6"/>
      <c r="AD113" s="6"/>
      <c r="AE113" s="6"/>
      <c r="AF113" s="12">
        <f>MAX(AF6:AH23,AF30:AH45,AF52:AH67,AF74:AH89)</f>
        <v>2.93</v>
      </c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</row>
    <row r="114" spans="26:45" x14ac:dyDescent="0.25"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</row>
    <row r="115" spans="26:45" x14ac:dyDescent="0.25"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</row>
    <row r="116" spans="26:45" x14ac:dyDescent="0.25"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</row>
    <row r="117" spans="26:45" x14ac:dyDescent="0.25"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</row>
    <row r="118" spans="26:45" x14ac:dyDescent="0.25"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</row>
    <row r="119" spans="26:45" x14ac:dyDescent="0.25"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</row>
    <row r="120" spans="26:45" x14ac:dyDescent="0.25"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</row>
    <row r="121" spans="26:45" x14ac:dyDescent="0.25"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</row>
    <row r="122" spans="26:45" x14ac:dyDescent="0.25"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</row>
    <row r="123" spans="26:45" x14ac:dyDescent="0.25"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</row>
    <row r="124" spans="26:45" x14ac:dyDescent="0.25"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</row>
    <row r="125" spans="26:45" x14ac:dyDescent="0.25"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</row>
    <row r="126" spans="26:45" x14ac:dyDescent="0.25"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</row>
    <row r="127" spans="26:45" x14ac:dyDescent="0.25"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</row>
    <row r="128" spans="26:45" x14ac:dyDescent="0.25"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</row>
    <row r="129" spans="26:72" x14ac:dyDescent="0.25"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</row>
    <row r="130" spans="26:72" x14ac:dyDescent="0.25"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</row>
    <row r="131" spans="26:72" x14ac:dyDescent="0.25"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</row>
    <row r="132" spans="26:72" x14ac:dyDescent="0.25"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</row>
    <row r="133" spans="26:72" x14ac:dyDescent="0.25"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</row>
    <row r="136" spans="26:72" x14ac:dyDescent="0.25">
      <c r="BT136" t="s">
        <v>95</v>
      </c>
    </row>
    <row r="137" spans="26:72" x14ac:dyDescent="0.25">
      <c r="BT137" t="s">
        <v>96</v>
      </c>
    </row>
    <row r="145" spans="67:68" x14ac:dyDescent="0.25">
      <c r="BO145">
        <v>0</v>
      </c>
      <c r="BP145">
        <v>-0.4</v>
      </c>
    </row>
    <row r="146" spans="67:68" x14ac:dyDescent="0.25">
      <c r="BO146">
        <v>4</v>
      </c>
      <c r="BP146">
        <v>-0.7</v>
      </c>
    </row>
    <row r="148" spans="67:68" x14ac:dyDescent="0.25">
      <c r="BO148">
        <v>0</v>
      </c>
      <c r="BP148">
        <v>-0.4</v>
      </c>
    </row>
    <row r="149" spans="67:68" x14ac:dyDescent="0.25">
      <c r="BO149">
        <v>4</v>
      </c>
      <c r="BP149">
        <v>-0.6</v>
      </c>
    </row>
    <row r="165" spans="67:68" x14ac:dyDescent="0.25">
      <c r="BO165">
        <v>0</v>
      </c>
      <c r="BP165">
        <v>0</v>
      </c>
    </row>
    <row r="166" spans="67:68" x14ac:dyDescent="0.25">
      <c r="BO166">
        <v>4</v>
      </c>
      <c r="BP166">
        <v>1.2</v>
      </c>
    </row>
    <row r="168" spans="67:68" x14ac:dyDescent="0.25">
      <c r="BO168">
        <v>0</v>
      </c>
      <c r="BP168">
        <v>0</v>
      </c>
    </row>
    <row r="169" spans="67:68" x14ac:dyDescent="0.25">
      <c r="BO169">
        <v>4</v>
      </c>
      <c r="BP169">
        <v>1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G80"/>
  <sheetViews>
    <sheetView topLeftCell="A25" workbookViewId="0">
      <selection activeCell="G50" sqref="G50"/>
    </sheetView>
  </sheetViews>
  <sheetFormatPr defaultRowHeight="15" x14ac:dyDescent="0.25"/>
  <cols>
    <col min="1" max="1" width="14.7109375" customWidth="1"/>
  </cols>
  <sheetData>
    <row r="1" spans="1:6" x14ac:dyDescent="0.25">
      <c r="A1" t="s">
        <v>48</v>
      </c>
    </row>
    <row r="2" spans="1:6" x14ac:dyDescent="0.25">
      <c r="A2" t="s">
        <v>40</v>
      </c>
      <c r="B2" t="s">
        <v>25</v>
      </c>
      <c r="C2" t="s">
        <v>39</v>
      </c>
      <c r="D2" t="s">
        <v>41</v>
      </c>
    </row>
    <row r="3" spans="1:6" x14ac:dyDescent="0.25">
      <c r="A3">
        <v>0.7</v>
      </c>
      <c r="B3" s="2" t="s">
        <v>43</v>
      </c>
      <c r="C3" t="s">
        <v>42</v>
      </c>
      <c r="D3">
        <v>16</v>
      </c>
      <c r="E3" t="s">
        <v>47</v>
      </c>
    </row>
    <row r="4" spans="1:6" x14ac:dyDescent="0.25">
      <c r="A4">
        <v>0.75</v>
      </c>
      <c r="B4" s="2" t="s">
        <v>43</v>
      </c>
      <c r="C4" t="s">
        <v>42</v>
      </c>
      <c r="D4">
        <v>18</v>
      </c>
      <c r="E4" t="s">
        <v>47</v>
      </c>
    </row>
    <row r="5" spans="1:6" x14ac:dyDescent="0.25">
      <c r="A5">
        <v>0.8</v>
      </c>
      <c r="B5" s="2" t="s">
        <v>43</v>
      </c>
      <c r="C5" t="s">
        <v>42</v>
      </c>
      <c r="D5">
        <v>11</v>
      </c>
      <c r="E5" t="s">
        <v>47</v>
      </c>
    </row>
    <row r="6" spans="1:6" x14ac:dyDescent="0.25">
      <c r="A6">
        <v>0.7</v>
      </c>
      <c r="B6" s="2" t="s">
        <v>43</v>
      </c>
      <c r="C6" t="s">
        <v>44</v>
      </c>
      <c r="D6">
        <v>20</v>
      </c>
      <c r="E6" t="s">
        <v>47</v>
      </c>
    </row>
    <row r="7" spans="1:6" x14ac:dyDescent="0.25">
      <c r="A7">
        <v>0.75</v>
      </c>
      <c r="B7" s="2" t="s">
        <v>43</v>
      </c>
      <c r="C7" t="s">
        <v>44</v>
      </c>
      <c r="D7">
        <v>16</v>
      </c>
      <c r="E7" t="s">
        <v>47</v>
      </c>
    </row>
    <row r="8" spans="1:6" x14ac:dyDescent="0.25">
      <c r="A8">
        <v>0.8</v>
      </c>
      <c r="B8" s="2" t="s">
        <v>43</v>
      </c>
      <c r="C8" t="s">
        <v>44</v>
      </c>
      <c r="D8">
        <v>7</v>
      </c>
      <c r="E8" t="s">
        <v>47</v>
      </c>
    </row>
    <row r="9" spans="1:6" x14ac:dyDescent="0.25">
      <c r="A9">
        <v>0.7</v>
      </c>
      <c r="B9" s="2" t="s">
        <v>43</v>
      </c>
      <c r="C9" t="s">
        <v>45</v>
      </c>
      <c r="D9">
        <v>15</v>
      </c>
      <c r="E9" t="s">
        <v>47</v>
      </c>
    </row>
    <row r="10" spans="1:6" x14ac:dyDescent="0.25">
      <c r="A10">
        <v>0.8</v>
      </c>
      <c r="B10" s="2" t="s">
        <v>43</v>
      </c>
      <c r="C10" t="s">
        <v>45</v>
      </c>
      <c r="D10">
        <v>7</v>
      </c>
      <c r="E10" t="s">
        <v>47</v>
      </c>
    </row>
    <row r="11" spans="1:6" x14ac:dyDescent="0.25">
      <c r="A11">
        <v>0.7</v>
      </c>
      <c r="B11" s="2" t="s">
        <v>43</v>
      </c>
      <c r="C11" t="s">
        <v>43</v>
      </c>
      <c r="D11">
        <v>15</v>
      </c>
      <c r="E11" t="s">
        <v>47</v>
      </c>
    </row>
    <row r="12" spans="1:6" x14ac:dyDescent="0.25">
      <c r="A12" s="1">
        <v>0.7</v>
      </c>
      <c r="B12" s="3" t="s">
        <v>43</v>
      </c>
      <c r="C12" s="1" t="s">
        <v>42</v>
      </c>
      <c r="D12" s="1">
        <v>18</v>
      </c>
      <c r="E12" s="1" t="s">
        <v>46</v>
      </c>
      <c r="F12" s="1"/>
    </row>
    <row r="13" spans="1:6" x14ac:dyDescent="0.25">
      <c r="A13" s="1">
        <v>0.7</v>
      </c>
      <c r="B13" s="3" t="s">
        <v>43</v>
      </c>
      <c r="C13" s="1" t="s">
        <v>44</v>
      </c>
      <c r="D13" s="1">
        <v>16</v>
      </c>
      <c r="E13" s="1" t="s">
        <v>46</v>
      </c>
      <c r="F13" s="1"/>
    </row>
    <row r="14" spans="1:6" x14ac:dyDescent="0.25">
      <c r="A14">
        <v>0.7</v>
      </c>
      <c r="B14" s="2" t="s">
        <v>43</v>
      </c>
      <c r="C14" t="s">
        <v>42</v>
      </c>
      <c r="D14">
        <v>23</v>
      </c>
      <c r="E14" t="s">
        <v>47</v>
      </c>
    </row>
    <row r="15" spans="1:6" x14ac:dyDescent="0.25">
      <c r="A15">
        <v>0.8</v>
      </c>
      <c r="B15" s="2" t="s">
        <v>44</v>
      </c>
      <c r="C15" t="s">
        <v>42</v>
      </c>
      <c r="D15">
        <v>12</v>
      </c>
      <c r="E15" t="s">
        <v>47</v>
      </c>
    </row>
    <row r="16" spans="1:6" x14ac:dyDescent="0.25">
      <c r="A16" s="1">
        <v>0.7</v>
      </c>
      <c r="B16" s="3" t="s">
        <v>44</v>
      </c>
      <c r="C16" s="1" t="s">
        <v>42</v>
      </c>
      <c r="D16" s="1">
        <v>16</v>
      </c>
      <c r="E16" s="1" t="s">
        <v>46</v>
      </c>
      <c r="F16" s="1"/>
    </row>
    <row r="17" spans="1:26" x14ac:dyDescent="0.25">
      <c r="A17" s="1">
        <v>0.8</v>
      </c>
      <c r="B17" s="3" t="s">
        <v>44</v>
      </c>
      <c r="C17" s="1" t="s">
        <v>42</v>
      </c>
      <c r="D17" s="1">
        <v>9</v>
      </c>
      <c r="E17" s="1" t="s">
        <v>46</v>
      </c>
      <c r="F17" s="1"/>
    </row>
    <row r="18" spans="1:26" x14ac:dyDescent="0.25">
      <c r="A18">
        <v>0.7</v>
      </c>
      <c r="B18" s="2" t="s">
        <v>42</v>
      </c>
      <c r="C18" t="s">
        <v>42</v>
      </c>
      <c r="D18">
        <v>20</v>
      </c>
      <c r="E18" t="s">
        <v>47</v>
      </c>
    </row>
    <row r="19" spans="1:26" x14ac:dyDescent="0.25">
      <c r="A19">
        <v>0.8</v>
      </c>
      <c r="B19" s="2" t="s">
        <v>42</v>
      </c>
      <c r="C19" t="s">
        <v>42</v>
      </c>
      <c r="D19">
        <v>8</v>
      </c>
      <c r="E19" t="s">
        <v>47</v>
      </c>
    </row>
    <row r="20" spans="1:26" x14ac:dyDescent="0.25">
      <c r="A20" s="1">
        <v>0.7</v>
      </c>
      <c r="B20" s="3" t="s">
        <v>42</v>
      </c>
      <c r="C20" s="1" t="s">
        <v>42</v>
      </c>
      <c r="D20" s="1">
        <v>17</v>
      </c>
      <c r="E20" s="1" t="s">
        <v>46</v>
      </c>
      <c r="F20" s="1"/>
    </row>
    <row r="21" spans="1:26" x14ac:dyDescent="0.25">
      <c r="A21" s="1">
        <v>0.8</v>
      </c>
      <c r="B21" s="3" t="s">
        <v>42</v>
      </c>
      <c r="C21" s="1" t="s">
        <v>42</v>
      </c>
      <c r="D21" s="1">
        <v>3</v>
      </c>
      <c r="E21" s="1" t="s">
        <v>46</v>
      </c>
      <c r="F21" s="1"/>
    </row>
    <row r="23" spans="1:26" x14ac:dyDescent="0.25">
      <c r="D23">
        <f>SUM(D3:D21)</f>
        <v>267</v>
      </c>
    </row>
    <row r="25" spans="1:26" x14ac:dyDescent="0.25">
      <c r="B25" t="s">
        <v>55</v>
      </c>
      <c r="C25">
        <v>2</v>
      </c>
      <c r="D25" t="s">
        <v>56</v>
      </c>
      <c r="E25" t="s">
        <v>25</v>
      </c>
      <c r="F25">
        <f>1/6</f>
        <v>0.16666666666666666</v>
      </c>
      <c r="H25" t="s">
        <v>136</v>
      </c>
      <c r="I25">
        <v>0.1</v>
      </c>
      <c r="K25" t="s">
        <v>225</v>
      </c>
      <c r="L25">
        <v>2</v>
      </c>
    </row>
    <row r="26" spans="1:26" x14ac:dyDescent="0.25">
      <c r="B26" t="s">
        <v>216</v>
      </c>
      <c r="C26">
        <v>6</v>
      </c>
      <c r="D26" t="s">
        <v>56</v>
      </c>
      <c r="H26" t="s">
        <v>137</v>
      </c>
      <c r="I26">
        <v>0.2</v>
      </c>
      <c r="N26" t="s">
        <v>71</v>
      </c>
      <c r="O26" t="s">
        <v>195</v>
      </c>
      <c r="P26" t="s">
        <v>71</v>
      </c>
      <c r="Q26" t="s">
        <v>195</v>
      </c>
      <c r="R26" t="s">
        <v>72</v>
      </c>
      <c r="S26" t="s">
        <v>214</v>
      </c>
      <c r="T26" t="s">
        <v>72</v>
      </c>
      <c r="U26" t="s">
        <v>214</v>
      </c>
      <c r="V26" t="s">
        <v>210</v>
      </c>
      <c r="W26" t="s">
        <v>70</v>
      </c>
      <c r="X26" s="8"/>
    </row>
    <row r="27" spans="1:26" x14ac:dyDescent="0.25">
      <c r="A27" t="s">
        <v>177</v>
      </c>
      <c r="B27" t="s">
        <v>196</v>
      </c>
      <c r="C27" t="s">
        <v>3</v>
      </c>
      <c r="D27" t="s">
        <v>4</v>
      </c>
      <c r="E27" t="s">
        <v>197</v>
      </c>
      <c r="F27" t="s">
        <v>10</v>
      </c>
      <c r="G27" t="s">
        <v>203</v>
      </c>
      <c r="H27" t="s">
        <v>202</v>
      </c>
      <c r="I27" t="s">
        <v>204</v>
      </c>
      <c r="J27" t="s">
        <v>205</v>
      </c>
      <c r="K27" t="s">
        <v>185</v>
      </c>
      <c r="L27" t="s">
        <v>184</v>
      </c>
      <c r="M27" t="s">
        <v>206</v>
      </c>
      <c r="N27" t="s">
        <v>198</v>
      </c>
      <c r="O27" t="s">
        <v>207</v>
      </c>
      <c r="P27" t="s">
        <v>199</v>
      </c>
      <c r="Q27" t="s">
        <v>213</v>
      </c>
      <c r="R27" t="s">
        <v>207</v>
      </c>
      <c r="S27" t="s">
        <v>208</v>
      </c>
      <c r="T27" t="s">
        <v>213</v>
      </c>
      <c r="U27" t="s">
        <v>209</v>
      </c>
    </row>
    <row r="28" spans="1:26" x14ac:dyDescent="0.25">
      <c r="B28" t="s">
        <v>56</v>
      </c>
      <c r="C28" t="s">
        <v>56</v>
      </c>
      <c r="D28" t="s">
        <v>56</v>
      </c>
      <c r="E28" t="s">
        <v>200</v>
      </c>
      <c r="F28" t="s">
        <v>200</v>
      </c>
      <c r="G28" t="s">
        <v>194</v>
      </c>
      <c r="H28" t="s">
        <v>194</v>
      </c>
      <c r="J28" t="s">
        <v>56</v>
      </c>
      <c r="M28" t="s">
        <v>56</v>
      </c>
      <c r="N28" t="s">
        <v>56</v>
      </c>
      <c r="P28" t="s">
        <v>56</v>
      </c>
      <c r="R28" t="s">
        <v>201</v>
      </c>
      <c r="T28" t="s">
        <v>201</v>
      </c>
      <c r="V28" t="s">
        <v>212</v>
      </c>
      <c r="W28" t="s">
        <v>211</v>
      </c>
    </row>
    <row r="29" spans="1:26" x14ac:dyDescent="0.25">
      <c r="B29">
        <v>1</v>
      </c>
      <c r="C29">
        <v>2</v>
      </c>
      <c r="D29">
        <v>3</v>
      </c>
      <c r="E29">
        <v>4</v>
      </c>
      <c r="F29">
        <v>5</v>
      </c>
      <c r="G29">
        <v>6</v>
      </c>
      <c r="H29">
        <v>7</v>
      </c>
      <c r="I29">
        <v>8</v>
      </c>
      <c r="J29">
        <v>9</v>
      </c>
      <c r="K29">
        <v>10</v>
      </c>
      <c r="L29">
        <v>11</v>
      </c>
      <c r="M29">
        <v>12</v>
      </c>
      <c r="N29">
        <v>1</v>
      </c>
      <c r="O29">
        <v>2</v>
      </c>
      <c r="P29">
        <v>3</v>
      </c>
      <c r="Q29">
        <v>4</v>
      </c>
      <c r="R29">
        <v>5</v>
      </c>
      <c r="T29">
        <v>6</v>
      </c>
      <c r="V29">
        <v>7</v>
      </c>
      <c r="W29">
        <v>8</v>
      </c>
      <c r="X29" s="8"/>
      <c r="Y29" s="8"/>
      <c r="Z29" s="8"/>
    </row>
    <row r="30" spans="1:26" x14ac:dyDescent="0.25">
      <c r="A30" s="13">
        <v>31050006</v>
      </c>
      <c r="B30" s="8">
        <v>5</v>
      </c>
      <c r="C30" s="8">
        <f>$C$26-B30</f>
        <v>1</v>
      </c>
      <c r="D30" s="8">
        <v>0.72799999999999998</v>
      </c>
      <c r="E30" s="8">
        <v>6.7130000000000001</v>
      </c>
      <c r="F30" s="8">
        <v>6.1740000000000004</v>
      </c>
      <c r="G30" s="8">
        <f>11.2</f>
        <v>11.2</v>
      </c>
      <c r="H30" s="8">
        <v>9.7763420000000014</v>
      </c>
      <c r="I30" s="8">
        <v>0.16009999999999999</v>
      </c>
      <c r="J30" s="8">
        <f>9.81*(E30^2)/2/PI()</f>
        <v>70.359449590774972</v>
      </c>
      <c r="K30" s="8">
        <f>D30/J30</f>
        <v>1.0346868888744833E-2</v>
      </c>
      <c r="L30" s="8">
        <f>(1/6)/SQRT(K30)</f>
        <v>1.6384918166116791</v>
      </c>
      <c r="N30" s="14">
        <f>O30*D30</f>
        <v>0.179088</v>
      </c>
      <c r="O30" s="18">
        <v>0.246</v>
      </c>
      <c r="P30" s="15">
        <f>Q30*D30</f>
        <v>0.10628799999999999</v>
      </c>
      <c r="Q30" s="19">
        <v>0.14599999999999999</v>
      </c>
      <c r="R30" s="14">
        <f>S30*SQRT(9.81*D30)</f>
        <v>2.5467897540079742</v>
      </c>
      <c r="S30" s="18">
        <v>0.95299999999999996</v>
      </c>
      <c r="T30" s="15">
        <f>U30*SQRT(9.81*D30)</f>
        <v>2.4051529681082657</v>
      </c>
      <c r="U30" s="19">
        <v>0.9</v>
      </c>
      <c r="V30" s="15">
        <v>2.36</v>
      </c>
      <c r="W30" s="15">
        <f>V30*(D30^2)</f>
        <v>1.25076224</v>
      </c>
      <c r="X30" s="8"/>
      <c r="Y30" s="8"/>
      <c r="Z30" s="8"/>
    </row>
    <row r="31" spans="1:26" x14ac:dyDescent="0.25">
      <c r="A31">
        <v>9050006</v>
      </c>
      <c r="B31" s="8">
        <v>5.01</v>
      </c>
      <c r="C31" s="8">
        <f t="shared" ref="C31:C34" si="0">$C$26-B31</f>
        <v>0.99000000000000021</v>
      </c>
      <c r="D31" s="8">
        <v>0.872</v>
      </c>
      <c r="E31" s="8">
        <v>3.8959999999999999</v>
      </c>
      <c r="F31" s="8">
        <v>4.3689999999999998</v>
      </c>
      <c r="G31" s="8">
        <v>0</v>
      </c>
      <c r="H31" s="8">
        <v>4.8425246</v>
      </c>
      <c r="I31" s="8">
        <v>0.22070000000000001</v>
      </c>
      <c r="J31" s="8">
        <f t="shared" ref="J31:J34" si="1">9.81*(E31^2)/2/PI()</f>
        <v>23.69883708345386</v>
      </c>
      <c r="K31" s="8">
        <f t="shared" ref="K31:K34" si="2">D31/J31</f>
        <v>3.6795054412556642E-2</v>
      </c>
      <c r="L31" s="8">
        <f t="shared" ref="L31:L34" si="3">(1/6)/SQRT(K31)</f>
        <v>0.86886844456639956</v>
      </c>
      <c r="N31" s="14">
        <f>O31*D31</f>
        <v>0.17527200000000001</v>
      </c>
      <c r="O31" s="18">
        <v>0.20100000000000001</v>
      </c>
      <c r="P31" s="15">
        <f>Q31*D31</f>
        <v>0.12120800000000001</v>
      </c>
      <c r="Q31" s="19">
        <v>0.13900000000000001</v>
      </c>
      <c r="R31" s="14">
        <f t="shared" ref="R31:R34" si="4">S31*SQRT(9.81*D31)</f>
        <v>3.0300688834942351</v>
      </c>
      <c r="S31" s="18">
        <v>1.036</v>
      </c>
      <c r="T31" s="15">
        <f>U31*SQRT(9.81*D31)</f>
        <v>2.7258920843789838</v>
      </c>
      <c r="U31" s="19">
        <v>0.93200000000000005</v>
      </c>
      <c r="V31" s="15">
        <v>1.04</v>
      </c>
      <c r="W31" s="15">
        <f t="shared" ref="W31:W34" si="5">V31*(D31^2)</f>
        <v>0.79079935999999995</v>
      </c>
      <c r="X31" s="8"/>
      <c r="Y31" s="8"/>
      <c r="Z31" s="8"/>
    </row>
    <row r="32" spans="1:26" x14ac:dyDescent="0.25">
      <c r="A32">
        <v>25050003</v>
      </c>
      <c r="B32" s="8">
        <v>5.01</v>
      </c>
      <c r="C32" s="8">
        <f t="shared" si="0"/>
        <v>0.99000000000000021</v>
      </c>
      <c r="D32" s="8">
        <v>0.88</v>
      </c>
      <c r="E32" s="8">
        <v>4.2009999999999996</v>
      </c>
      <c r="F32" s="8">
        <v>2.9780000000000002</v>
      </c>
      <c r="G32" s="8">
        <f>7.58</f>
        <v>7.58</v>
      </c>
      <c r="H32" s="8">
        <v>7.7271099999999997</v>
      </c>
      <c r="I32" s="8">
        <v>0.25230000000000002</v>
      </c>
      <c r="J32" s="8">
        <f t="shared" si="1"/>
        <v>27.554624819384074</v>
      </c>
      <c r="K32" s="8">
        <f t="shared" si="2"/>
        <v>3.1936562583168952E-2</v>
      </c>
      <c r="L32" s="8">
        <f t="shared" si="3"/>
        <v>0.93261987103224109</v>
      </c>
      <c r="N32" s="14">
        <f>O32*D32</f>
        <v>0.19712000000000002</v>
      </c>
      <c r="O32" s="18">
        <v>0.224</v>
      </c>
      <c r="P32" s="15">
        <f>Q32*D32</f>
        <v>0.13639999999999999</v>
      </c>
      <c r="Q32" s="19">
        <v>0.155</v>
      </c>
      <c r="R32" s="14">
        <f t="shared" si="4"/>
        <v>2.1360442765073948</v>
      </c>
      <c r="S32" s="18">
        <v>0.72699999999999998</v>
      </c>
      <c r="T32" s="15">
        <f>U32*SQRT(9.81*D32)</f>
        <v>1.1311926361146452</v>
      </c>
      <c r="U32" s="19">
        <v>0.38500000000000001</v>
      </c>
      <c r="V32" s="15">
        <v>1.7</v>
      </c>
      <c r="W32" s="15">
        <f t="shared" si="5"/>
        <v>1.3164799999999999</v>
      </c>
      <c r="X32" s="8"/>
      <c r="Y32" s="8"/>
      <c r="Z32" s="8"/>
    </row>
    <row r="33" spans="1:33" x14ac:dyDescent="0.25">
      <c r="A33">
        <v>16060003</v>
      </c>
      <c r="B33" s="8">
        <v>4.7</v>
      </c>
      <c r="C33" s="8">
        <f t="shared" si="0"/>
        <v>1.2999999999999998</v>
      </c>
      <c r="D33" s="8">
        <v>0.92100000000000004</v>
      </c>
      <c r="E33" s="8">
        <v>4.1589999999999998</v>
      </c>
      <c r="F33" s="8">
        <v>3.5910000000000002</v>
      </c>
      <c r="G33" s="8">
        <f>1.5</f>
        <v>1.5</v>
      </c>
      <c r="H33" s="8">
        <v>1.3576769</v>
      </c>
      <c r="I33" s="8">
        <v>7.3200000000000001E-2</v>
      </c>
      <c r="J33" s="8">
        <f t="shared" si="1"/>
        <v>27.006417655087311</v>
      </c>
      <c r="K33" s="8">
        <f t="shared" si="2"/>
        <v>3.4103005136133166E-2</v>
      </c>
      <c r="L33" s="8">
        <f t="shared" si="3"/>
        <v>0.9025108348078541</v>
      </c>
      <c r="N33" s="14">
        <f>O33*D33</f>
        <v>0.10591500000000001</v>
      </c>
      <c r="O33" s="18">
        <v>0.115</v>
      </c>
      <c r="P33" s="15">
        <f>Q33*D33</f>
        <v>3.7761000000000003E-2</v>
      </c>
      <c r="Q33" s="19">
        <v>4.1000000000000002E-2</v>
      </c>
      <c r="R33" s="14">
        <f t="shared" si="4"/>
        <v>2.4497509092252625</v>
      </c>
      <c r="S33" s="18">
        <v>0.81499999999999995</v>
      </c>
      <c r="T33" s="15">
        <f>U33*SQRT(9.81*D33)</f>
        <v>1.6922819164341383</v>
      </c>
      <c r="U33" s="19">
        <v>0.56299999999999994</v>
      </c>
      <c r="V33" s="15">
        <v>0.25</v>
      </c>
      <c r="W33" s="15">
        <f t="shared" si="5"/>
        <v>0.21206025000000001</v>
      </c>
      <c r="X33" s="8"/>
      <c r="Y33" s="8"/>
      <c r="Z33" s="8"/>
    </row>
    <row r="34" spans="1:33" x14ac:dyDescent="0.25">
      <c r="A34">
        <v>24050009</v>
      </c>
      <c r="B34" s="8">
        <v>5.01</v>
      </c>
      <c r="C34" s="8">
        <f t="shared" si="0"/>
        <v>0.99000000000000021</v>
      </c>
      <c r="D34" s="8">
        <v>0.90300000000000002</v>
      </c>
      <c r="E34" s="8">
        <v>4.1379999999999999</v>
      </c>
      <c r="F34" s="8">
        <v>4.0209999999999999</v>
      </c>
      <c r="G34" s="8">
        <v>3.66</v>
      </c>
      <c r="H34" s="8">
        <v>4.7544488999999999</v>
      </c>
      <c r="I34" s="8">
        <v>9.1399999999999995E-2</v>
      </c>
      <c r="J34" s="8">
        <f t="shared" si="1"/>
        <v>26.734379686057999</v>
      </c>
      <c r="K34" s="8">
        <f t="shared" si="2"/>
        <v>3.3776732828812009E-2</v>
      </c>
      <c r="L34" s="8">
        <f t="shared" si="3"/>
        <v>0.90685934004134083</v>
      </c>
      <c r="N34" s="14">
        <f>O34*D34</f>
        <v>0.15441300000000002</v>
      </c>
      <c r="O34" s="18">
        <v>0.17100000000000001</v>
      </c>
      <c r="P34" s="15">
        <f>Q34*D34</f>
        <v>6.9530999999999996E-2</v>
      </c>
      <c r="Q34" s="19">
        <v>7.6999999999999999E-2</v>
      </c>
      <c r="R34" s="14">
        <f t="shared" si="4"/>
        <v>2.654869836266931</v>
      </c>
      <c r="S34" s="18">
        <v>0.89200000000000002</v>
      </c>
      <c r="T34" s="15">
        <f>U34*SQRT(9.81*D34)</f>
        <v>2.33938081984956</v>
      </c>
      <c r="U34" s="19">
        <v>0.78600000000000003</v>
      </c>
      <c r="V34" s="15">
        <v>0.56999999999999995</v>
      </c>
      <c r="W34" s="15">
        <f t="shared" si="5"/>
        <v>0.46478312999999999</v>
      </c>
    </row>
    <row r="35" spans="1:33" x14ac:dyDescent="0.25"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N35" s="14"/>
      <c r="O35" s="14"/>
      <c r="P35" s="15"/>
      <c r="Q35" s="15"/>
      <c r="R35" s="14"/>
      <c r="S35" s="14"/>
      <c r="T35" s="15"/>
      <c r="U35" s="15"/>
      <c r="V35" s="15"/>
      <c r="W35" s="15"/>
    </row>
    <row r="36" spans="1:33" x14ac:dyDescent="0.25">
      <c r="A36" t="s">
        <v>222</v>
      </c>
      <c r="M36" t="s">
        <v>215</v>
      </c>
      <c r="N36" s="8"/>
      <c r="O36" s="8"/>
      <c r="P36" s="8"/>
      <c r="Q36" s="8"/>
      <c r="R36" s="8"/>
      <c r="S36" s="8"/>
      <c r="T36" s="8"/>
      <c r="U36" s="8"/>
      <c r="X36" s="1" t="s">
        <v>215</v>
      </c>
      <c r="Y36" s="1"/>
      <c r="Z36" s="1"/>
      <c r="AA36" s="1"/>
      <c r="AC36" t="s">
        <v>170</v>
      </c>
      <c r="AE36" t="s">
        <v>219</v>
      </c>
    </row>
    <row r="37" spans="1:33" x14ac:dyDescent="0.25">
      <c r="H37" t="s">
        <v>215</v>
      </c>
      <c r="N37">
        <v>1</v>
      </c>
      <c r="O37">
        <v>2</v>
      </c>
      <c r="P37">
        <v>3</v>
      </c>
      <c r="Q37">
        <v>4</v>
      </c>
      <c r="R37">
        <v>5</v>
      </c>
      <c r="T37">
        <v>6</v>
      </c>
      <c r="X37" t="s">
        <v>27</v>
      </c>
      <c r="Y37" t="s">
        <v>226</v>
      </c>
      <c r="Z37" t="s">
        <v>38</v>
      </c>
      <c r="AA37" t="s">
        <v>70</v>
      </c>
      <c r="AC37" t="s">
        <v>217</v>
      </c>
      <c r="AD37">
        <v>1.1000000000000001</v>
      </c>
      <c r="AE37" t="s">
        <v>220</v>
      </c>
      <c r="AF37" t="s">
        <v>221</v>
      </c>
      <c r="AG37">
        <v>0.18</v>
      </c>
    </row>
    <row r="38" spans="1:33" x14ac:dyDescent="0.25">
      <c r="H38">
        <f>0.067*SQRT(9.81*(D30^3)/(1/6))*L30*EXP(-4.75*C30/D30/L30)</f>
        <v>9.7543684859959009E-3</v>
      </c>
      <c r="M38" s="8">
        <f>1.65*L30*D30</f>
        <v>1.9681563701139488</v>
      </c>
      <c r="N38" s="8">
        <f>$AD$37*AA38*SIN(ATAN($F$25))/(M38-C30)</f>
        <v>9.3377889169008285E-2</v>
      </c>
      <c r="O38" s="11">
        <f>N38/D30</f>
        <v>0.12826633127611028</v>
      </c>
      <c r="P38" s="8">
        <f>EXP($AD$40*$L$25/J30)*(1+$I$25)*N38</f>
        <v>9.6379326674334909E-2</v>
      </c>
      <c r="Q38" s="17">
        <f>P38/D30</f>
        <v>0.13238918499221827</v>
      </c>
      <c r="R38" s="14">
        <f>$AD$38*COS(ATAN($F$25))*SQRT(9.81*AA38/SIN(ATAN($F$25))/D30)</f>
        <v>5.5564981466049517</v>
      </c>
      <c r="S38" s="11">
        <f>R38/SQRT(9.81*D30)</f>
        <v>2.0792225684829493</v>
      </c>
      <c r="T38" s="8">
        <f>EXP($AD$41*$L$25/J30)*(1-$I$26)*R38</f>
        <v>4.2210764747903076</v>
      </c>
      <c r="U38" s="17">
        <f>T38/SQRT(9.81*D30)</f>
        <v>1.5795123543843843</v>
      </c>
      <c r="X38">
        <f>EXP(-((SQRT(-LN(0.02))*C30/M38)^2))</f>
        <v>0.36425216126327437</v>
      </c>
      <c r="Y38">
        <f>F30/1.15</f>
        <v>5.3686956521739138</v>
      </c>
      <c r="Z38">
        <f>0.84*Y38*H38/X38</f>
        <v>0.12076611383452811</v>
      </c>
      <c r="AA38">
        <f>Z38*(-LN(0.02/X38))^(4/3)</f>
        <v>0.49991680555268497</v>
      </c>
      <c r="AC38" t="s">
        <v>218</v>
      </c>
      <c r="AD38">
        <v>0.88</v>
      </c>
      <c r="AE38" t="s">
        <v>214</v>
      </c>
      <c r="AF38" t="s">
        <v>221</v>
      </c>
      <c r="AG38">
        <v>1.49</v>
      </c>
    </row>
    <row r="39" spans="1:33" x14ac:dyDescent="0.25">
      <c r="H39">
        <f t="shared" ref="H39:H42" si="6">0.067*SQRT(9.81*(D31^3)/(1/6))*L31*EXP(-4.75*C31/D31/L31)</f>
        <v>7.3315093179596787E-4</v>
      </c>
      <c r="M39" s="8">
        <f>1.65*L31*D31</f>
        <v>1.2501279180421356</v>
      </c>
      <c r="N39" s="8">
        <f t="shared" ref="N39:N42" si="7">$AD$37*AA39*SIN(ATAN($F$25))/(M39-C31)</f>
        <v>3.1285954667627777E-2</v>
      </c>
      <c r="O39" s="11">
        <f t="shared" ref="O39:O42" si="8">N39/D31</f>
        <v>3.5878388380307082E-2</v>
      </c>
      <c r="P39" s="8">
        <f>EXP($AD$40*$L$25/J31)*(1+$I$25)*N39</f>
        <v>2.8486794593951946E-2</v>
      </c>
      <c r="Q39" s="17">
        <f t="shared" ref="Q39:Q42" si="9">P39/D31</f>
        <v>3.266834242425682E-2</v>
      </c>
      <c r="R39" s="14">
        <f t="shared" ref="R39:R42" si="10">$AD$38*COS(ATAN($F$25))*SQRT(9.81*AA39/SIN(ATAN($F$25))/D31)</f>
        <v>1.5232880304626015</v>
      </c>
      <c r="S39" s="11">
        <f t="shared" ref="S39:S42" si="11">R39/SQRT(9.81*D31)</f>
        <v>0.52082195495812655</v>
      </c>
      <c r="T39" s="8">
        <f t="shared" ref="T39:T42" si="12">EXP($AD$41*$L$25/J31)*(1-$I$26)*R39</f>
        <v>1.0451219641426623</v>
      </c>
      <c r="U39" s="17">
        <f t="shared" ref="U39:U42" si="13">T39/SQRT(9.81*D31)</f>
        <v>0.35733390773716983</v>
      </c>
      <c r="X39">
        <f t="shared" ref="X39:X42" si="14">EXP(-((SQRT(-LN(0.02))*C31/M39)^2))</f>
        <v>8.6003348751080594E-2</v>
      </c>
      <c r="Y39">
        <f t="shared" ref="Y39:Y42" si="15">F31/1.15</f>
        <v>3.7991304347826089</v>
      </c>
      <c r="Z39">
        <f t="shared" ref="Z39:Z42" si="16">0.84*Y39*H39/X39</f>
        <v>2.7204548303380413E-2</v>
      </c>
      <c r="AA39">
        <f t="shared" ref="AA39:AA42" si="17">Z39*(-LN(0.02/X39))^(4/3)</f>
        <v>4.5003319971985103E-2</v>
      </c>
    </row>
    <row r="40" spans="1:33" x14ac:dyDescent="0.25">
      <c r="H40">
        <f t="shared" si="6"/>
        <v>1.2852321982012949E-3</v>
      </c>
      <c r="M40" s="8">
        <f>1.65*L32*D32</f>
        <v>1.3541640527388139</v>
      </c>
      <c r="N40" s="8">
        <f t="shared" si="7"/>
        <v>2.4984208693061356E-2</v>
      </c>
      <c r="O40" s="11">
        <f t="shared" si="8"/>
        <v>2.8391146242115178E-2</v>
      </c>
      <c r="P40" s="8">
        <f>EXP($AD$40*$L$25/J32)*(1+$I$25)*N40</f>
        <v>2.3358665202688578E-2</v>
      </c>
      <c r="Q40" s="17">
        <f t="shared" si="9"/>
        <v>2.654393773032793E-2</v>
      </c>
      <c r="R40" s="14">
        <f t="shared" si="10"/>
        <v>1.6032900000774128</v>
      </c>
      <c r="S40" s="11">
        <f t="shared" si="11"/>
        <v>0.54567774782370904</v>
      </c>
      <c r="T40" s="8">
        <f t="shared" si="12"/>
        <v>1.1239092172651164</v>
      </c>
      <c r="U40" s="17">
        <f t="shared" si="13"/>
        <v>0.38252109749697455</v>
      </c>
      <c r="X40">
        <f t="shared" si="14"/>
        <v>0.12357826827177382</v>
      </c>
      <c r="Y40">
        <f t="shared" si="15"/>
        <v>2.5895652173913049</v>
      </c>
      <c r="Z40">
        <f t="shared" si="16"/>
        <v>2.2622762240912909E-2</v>
      </c>
      <c r="AA40">
        <f t="shared" si="17"/>
        <v>5.0311915161497273E-2</v>
      </c>
      <c r="AC40" t="s">
        <v>223</v>
      </c>
      <c r="AD40">
        <v>-2.2400000000000002</v>
      </c>
    </row>
    <row r="41" spans="1:33" x14ac:dyDescent="0.25">
      <c r="H41">
        <f t="shared" si="6"/>
        <v>2.4349698633468789E-4</v>
      </c>
      <c r="M41" s="8">
        <f>1.65*L33*D33</f>
        <v>1.3715005901157555</v>
      </c>
      <c r="N41" s="8">
        <f t="shared" si="7"/>
        <v>1.585431320312243E-2</v>
      </c>
      <c r="O41" s="11">
        <f t="shared" si="8"/>
        <v>1.7214238005561815E-2</v>
      </c>
      <c r="P41" s="8">
        <f>EXP($AD$40*$L$25/J33)*(1+$I$25)*N41</f>
        <v>1.477394672757631E-2</v>
      </c>
      <c r="Q41" s="17">
        <f t="shared" si="9"/>
        <v>1.6041201658606199E-2</v>
      </c>
      <c r="R41" s="14">
        <f t="shared" si="10"/>
        <v>0.55318551328449428</v>
      </c>
      <c r="S41" s="11">
        <f t="shared" si="11"/>
        <v>0.18403756546392858</v>
      </c>
      <c r="T41" s="8">
        <f>EXP($AD$41*$L$25/J33)*(1-$I$26)*R41</f>
        <v>0.38674558851796448</v>
      </c>
      <c r="U41" s="17">
        <f t="shared" si="13"/>
        <v>0.12866518528686771</v>
      </c>
      <c r="X41">
        <f t="shared" si="14"/>
        <v>2.9754839291520663E-2</v>
      </c>
      <c r="Y41">
        <f t="shared" si="15"/>
        <v>3.1226086956521741</v>
      </c>
      <c r="Z41">
        <f t="shared" si="16"/>
        <v>2.1465095863340711E-2</v>
      </c>
      <c r="AA41">
        <f t="shared" si="17"/>
        <v>6.268523185208489E-3</v>
      </c>
      <c r="AC41" t="s">
        <v>224</v>
      </c>
      <c r="AD41">
        <v>-1.82</v>
      </c>
    </row>
    <row r="42" spans="1:33" x14ac:dyDescent="0.25">
      <c r="H42">
        <f t="shared" si="6"/>
        <v>1.2826841770811389E-3</v>
      </c>
      <c r="M42" s="8">
        <f>1.65*L34*D34</f>
        <v>1.3511750736945958</v>
      </c>
      <c r="N42" s="8">
        <f t="shared" si="7"/>
        <v>3.4030021254088237E-2</v>
      </c>
      <c r="O42" s="11">
        <f t="shared" si="8"/>
        <v>3.7685516338968147E-2</v>
      </c>
      <c r="P42" s="8">
        <f>EXP($AD$40*$L$25/J34)*(1+$I$25)*N42</f>
        <v>3.165761767400959E-2</v>
      </c>
      <c r="Q42" s="17">
        <f t="shared" si="9"/>
        <v>3.5058269849401538E-2</v>
      </c>
      <c r="R42" s="14">
        <f t="shared" si="10"/>
        <v>1.839577985621359</v>
      </c>
      <c r="S42" s="11">
        <f t="shared" si="11"/>
        <v>0.61807307490508157</v>
      </c>
      <c r="T42" s="8">
        <f t="shared" si="12"/>
        <v>1.2843315218031237</v>
      </c>
      <c r="U42" s="17">
        <f t="shared" si="13"/>
        <v>0.43151784761669232</v>
      </c>
      <c r="X42">
        <f t="shared" si="14"/>
        <v>0.12243911214091679</v>
      </c>
      <c r="Y42">
        <f t="shared" si="15"/>
        <v>3.4965217391304351</v>
      </c>
      <c r="Z42">
        <f t="shared" si="16"/>
        <v>3.0769120636308558E-2</v>
      </c>
      <c r="AA42">
        <f t="shared" si="17"/>
        <v>6.7965445395601953E-2</v>
      </c>
    </row>
    <row r="52" spans="4:6" x14ac:dyDescent="0.25">
      <c r="E52">
        <v>0</v>
      </c>
      <c r="F52">
        <v>0</v>
      </c>
    </row>
    <row r="53" spans="4:6" x14ac:dyDescent="0.25">
      <c r="E53">
        <v>3</v>
      </c>
      <c r="F53">
        <v>3</v>
      </c>
    </row>
    <row r="56" spans="4:6" x14ac:dyDescent="0.25">
      <c r="E56">
        <v>0.18</v>
      </c>
      <c r="F56">
        <v>0</v>
      </c>
    </row>
    <row r="57" spans="4:6" x14ac:dyDescent="0.25">
      <c r="E57">
        <v>0.18</v>
      </c>
      <c r="F57">
        <v>1</v>
      </c>
    </row>
    <row r="59" spans="4:6" x14ac:dyDescent="0.25">
      <c r="E59">
        <v>1.49</v>
      </c>
      <c r="F59">
        <v>0</v>
      </c>
    </row>
    <row r="60" spans="4:6" x14ac:dyDescent="0.25">
      <c r="E60">
        <v>1.49</v>
      </c>
      <c r="F60">
        <v>3</v>
      </c>
    </row>
    <row r="62" spans="4:6" x14ac:dyDescent="0.25">
      <c r="E62" t="s">
        <v>357</v>
      </c>
    </row>
    <row r="63" spans="4:6" x14ac:dyDescent="0.25">
      <c r="D63" t="s">
        <v>354</v>
      </c>
      <c r="E63" t="s">
        <v>355</v>
      </c>
      <c r="F63" t="s">
        <v>356</v>
      </c>
    </row>
    <row r="64" spans="4:6" x14ac:dyDescent="0.25">
      <c r="D64">
        <v>0</v>
      </c>
      <c r="E64">
        <f>D64*(1+1.64*0.07)</f>
        <v>0</v>
      </c>
      <c r="F64">
        <f>D64*(1-1.64*0.07)</f>
        <v>0</v>
      </c>
    </row>
    <row r="65" spans="4:6" x14ac:dyDescent="0.25">
      <c r="D65">
        <v>0.1</v>
      </c>
      <c r="E65">
        <f>D65*(1+1.64*0.07)</f>
        <v>0.11148000000000001</v>
      </c>
      <c r="F65">
        <f>D65*(1-1.64*0.07)</f>
        <v>8.8520000000000001E-2</v>
      </c>
    </row>
    <row r="66" spans="4:6" x14ac:dyDescent="0.25">
      <c r="D66">
        <f>D65+0.2</f>
        <v>0.30000000000000004</v>
      </c>
      <c r="E66">
        <f>D66*(1+1.64*0.07)</f>
        <v>0.33444000000000007</v>
      </c>
      <c r="F66">
        <f>D66*(1-1.64*0.07)</f>
        <v>0.26556000000000002</v>
      </c>
    </row>
    <row r="67" spans="4:6" x14ac:dyDescent="0.25">
      <c r="D67">
        <f t="shared" ref="D67:D80" si="18">D66+0.2</f>
        <v>0.5</v>
      </c>
      <c r="E67">
        <f t="shared" ref="E67:E80" si="19">D67*(1+1.64*0.07)</f>
        <v>0.55740000000000001</v>
      </c>
      <c r="F67">
        <f t="shared" ref="F67:F80" si="20">D67*(1-1.64*0.07)</f>
        <v>0.44259999999999999</v>
      </c>
    </row>
    <row r="68" spans="4:6" x14ac:dyDescent="0.25">
      <c r="D68">
        <f t="shared" si="18"/>
        <v>0.7</v>
      </c>
      <c r="E68">
        <f t="shared" si="19"/>
        <v>0.78035999999999994</v>
      </c>
      <c r="F68">
        <f t="shared" si="20"/>
        <v>0.61963999999999997</v>
      </c>
    </row>
    <row r="69" spans="4:6" x14ac:dyDescent="0.25">
      <c r="D69">
        <f t="shared" si="18"/>
        <v>0.89999999999999991</v>
      </c>
      <c r="E69">
        <f t="shared" si="19"/>
        <v>1.00332</v>
      </c>
      <c r="F69">
        <f t="shared" si="20"/>
        <v>0.79667999999999994</v>
      </c>
    </row>
    <row r="70" spans="4:6" x14ac:dyDescent="0.25">
      <c r="D70">
        <f t="shared" si="18"/>
        <v>1.0999999999999999</v>
      </c>
      <c r="E70">
        <f t="shared" si="19"/>
        <v>1.2262799999999998</v>
      </c>
      <c r="F70">
        <f t="shared" si="20"/>
        <v>0.97371999999999992</v>
      </c>
    </row>
    <row r="71" spans="4:6" x14ac:dyDescent="0.25">
      <c r="D71">
        <f t="shared" si="18"/>
        <v>1.2999999999999998</v>
      </c>
      <c r="E71">
        <f t="shared" si="19"/>
        <v>1.4492399999999999</v>
      </c>
      <c r="F71">
        <f t="shared" si="20"/>
        <v>1.1507599999999998</v>
      </c>
    </row>
    <row r="72" spans="4:6" x14ac:dyDescent="0.25">
      <c r="D72">
        <f t="shared" si="18"/>
        <v>1.4999999999999998</v>
      </c>
      <c r="E72">
        <f t="shared" si="19"/>
        <v>1.6721999999999997</v>
      </c>
      <c r="F72">
        <f t="shared" si="20"/>
        <v>1.3277999999999999</v>
      </c>
    </row>
    <row r="73" spans="4:6" x14ac:dyDescent="0.25">
      <c r="D73">
        <f t="shared" si="18"/>
        <v>1.6999999999999997</v>
      </c>
      <c r="E73">
        <f t="shared" si="19"/>
        <v>1.8951599999999997</v>
      </c>
      <c r="F73">
        <f t="shared" si="20"/>
        <v>1.5048399999999997</v>
      </c>
    </row>
    <row r="74" spans="4:6" x14ac:dyDescent="0.25">
      <c r="D74">
        <f t="shared" si="18"/>
        <v>1.8999999999999997</v>
      </c>
      <c r="E74">
        <f t="shared" si="19"/>
        <v>2.1181199999999998</v>
      </c>
      <c r="F74">
        <f t="shared" si="20"/>
        <v>1.6818799999999996</v>
      </c>
    </row>
    <row r="75" spans="4:6" x14ac:dyDescent="0.25">
      <c r="D75">
        <f t="shared" si="18"/>
        <v>2.0999999999999996</v>
      </c>
      <c r="E75">
        <f t="shared" si="19"/>
        <v>2.3410799999999998</v>
      </c>
      <c r="F75">
        <f t="shared" si="20"/>
        <v>1.8589199999999997</v>
      </c>
    </row>
    <row r="76" spans="4:6" x14ac:dyDescent="0.25">
      <c r="D76">
        <f t="shared" si="18"/>
        <v>2.2999999999999998</v>
      </c>
      <c r="E76">
        <f t="shared" si="19"/>
        <v>2.5640399999999999</v>
      </c>
      <c r="F76">
        <f t="shared" si="20"/>
        <v>2.0359599999999998</v>
      </c>
    </row>
    <row r="77" spans="4:6" x14ac:dyDescent="0.25">
      <c r="D77">
        <f t="shared" si="18"/>
        <v>2.5</v>
      </c>
      <c r="E77">
        <f t="shared" si="19"/>
        <v>2.7869999999999999</v>
      </c>
      <c r="F77">
        <f t="shared" si="20"/>
        <v>2.2130000000000001</v>
      </c>
    </row>
    <row r="78" spans="4:6" x14ac:dyDescent="0.25">
      <c r="D78">
        <f t="shared" si="18"/>
        <v>2.7</v>
      </c>
      <c r="E78">
        <f t="shared" si="19"/>
        <v>3.0099600000000004</v>
      </c>
      <c r="F78">
        <f t="shared" si="20"/>
        <v>2.3900399999999999</v>
      </c>
    </row>
    <row r="79" spans="4:6" x14ac:dyDescent="0.25">
      <c r="D79">
        <f>D78+0.2</f>
        <v>2.9000000000000004</v>
      </c>
      <c r="E79">
        <f t="shared" si="19"/>
        <v>3.2329200000000005</v>
      </c>
      <c r="F79">
        <f t="shared" si="20"/>
        <v>2.5670800000000003</v>
      </c>
    </row>
    <row r="80" spans="4:6" x14ac:dyDescent="0.25">
      <c r="D80">
        <f t="shared" si="18"/>
        <v>3.1000000000000005</v>
      </c>
      <c r="E80">
        <f t="shared" si="19"/>
        <v>3.4558800000000005</v>
      </c>
      <c r="F80">
        <f t="shared" si="20"/>
        <v>2.7441200000000006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H54"/>
  <sheetViews>
    <sheetView topLeftCell="AB4" workbookViewId="0">
      <selection activeCell="AM36" sqref="AM36"/>
    </sheetView>
  </sheetViews>
  <sheetFormatPr defaultRowHeight="15" x14ac:dyDescent="0.25"/>
  <cols>
    <col min="3" max="7" width="9.5703125" bestFit="1" customWidth="1"/>
    <col min="9" max="11" width="9.5703125" bestFit="1" customWidth="1"/>
    <col min="12" max="12" width="5.42578125" customWidth="1"/>
    <col min="13" max="14" width="9.5703125" customWidth="1"/>
    <col min="18" max="18" width="4.7109375" customWidth="1"/>
    <col min="19" max="22" width="9.5703125" bestFit="1" customWidth="1"/>
    <col min="23" max="23" width="9.5703125" customWidth="1"/>
    <col min="24" max="24" width="9.5703125" bestFit="1" customWidth="1"/>
    <col min="25" max="25" width="12" bestFit="1" customWidth="1"/>
    <col min="28" max="28" width="5.140625" customWidth="1"/>
    <col min="38" max="38" width="5.140625" customWidth="1"/>
    <col min="49" max="49" width="4.140625" customWidth="1"/>
  </cols>
  <sheetData>
    <row r="1" spans="1:53" x14ac:dyDescent="0.25">
      <c r="A1" t="s">
        <v>319</v>
      </c>
    </row>
    <row r="3" spans="1:53" x14ac:dyDescent="0.25">
      <c r="A3" t="s">
        <v>300</v>
      </c>
      <c r="F3" t="s">
        <v>136</v>
      </c>
      <c r="G3">
        <v>0.1</v>
      </c>
      <c r="S3" t="s">
        <v>216</v>
      </c>
      <c r="T3">
        <v>0.7</v>
      </c>
      <c r="AC3" t="s">
        <v>216</v>
      </c>
      <c r="AD3">
        <v>0.6</v>
      </c>
    </row>
    <row r="4" spans="1:53" x14ac:dyDescent="0.25">
      <c r="B4" t="s">
        <v>25</v>
      </c>
      <c r="C4">
        <f>1/3</f>
        <v>0.33333333333333331</v>
      </c>
      <c r="F4" t="s">
        <v>137</v>
      </c>
      <c r="G4">
        <f>G3*3</f>
        <v>0.30000000000000004</v>
      </c>
      <c r="S4" t="s">
        <v>301</v>
      </c>
      <c r="T4">
        <v>0.5</v>
      </c>
      <c r="AC4" t="s">
        <v>301</v>
      </c>
      <c r="AD4">
        <v>0.5</v>
      </c>
    </row>
    <row r="5" spans="1:53" ht="15.75" thickBot="1" x14ac:dyDescent="0.3">
      <c r="B5" t="s">
        <v>310</v>
      </c>
      <c r="C5">
        <v>0.3</v>
      </c>
      <c r="S5" t="s">
        <v>302</v>
      </c>
      <c r="T5">
        <f>T3-T4</f>
        <v>0.19999999999999996</v>
      </c>
      <c r="AC5" t="s">
        <v>302</v>
      </c>
      <c r="AD5">
        <f>AD3-AD4</f>
        <v>9.9999999999999978E-2</v>
      </c>
    </row>
    <row r="6" spans="1:53" x14ac:dyDescent="0.25">
      <c r="B6" s="20" t="s">
        <v>227</v>
      </c>
      <c r="C6" s="21" t="s">
        <v>228</v>
      </c>
      <c r="D6" s="22" t="s">
        <v>229</v>
      </c>
      <c r="E6" s="22" t="s">
        <v>230</v>
      </c>
      <c r="F6" s="22" t="s">
        <v>231</v>
      </c>
      <c r="G6" s="22" t="s">
        <v>232</v>
      </c>
      <c r="H6" s="22" t="s">
        <v>233</v>
      </c>
      <c r="I6" s="22" t="s">
        <v>234</v>
      </c>
      <c r="J6" s="22" t="s">
        <v>235</v>
      </c>
      <c r="K6" s="23" t="s">
        <v>236</v>
      </c>
      <c r="L6" s="24"/>
      <c r="M6" s="25" t="s">
        <v>231</v>
      </c>
      <c r="N6" s="26" t="s">
        <v>237</v>
      </c>
      <c r="O6" s="27"/>
      <c r="P6" s="22"/>
      <c r="Q6" s="28"/>
      <c r="R6" s="22"/>
      <c r="S6" s="29" t="s">
        <v>238</v>
      </c>
      <c r="T6" s="30"/>
      <c r="U6" s="30"/>
      <c r="V6" s="30"/>
      <c r="W6" s="30"/>
      <c r="X6" s="31"/>
      <c r="Y6" s="31"/>
      <c r="Z6" s="32"/>
      <c r="AA6" s="30"/>
      <c r="AB6" s="30"/>
      <c r="AC6" s="33" t="s">
        <v>239</v>
      </c>
      <c r="AD6" s="30"/>
      <c r="AE6" s="30"/>
      <c r="AF6" s="30"/>
      <c r="AG6" s="30"/>
      <c r="AH6" s="31"/>
      <c r="AI6" s="31"/>
      <c r="AJ6" s="30"/>
      <c r="AK6" s="34"/>
      <c r="AL6" s="35"/>
      <c r="AM6" s="25" t="s">
        <v>231</v>
      </c>
      <c r="AN6" s="36" t="s">
        <v>240</v>
      </c>
      <c r="AO6" s="37" t="s">
        <v>241</v>
      </c>
      <c r="AP6" s="27"/>
      <c r="AQ6" s="27"/>
      <c r="AR6" s="38"/>
      <c r="AS6" s="33" t="s">
        <v>242</v>
      </c>
      <c r="AT6" s="31"/>
      <c r="AU6" s="31"/>
      <c r="AV6" s="39"/>
      <c r="AW6" s="31"/>
      <c r="AX6" s="40" t="s">
        <v>243</v>
      </c>
      <c r="AY6" s="41"/>
      <c r="AZ6" s="41"/>
      <c r="BA6" s="42"/>
    </row>
    <row r="7" spans="1:53" x14ac:dyDescent="0.25">
      <c r="B7" s="43"/>
      <c r="C7" s="44"/>
      <c r="D7" s="24" t="s">
        <v>244</v>
      </c>
      <c r="E7" s="45" t="s">
        <v>245</v>
      </c>
      <c r="F7" s="24" t="s">
        <v>246</v>
      </c>
      <c r="G7" s="45" t="s">
        <v>247</v>
      </c>
      <c r="H7" s="24" t="s">
        <v>248</v>
      </c>
      <c r="I7" s="45" t="s">
        <v>249</v>
      </c>
      <c r="J7" s="45" t="s">
        <v>250</v>
      </c>
      <c r="K7" s="46" t="s">
        <v>251</v>
      </c>
      <c r="L7" s="24"/>
      <c r="M7" s="47" t="s">
        <v>246</v>
      </c>
      <c r="N7" s="48" t="s">
        <v>4</v>
      </c>
      <c r="O7" s="45" t="s">
        <v>10</v>
      </c>
      <c r="P7" s="44" t="s">
        <v>230</v>
      </c>
      <c r="Q7" s="49" t="s">
        <v>252</v>
      </c>
      <c r="R7" s="133"/>
      <c r="S7" s="50" t="s">
        <v>5</v>
      </c>
      <c r="T7" s="51" t="s">
        <v>253</v>
      </c>
      <c r="U7" s="51" t="s">
        <v>254</v>
      </c>
      <c r="V7" s="51" t="s">
        <v>10</v>
      </c>
      <c r="W7" s="51" t="s">
        <v>9</v>
      </c>
      <c r="X7" s="52" t="s">
        <v>255</v>
      </c>
      <c r="Y7" s="52" t="s">
        <v>256</v>
      </c>
      <c r="Z7" s="53" t="s">
        <v>257</v>
      </c>
      <c r="AA7" s="55"/>
      <c r="AB7" s="55"/>
      <c r="AC7" s="54" t="s">
        <v>5</v>
      </c>
      <c r="AD7" s="51" t="s">
        <v>253</v>
      </c>
      <c r="AE7" s="51" t="s">
        <v>254</v>
      </c>
      <c r="AF7" s="51" t="s">
        <v>10</v>
      </c>
      <c r="AG7" s="51" t="s">
        <v>9</v>
      </c>
      <c r="AH7" s="52" t="s">
        <v>255</v>
      </c>
      <c r="AI7" s="52" t="s">
        <v>256</v>
      </c>
      <c r="AJ7" s="55" t="s">
        <v>257</v>
      </c>
      <c r="AK7" s="56" t="s">
        <v>258</v>
      </c>
      <c r="AL7" s="57"/>
      <c r="AM7" s="47" t="s">
        <v>246</v>
      </c>
      <c r="AN7" s="58" t="s">
        <v>259</v>
      </c>
      <c r="AO7" s="45" t="s">
        <v>260</v>
      </c>
      <c r="AP7" s="45" t="s">
        <v>261</v>
      </c>
      <c r="AQ7" s="45" t="s">
        <v>262</v>
      </c>
      <c r="AR7" s="59" t="s">
        <v>263</v>
      </c>
      <c r="AS7" s="52" t="s">
        <v>264</v>
      </c>
      <c r="AT7" s="52" t="s">
        <v>265</v>
      </c>
      <c r="AU7" s="52" t="s">
        <v>266</v>
      </c>
      <c r="AV7" s="60" t="s">
        <v>267</v>
      </c>
      <c r="AW7" s="52"/>
      <c r="AX7" s="61" t="s">
        <v>268</v>
      </c>
      <c r="AY7" s="61" t="s">
        <v>269</v>
      </c>
      <c r="AZ7" s="61" t="s">
        <v>311</v>
      </c>
      <c r="BA7" s="62" t="s">
        <v>270</v>
      </c>
    </row>
    <row r="8" spans="1:53" ht="15.75" thickBot="1" x14ac:dyDescent="0.3">
      <c r="B8" s="63"/>
      <c r="C8" s="64"/>
      <c r="D8" s="65"/>
      <c r="E8" s="65" t="s">
        <v>271</v>
      </c>
      <c r="F8" s="65"/>
      <c r="G8" s="65" t="s">
        <v>272</v>
      </c>
      <c r="H8" s="65" t="s">
        <v>273</v>
      </c>
      <c r="I8" s="65"/>
      <c r="J8" s="65" t="s">
        <v>274</v>
      </c>
      <c r="K8" s="66"/>
      <c r="L8" s="45"/>
      <c r="M8" s="67"/>
      <c r="N8" s="68" t="s">
        <v>275</v>
      </c>
      <c r="O8" s="69" t="s">
        <v>276</v>
      </c>
      <c r="P8" s="70" t="s">
        <v>277</v>
      </c>
      <c r="Q8" s="71" t="s">
        <v>278</v>
      </c>
      <c r="R8" s="134"/>
      <c r="S8" s="72" t="s">
        <v>275</v>
      </c>
      <c r="T8" s="68" t="s">
        <v>276</v>
      </c>
      <c r="U8" s="68" t="s">
        <v>276</v>
      </c>
      <c r="V8" s="68" t="s">
        <v>276</v>
      </c>
      <c r="W8" s="68" t="s">
        <v>276</v>
      </c>
      <c r="X8" s="73" t="s">
        <v>212</v>
      </c>
      <c r="Y8" s="73" t="s">
        <v>275</v>
      </c>
      <c r="Z8" s="74" t="s">
        <v>276</v>
      </c>
      <c r="AA8" s="68"/>
      <c r="AB8" s="68"/>
      <c r="AC8" s="73" t="s">
        <v>275</v>
      </c>
      <c r="AD8" s="68" t="s">
        <v>276</v>
      </c>
      <c r="AE8" s="68" t="s">
        <v>276</v>
      </c>
      <c r="AF8" s="68" t="s">
        <v>276</v>
      </c>
      <c r="AG8" s="68" t="s">
        <v>276</v>
      </c>
      <c r="AH8" s="73" t="s">
        <v>212</v>
      </c>
      <c r="AI8" s="73" t="s">
        <v>275</v>
      </c>
      <c r="AJ8" s="68" t="s">
        <v>276</v>
      </c>
      <c r="AK8" s="75" t="s">
        <v>212</v>
      </c>
      <c r="AL8" s="76"/>
      <c r="AM8" s="67"/>
      <c r="AN8" s="77" t="s">
        <v>275</v>
      </c>
      <c r="AO8" s="69" t="s">
        <v>279</v>
      </c>
      <c r="AP8" s="69" t="s">
        <v>279</v>
      </c>
      <c r="AQ8" s="69" t="s">
        <v>279</v>
      </c>
      <c r="AR8" s="78" t="s">
        <v>279</v>
      </c>
      <c r="AS8" s="73" t="s">
        <v>201</v>
      </c>
      <c r="AT8" s="73" t="s">
        <v>201</v>
      </c>
      <c r="AU8" s="73" t="s">
        <v>201</v>
      </c>
      <c r="AV8" s="79" t="s">
        <v>201</v>
      </c>
      <c r="AW8" s="73"/>
      <c r="AX8" s="80" t="s">
        <v>56</v>
      </c>
      <c r="AY8" s="80" t="s">
        <v>56</v>
      </c>
      <c r="AZ8" s="80" t="s">
        <v>56</v>
      </c>
      <c r="BA8" s="81" t="s">
        <v>56</v>
      </c>
    </row>
    <row r="9" spans="1:53" x14ac:dyDescent="0.25">
      <c r="B9" s="82"/>
      <c r="C9" s="44"/>
      <c r="D9" s="45"/>
      <c r="E9" s="45"/>
      <c r="F9" s="45"/>
      <c r="G9" s="45"/>
      <c r="H9" s="45"/>
      <c r="I9" s="45"/>
      <c r="J9" s="45"/>
      <c r="K9" s="83"/>
      <c r="L9" s="45"/>
      <c r="M9" s="84"/>
      <c r="N9" s="85"/>
      <c r="O9" s="86"/>
      <c r="P9" s="86"/>
      <c r="Q9" s="87"/>
      <c r="R9" s="45"/>
      <c r="S9" s="88"/>
      <c r="T9" s="55"/>
      <c r="U9" s="55"/>
      <c r="V9" s="55"/>
      <c r="W9" s="55"/>
      <c r="X9" s="52"/>
      <c r="Y9" s="52"/>
      <c r="Z9" s="53"/>
      <c r="AA9" s="55"/>
      <c r="AB9" s="55"/>
      <c r="AC9" s="52"/>
      <c r="AD9" s="55"/>
      <c r="AE9" s="55"/>
      <c r="AF9" s="55"/>
      <c r="AG9" s="55"/>
      <c r="AH9" s="52"/>
      <c r="AI9" s="52"/>
      <c r="AJ9" s="55"/>
      <c r="AK9" s="89"/>
      <c r="AL9" s="35"/>
      <c r="AM9" s="84"/>
      <c r="AN9" s="58"/>
      <c r="AO9" s="45"/>
      <c r="AP9" s="45"/>
      <c r="AQ9" s="45"/>
      <c r="AR9" s="59"/>
      <c r="AS9" s="52"/>
      <c r="AT9" s="52"/>
      <c r="AU9" s="52"/>
      <c r="AV9" s="60"/>
      <c r="AW9" s="52"/>
      <c r="AX9" s="61"/>
      <c r="AY9" s="61"/>
      <c r="AZ9" s="61"/>
      <c r="BA9" s="62"/>
    </row>
    <row r="10" spans="1:53" x14ac:dyDescent="0.25">
      <c r="B10" s="135" t="s">
        <v>280</v>
      </c>
      <c r="C10" s="114">
        <v>1</v>
      </c>
      <c r="D10" s="114" t="s">
        <v>281</v>
      </c>
      <c r="E10" s="114">
        <v>24</v>
      </c>
      <c r="F10" s="114">
        <v>144</v>
      </c>
      <c r="G10" s="136" t="s">
        <v>282</v>
      </c>
      <c r="H10" s="136">
        <v>0</v>
      </c>
      <c r="I10" s="136">
        <v>0</v>
      </c>
      <c r="J10" s="136">
        <v>0</v>
      </c>
      <c r="K10" s="137" t="s">
        <v>283</v>
      </c>
      <c r="L10" s="136"/>
      <c r="M10" s="122">
        <v>144</v>
      </c>
      <c r="N10" s="108">
        <v>7.0000000000000007E-2</v>
      </c>
      <c r="O10" s="102">
        <v>1.474</v>
      </c>
      <c r="P10" s="136">
        <v>23</v>
      </c>
      <c r="Q10" s="138">
        <f t="shared" ref="Q10:Q15" si="0">P10*60/1.1/O10*1.2</f>
        <v>1021.3395830763537</v>
      </c>
      <c r="R10" s="139"/>
      <c r="S10" s="92">
        <v>6.8317000000000003E-2</v>
      </c>
      <c r="T10" s="93">
        <v>1.2613000000000001</v>
      </c>
      <c r="U10" s="93">
        <v>1.2047000000000001</v>
      </c>
      <c r="V10" s="93">
        <v>1.4629000000000001</v>
      </c>
      <c r="W10" s="93">
        <v>1.3270999999999999</v>
      </c>
      <c r="X10" s="91">
        <v>0.498</v>
      </c>
      <c r="Y10" s="91">
        <v>0.15007999999999999</v>
      </c>
      <c r="Z10" s="94">
        <v>1.2185999999999999</v>
      </c>
      <c r="AA10" s="103"/>
      <c r="AB10" s="103"/>
      <c r="AC10" s="102">
        <v>7.0868E-2</v>
      </c>
      <c r="AD10" s="103">
        <v>1.2821</v>
      </c>
      <c r="AE10" s="103">
        <v>1.2234</v>
      </c>
      <c r="AF10" s="103">
        <v>1.4629000000000001</v>
      </c>
      <c r="AG10" s="103">
        <v>1.3493999999999999</v>
      </c>
      <c r="AH10" s="102">
        <v>0.45700000000000002</v>
      </c>
      <c r="AI10" s="102">
        <v>0.15510000000000002</v>
      </c>
      <c r="AJ10" s="103">
        <v>1.252</v>
      </c>
      <c r="AK10" s="120">
        <v>1114</v>
      </c>
      <c r="AL10" s="121"/>
      <c r="AM10" s="122">
        <v>144</v>
      </c>
      <c r="AN10" s="123">
        <v>0.19769092279999995</v>
      </c>
      <c r="AO10" s="90">
        <v>1.1999999999999999E-3</v>
      </c>
      <c r="AP10" s="90">
        <v>2.5000000000000001E-3</v>
      </c>
      <c r="AQ10" s="114">
        <v>0.34849999999999998</v>
      </c>
      <c r="AR10" s="115">
        <v>0.40799999999999997</v>
      </c>
      <c r="AS10" s="91" t="s">
        <v>284</v>
      </c>
      <c r="AT10" s="91">
        <v>0.80824252799999996</v>
      </c>
      <c r="AU10" s="102">
        <v>1.2936987839999998</v>
      </c>
      <c r="AV10" s="113" t="s">
        <v>284</v>
      </c>
      <c r="AW10" s="102"/>
      <c r="AX10" s="95" t="s">
        <v>284</v>
      </c>
      <c r="AY10" s="95" t="s">
        <v>284</v>
      </c>
      <c r="AZ10" s="109">
        <v>1.6976020000000001E-2</v>
      </c>
      <c r="BA10" s="110">
        <v>2.6283800000000003E-2</v>
      </c>
    </row>
    <row r="11" spans="1:53" x14ac:dyDescent="0.25">
      <c r="B11" s="135"/>
      <c r="C11" s="114">
        <v>1</v>
      </c>
      <c r="D11" s="114" t="s">
        <v>285</v>
      </c>
      <c r="E11" s="114">
        <v>17</v>
      </c>
      <c r="F11" s="114">
        <v>145</v>
      </c>
      <c r="G11" s="136" t="s">
        <v>286</v>
      </c>
      <c r="H11" s="136">
        <v>0</v>
      </c>
      <c r="I11" s="136">
        <v>0</v>
      </c>
      <c r="J11" s="136">
        <v>0</v>
      </c>
      <c r="K11" s="137" t="s">
        <v>287</v>
      </c>
      <c r="L11" s="136"/>
      <c r="M11" s="122">
        <v>145</v>
      </c>
      <c r="N11" s="108">
        <v>7.0000000000000007E-2</v>
      </c>
      <c r="O11" s="102">
        <v>1.0449999999999999</v>
      </c>
      <c r="P11" s="136">
        <v>16</v>
      </c>
      <c r="Q11" s="138">
        <f t="shared" si="0"/>
        <v>1002.1748586341887</v>
      </c>
      <c r="R11" s="139"/>
      <c r="S11" s="92">
        <v>6.5489000000000006E-2</v>
      </c>
      <c r="T11" s="93">
        <v>0.95630000000000004</v>
      </c>
      <c r="U11" s="93">
        <v>0.92391999999999996</v>
      </c>
      <c r="V11" s="93">
        <v>1.0503</v>
      </c>
      <c r="W11" s="93">
        <v>1.0116000000000001</v>
      </c>
      <c r="X11" s="91">
        <v>0.32</v>
      </c>
      <c r="Y11" s="91">
        <v>0.13195999999999999</v>
      </c>
      <c r="Z11" s="94">
        <v>0.93634000000000006</v>
      </c>
      <c r="AA11" s="103"/>
      <c r="AB11" s="103"/>
      <c r="AC11" s="102">
        <v>5.9358000000000001E-2</v>
      </c>
      <c r="AD11" s="103">
        <v>0.94042000000000003</v>
      </c>
      <c r="AE11" s="103">
        <v>0.90142999999999995</v>
      </c>
      <c r="AF11" s="103">
        <v>1.0503</v>
      </c>
      <c r="AG11" s="103">
        <v>1.0196000000000001</v>
      </c>
      <c r="AH11" s="102">
        <v>0.33900000000000002</v>
      </c>
      <c r="AI11" s="102">
        <v>0.12444</v>
      </c>
      <c r="AJ11" s="103">
        <v>0.92737999999999998</v>
      </c>
      <c r="AK11" s="120">
        <v>1019</v>
      </c>
      <c r="AL11" s="121"/>
      <c r="AM11" s="122">
        <v>145</v>
      </c>
      <c r="AN11" s="123">
        <v>0.15957814039999996</v>
      </c>
      <c r="AO11" s="90">
        <v>-1.8E-3</v>
      </c>
      <c r="AP11" s="90">
        <v>0</v>
      </c>
      <c r="AQ11" s="114">
        <v>4.7800000000000002E-2</v>
      </c>
      <c r="AR11" s="115">
        <v>3.5400000000000001E-2</v>
      </c>
      <c r="AS11" s="91">
        <v>0.85873931700000006</v>
      </c>
      <c r="AT11" s="91">
        <v>0.57629843000000003</v>
      </c>
      <c r="AU11" s="102" t="s">
        <v>284</v>
      </c>
      <c r="AV11" s="113" t="s">
        <v>284</v>
      </c>
      <c r="AW11" s="102"/>
      <c r="AX11" s="95" t="s">
        <v>284</v>
      </c>
      <c r="AY11" s="95">
        <v>3.6617300000000002E-3</v>
      </c>
      <c r="AZ11" s="109">
        <v>1.5144319999999999E-2</v>
      </c>
      <c r="BA11" s="110" t="s">
        <v>284</v>
      </c>
    </row>
    <row r="12" spans="1:53" x14ac:dyDescent="0.25">
      <c r="B12" s="135"/>
      <c r="C12" s="114">
        <v>1</v>
      </c>
      <c r="D12" s="114" t="s">
        <v>288</v>
      </c>
      <c r="E12" s="114">
        <v>28</v>
      </c>
      <c r="F12" s="114">
        <v>146</v>
      </c>
      <c r="G12" s="136" t="s">
        <v>289</v>
      </c>
      <c r="H12" s="136">
        <v>0</v>
      </c>
      <c r="I12" s="136">
        <v>0</v>
      </c>
      <c r="J12" s="136">
        <v>0</v>
      </c>
      <c r="K12" s="137" t="s">
        <v>290</v>
      </c>
      <c r="L12" s="136"/>
      <c r="M12" s="122">
        <v>146</v>
      </c>
      <c r="N12" s="108">
        <v>0.1</v>
      </c>
      <c r="O12" s="102">
        <v>1.76</v>
      </c>
      <c r="P12" s="136">
        <v>27</v>
      </c>
      <c r="Q12" s="138">
        <f t="shared" si="0"/>
        <v>1004.1322314049585</v>
      </c>
      <c r="R12" s="139"/>
      <c r="S12" s="92">
        <v>9.5469999999999999E-2</v>
      </c>
      <c r="T12" s="93">
        <v>1.4892000000000001</v>
      </c>
      <c r="U12" s="93">
        <v>1.4121999999999999</v>
      </c>
      <c r="V12" s="93">
        <v>1.7808999999999999</v>
      </c>
      <c r="W12" s="93">
        <v>1.5762</v>
      </c>
      <c r="X12" s="91">
        <v>0.53500000000000003</v>
      </c>
      <c r="Y12" s="91">
        <v>0.20898</v>
      </c>
      <c r="Z12" s="94">
        <v>1.4586000000000001</v>
      </c>
      <c r="AA12" s="103"/>
      <c r="AB12" s="103"/>
      <c r="AC12" s="102">
        <v>0.10083</v>
      </c>
      <c r="AD12" s="103">
        <v>1.5147999999999999</v>
      </c>
      <c r="AE12" s="103">
        <v>1.4361999999999999</v>
      </c>
      <c r="AF12" s="103">
        <v>1.7808999999999999</v>
      </c>
      <c r="AG12" s="103">
        <v>1.599</v>
      </c>
      <c r="AH12" s="102">
        <v>0.433</v>
      </c>
      <c r="AI12" s="102">
        <v>0.2132</v>
      </c>
      <c r="AJ12" s="103">
        <v>1.4932000000000003</v>
      </c>
      <c r="AK12" s="120">
        <v>1138</v>
      </c>
      <c r="AL12" s="121"/>
      <c r="AM12" s="122">
        <v>146</v>
      </c>
      <c r="AN12" s="123">
        <v>0.29206580319999997</v>
      </c>
      <c r="AO12" s="90">
        <v>5.74E-2</v>
      </c>
      <c r="AP12" s="90">
        <v>0.11070000000000001</v>
      </c>
      <c r="AQ12" s="114">
        <v>1.4388000000000001</v>
      </c>
      <c r="AR12" s="115">
        <v>1.0522</v>
      </c>
      <c r="AS12" s="91">
        <v>0.60987811838999995</v>
      </c>
      <c r="AT12" s="91">
        <v>1.1632604879999999</v>
      </c>
      <c r="AU12" s="102">
        <v>1.5689843880000001</v>
      </c>
      <c r="AV12" s="113" t="s">
        <v>284</v>
      </c>
      <c r="AW12" s="102"/>
      <c r="AX12" s="95">
        <v>1.2757020000000001E-2</v>
      </c>
      <c r="AY12" s="95">
        <v>1.8529530000000002E-2</v>
      </c>
      <c r="AZ12" s="109">
        <v>2.764581E-2</v>
      </c>
      <c r="BA12" s="110">
        <v>3.8681300000000002E-2</v>
      </c>
    </row>
    <row r="13" spans="1:53" x14ac:dyDescent="0.25">
      <c r="B13" s="135"/>
      <c r="C13" s="114">
        <v>1</v>
      </c>
      <c r="D13" s="114" t="s">
        <v>291</v>
      </c>
      <c r="E13" s="114">
        <v>20</v>
      </c>
      <c r="F13" s="114">
        <v>147</v>
      </c>
      <c r="G13" s="136" t="s">
        <v>292</v>
      </c>
      <c r="H13" s="136">
        <v>0</v>
      </c>
      <c r="I13" s="136">
        <v>0</v>
      </c>
      <c r="J13" s="136">
        <v>0</v>
      </c>
      <c r="K13" s="137" t="s">
        <v>293</v>
      </c>
      <c r="L13" s="136"/>
      <c r="M13" s="122">
        <v>147</v>
      </c>
      <c r="N13" s="108">
        <v>0.1</v>
      </c>
      <c r="O13" s="102">
        <v>1.2430000000000001</v>
      </c>
      <c r="P13" s="136">
        <v>19</v>
      </c>
      <c r="Q13" s="138">
        <f t="shared" si="0"/>
        <v>1000.5119578731806</v>
      </c>
      <c r="R13" s="139"/>
      <c r="S13" s="92">
        <v>9.5043000000000002E-2</v>
      </c>
      <c r="T13" s="93">
        <v>1.0973999999999999</v>
      </c>
      <c r="U13" s="93">
        <v>1.0609</v>
      </c>
      <c r="V13" s="93">
        <v>1.2047000000000001</v>
      </c>
      <c r="W13" s="93">
        <v>1.1451</v>
      </c>
      <c r="X13" s="91">
        <v>0.308</v>
      </c>
      <c r="Y13" s="91">
        <v>0.19595999999999997</v>
      </c>
      <c r="Z13" s="94">
        <v>1.0746</v>
      </c>
      <c r="AA13" s="103"/>
      <c r="AB13" s="103"/>
      <c r="AC13" s="102">
        <v>9.2355999999999994E-2</v>
      </c>
      <c r="AD13" s="103">
        <v>1.1103000000000001</v>
      </c>
      <c r="AE13" s="103">
        <v>1.0692999999999999</v>
      </c>
      <c r="AF13" s="103">
        <v>1.28</v>
      </c>
      <c r="AG13" s="103">
        <v>1.1638999999999999</v>
      </c>
      <c r="AH13" s="102">
        <v>0.30599999999999999</v>
      </c>
      <c r="AI13" s="102">
        <v>0.18248</v>
      </c>
      <c r="AJ13" s="103">
        <v>1.0939999999999999</v>
      </c>
      <c r="AK13" s="120">
        <v>1077</v>
      </c>
      <c r="AL13" s="121"/>
      <c r="AM13" s="122">
        <v>147</v>
      </c>
      <c r="AN13" s="123">
        <v>0.23035920779999997</v>
      </c>
      <c r="AO13" s="90">
        <v>5.7999999999999996E-3</v>
      </c>
      <c r="AP13" s="90">
        <v>2.4799999999999999E-2</v>
      </c>
      <c r="AQ13" s="114">
        <v>0.60389999999999999</v>
      </c>
      <c r="AR13" s="115">
        <v>0.61990000000000001</v>
      </c>
      <c r="AS13" s="90">
        <v>0.21881028660000004</v>
      </c>
      <c r="AT13" s="90">
        <v>0.88871520399999993</v>
      </c>
      <c r="AU13" s="114">
        <v>1.4987133960000001</v>
      </c>
      <c r="AV13" s="115" t="s">
        <v>284</v>
      </c>
      <c r="AW13" s="127"/>
      <c r="AX13" s="95">
        <v>6.2780900000000001E-3</v>
      </c>
      <c r="AY13" s="95">
        <v>1.074716E-2</v>
      </c>
      <c r="AZ13" s="109">
        <v>1.9064029999999999E-2</v>
      </c>
      <c r="BA13" s="110">
        <v>2.6729200000000002E-2</v>
      </c>
    </row>
    <row r="14" spans="1:53" x14ac:dyDescent="0.25">
      <c r="B14" s="135"/>
      <c r="C14" s="114">
        <v>1</v>
      </c>
      <c r="D14" s="114" t="s">
        <v>294</v>
      </c>
      <c r="E14" s="114">
        <v>34</v>
      </c>
      <c r="F14" s="114">
        <v>148</v>
      </c>
      <c r="G14" s="136" t="s">
        <v>295</v>
      </c>
      <c r="H14" s="136">
        <v>0</v>
      </c>
      <c r="I14" s="136">
        <v>0</v>
      </c>
      <c r="J14" s="136">
        <v>0</v>
      </c>
      <c r="K14" s="137" t="s">
        <v>296</v>
      </c>
      <c r="L14" s="136"/>
      <c r="M14" s="122">
        <v>148</v>
      </c>
      <c r="N14" s="108">
        <v>0.15</v>
      </c>
      <c r="O14" s="102">
        <v>2.1560000000000001</v>
      </c>
      <c r="P14" s="136">
        <v>33</v>
      </c>
      <c r="Q14" s="138">
        <f t="shared" si="0"/>
        <v>1001.855287569573</v>
      </c>
      <c r="R14" s="139"/>
      <c r="S14" s="92">
        <v>0.14033000000000001</v>
      </c>
      <c r="T14" s="93">
        <v>1.7255</v>
      </c>
      <c r="U14" s="93">
        <v>1.6093999999999999</v>
      </c>
      <c r="V14" s="93">
        <v>2.1558000000000002</v>
      </c>
      <c r="W14" s="93">
        <v>1.8722000000000001</v>
      </c>
      <c r="X14" s="91">
        <v>0.56799999999999995</v>
      </c>
      <c r="Y14" s="91">
        <v>0.29409999999999997</v>
      </c>
      <c r="Z14" s="94">
        <v>1.6847999999999999</v>
      </c>
      <c r="AA14" s="103"/>
      <c r="AB14" s="103"/>
      <c r="AC14" s="102">
        <v>0.14802999999999999</v>
      </c>
      <c r="AD14" s="103">
        <v>1.7492000000000001</v>
      </c>
      <c r="AE14" s="103">
        <v>1.6335</v>
      </c>
      <c r="AF14" s="103">
        <v>2.1558000000000002</v>
      </c>
      <c r="AG14" s="103">
        <v>1.8882000000000001</v>
      </c>
      <c r="AH14" s="102">
        <v>0.39800000000000002</v>
      </c>
      <c r="AI14" s="102">
        <v>0.30892000000000003</v>
      </c>
      <c r="AJ14" s="103">
        <v>1.7223999999999999</v>
      </c>
      <c r="AK14" s="120">
        <v>1230</v>
      </c>
      <c r="AL14" s="121"/>
      <c r="AM14" s="122">
        <v>148</v>
      </c>
      <c r="AN14" s="123">
        <v>0.43725735519999998</v>
      </c>
      <c r="AO14" s="90">
        <v>0.63619999999999999</v>
      </c>
      <c r="AP14" s="90">
        <v>1.5236000000000001</v>
      </c>
      <c r="AQ14" s="114">
        <v>4.3907999999999996</v>
      </c>
      <c r="AR14" s="115">
        <v>3.4169</v>
      </c>
      <c r="AS14" s="91">
        <v>1.1964805485000001</v>
      </c>
      <c r="AT14" s="91">
        <v>1.527747532</v>
      </c>
      <c r="AU14" s="102">
        <v>2.0537400880000001</v>
      </c>
      <c r="AV14" s="113" t="s">
        <v>284</v>
      </c>
      <c r="AW14" s="102"/>
      <c r="AX14" s="95">
        <v>2.8229499999999998E-2</v>
      </c>
      <c r="AY14" s="95">
        <v>4.6185500000000004E-2</v>
      </c>
      <c r="AZ14" s="109">
        <v>5.1653199999999996E-2</v>
      </c>
      <c r="BA14" s="110">
        <v>6.7078100000000002E-2</v>
      </c>
    </row>
    <row r="15" spans="1:53" x14ac:dyDescent="0.25">
      <c r="B15" s="140"/>
      <c r="C15" s="118">
        <v>1</v>
      </c>
      <c r="D15" s="118" t="s">
        <v>297</v>
      </c>
      <c r="E15" s="118">
        <v>25</v>
      </c>
      <c r="F15" s="118">
        <v>149</v>
      </c>
      <c r="G15" s="141" t="s">
        <v>298</v>
      </c>
      <c r="H15" s="141">
        <v>0</v>
      </c>
      <c r="I15" s="141">
        <v>0</v>
      </c>
      <c r="J15" s="141">
        <v>0</v>
      </c>
      <c r="K15" s="142" t="s">
        <v>299</v>
      </c>
      <c r="L15" s="136"/>
      <c r="M15" s="125">
        <v>149</v>
      </c>
      <c r="N15" s="143">
        <v>0.15</v>
      </c>
      <c r="O15" s="116">
        <v>1.5289999999999999</v>
      </c>
      <c r="P15" s="141">
        <v>24</v>
      </c>
      <c r="Q15" s="144">
        <f t="shared" si="0"/>
        <v>1027.4094773767761</v>
      </c>
      <c r="R15" s="145"/>
      <c r="S15" s="99">
        <v>0.14118</v>
      </c>
      <c r="T15" s="97">
        <v>1.3282</v>
      </c>
      <c r="U15" s="97">
        <v>1.2674000000000001</v>
      </c>
      <c r="V15" s="97">
        <v>1.5169999999999999</v>
      </c>
      <c r="W15" s="97">
        <v>1.4148000000000001</v>
      </c>
      <c r="X15" s="98">
        <v>0.32200000000000001</v>
      </c>
      <c r="Y15" s="98">
        <v>0.27951999999999999</v>
      </c>
      <c r="Z15" s="100">
        <v>1.3008</v>
      </c>
      <c r="AA15" s="108"/>
      <c r="AB15" s="108"/>
      <c r="AC15" s="104">
        <v>0.14541999999999999</v>
      </c>
      <c r="AD15" s="105">
        <v>1.3624000000000001</v>
      </c>
      <c r="AE15" s="105">
        <v>1.3032999999999999</v>
      </c>
      <c r="AF15" s="105">
        <v>1.5169999999999999</v>
      </c>
      <c r="AG15" s="105">
        <v>1.4383999999999999</v>
      </c>
      <c r="AH15" s="106">
        <v>0.27500000000000002</v>
      </c>
      <c r="AI15" s="104">
        <v>0.28033999999999998</v>
      </c>
      <c r="AJ15" s="107">
        <v>1.3408000000000002</v>
      </c>
      <c r="AK15" s="124">
        <f>[1]parameter!$C$9</f>
        <v>1108</v>
      </c>
      <c r="AL15" s="121"/>
      <c r="AM15" s="125">
        <v>149</v>
      </c>
      <c r="AN15" s="126">
        <v>0.36103179040000005</v>
      </c>
      <c r="AO15" s="96">
        <v>0.1696</v>
      </c>
      <c r="AP15" s="96">
        <v>0.36919999999999997</v>
      </c>
      <c r="AQ15" s="118">
        <v>2.9798</v>
      </c>
      <c r="AR15" s="119">
        <v>2.5996999999999999</v>
      </c>
      <c r="AS15" s="98">
        <v>0.93873044579999998</v>
      </c>
      <c r="AT15" s="98">
        <v>1.3336700780000001</v>
      </c>
      <c r="AU15" s="116">
        <v>1.9928356840000001</v>
      </c>
      <c r="AV15" s="117" t="s">
        <v>284</v>
      </c>
      <c r="AW15" s="116"/>
      <c r="AX15" s="101">
        <v>1.6756429999999999E-2</v>
      </c>
      <c r="AY15" s="101">
        <v>2.65588E-2</v>
      </c>
      <c r="AZ15" s="111">
        <v>3.5558699999999999E-2</v>
      </c>
      <c r="BA15" s="112">
        <v>4.84196E-2</v>
      </c>
    </row>
    <row r="16" spans="1:53" x14ac:dyDescent="0.25">
      <c r="B16" s="114"/>
      <c r="C16" s="114"/>
      <c r="D16" s="114"/>
      <c r="E16" s="114"/>
      <c r="F16" s="114"/>
      <c r="G16" s="136"/>
      <c r="H16" s="136"/>
      <c r="I16" s="136"/>
      <c r="J16" s="136"/>
      <c r="K16" s="136"/>
      <c r="L16" s="136"/>
      <c r="M16" s="114"/>
      <c r="N16" s="108"/>
      <c r="O16" s="129"/>
      <c r="P16" s="136"/>
      <c r="Q16" s="139"/>
      <c r="R16" s="139"/>
      <c r="S16" s="129"/>
      <c r="T16" s="108"/>
      <c r="U16" s="108"/>
      <c r="V16" s="108"/>
      <c r="W16" s="108"/>
      <c r="X16" s="129"/>
      <c r="Y16" s="129"/>
      <c r="Z16" s="108"/>
      <c r="AA16" s="108"/>
      <c r="AB16" s="108"/>
      <c r="AC16" s="129"/>
      <c r="AD16" s="103"/>
      <c r="AE16" s="103"/>
      <c r="AF16" s="103"/>
      <c r="AG16" s="103"/>
      <c r="AH16" s="102"/>
      <c r="AI16" s="129"/>
      <c r="AJ16" s="108"/>
      <c r="AK16" s="121"/>
      <c r="AL16" s="121"/>
      <c r="AM16" s="114"/>
      <c r="AN16" s="129"/>
      <c r="AO16" s="114"/>
      <c r="AP16" s="114"/>
      <c r="AQ16" s="114"/>
      <c r="AR16" s="114"/>
      <c r="AS16" s="129"/>
      <c r="AT16" s="129"/>
      <c r="AU16" s="129"/>
      <c r="AV16" s="129"/>
      <c r="AW16" s="129"/>
      <c r="AX16" s="131"/>
      <c r="AY16" s="131"/>
      <c r="AZ16" s="131"/>
      <c r="BA16" s="131"/>
    </row>
    <row r="17" spans="1:60" x14ac:dyDescent="0.25">
      <c r="B17" s="114"/>
      <c r="C17" s="114"/>
      <c r="D17" s="114"/>
      <c r="E17" s="114"/>
      <c r="F17" s="114"/>
      <c r="G17" s="136"/>
      <c r="H17" s="136"/>
      <c r="I17" s="136"/>
      <c r="J17" s="136"/>
      <c r="K17" s="136"/>
      <c r="L17" s="136"/>
      <c r="M17" s="114"/>
      <c r="N17" s="108"/>
      <c r="O17" s="129"/>
      <c r="P17" s="136"/>
      <c r="Q17" s="139"/>
      <c r="R17" s="139"/>
      <c r="S17" s="129"/>
      <c r="T17" s="108"/>
      <c r="U17" s="108"/>
      <c r="V17" s="108"/>
      <c r="W17" s="108"/>
      <c r="X17" s="129"/>
      <c r="Y17" s="129"/>
      <c r="Z17" s="108"/>
      <c r="AA17" s="108"/>
      <c r="AB17" s="108"/>
      <c r="AC17" s="129"/>
      <c r="AD17" s="103"/>
      <c r="AE17" s="103"/>
      <c r="AF17" s="103"/>
      <c r="AG17" s="103"/>
      <c r="AH17" s="102"/>
      <c r="AI17" s="129"/>
      <c r="AJ17" s="108"/>
      <c r="AK17" s="121"/>
      <c r="AL17" s="121"/>
      <c r="AM17" s="114"/>
      <c r="AN17" s="129"/>
      <c r="AO17" s="114"/>
      <c r="AP17" s="114"/>
      <c r="AQ17" s="114"/>
      <c r="AR17" s="114"/>
      <c r="AS17" t="s">
        <v>317</v>
      </c>
      <c r="AX17" t="s">
        <v>110</v>
      </c>
      <c r="AY17" s="130"/>
      <c r="AZ17" s="131"/>
      <c r="BA17" s="131"/>
    </row>
    <row r="18" spans="1:60" x14ac:dyDescent="0.25">
      <c r="B18" s="114"/>
      <c r="C18" s="114"/>
      <c r="D18" s="114"/>
      <c r="E18" s="114"/>
      <c r="F18" s="114"/>
      <c r="G18" s="136"/>
      <c r="H18" s="136"/>
      <c r="I18" s="136"/>
      <c r="J18" s="136"/>
      <c r="K18" s="136"/>
      <c r="L18" s="136"/>
      <c r="M18" s="114"/>
      <c r="N18" s="108"/>
      <c r="O18" s="129"/>
      <c r="P18" s="136"/>
      <c r="Q18" s="139"/>
      <c r="R18" s="139"/>
      <c r="S18" s="129"/>
      <c r="T18" s="108"/>
      <c r="U18" s="108"/>
      <c r="V18" s="108"/>
      <c r="W18" s="108"/>
      <c r="X18" s="129"/>
      <c r="Y18" s="129"/>
      <c r="Z18" s="108"/>
      <c r="AA18" s="108"/>
      <c r="AB18" s="108"/>
      <c r="AC18" s="129"/>
      <c r="AD18" s="103"/>
      <c r="AE18" s="103"/>
      <c r="AF18" s="103"/>
      <c r="AG18" s="103"/>
      <c r="AH18" s="102"/>
      <c r="AI18" s="129"/>
      <c r="AJ18" s="108"/>
      <c r="AK18" s="121"/>
      <c r="AL18" s="121"/>
      <c r="AM18" s="114"/>
      <c r="AN18" s="129"/>
      <c r="AO18" s="114"/>
      <c r="AP18" s="114"/>
      <c r="AQ18" s="114"/>
      <c r="AR18" s="114"/>
      <c r="AS18" s="224">
        <v>1</v>
      </c>
      <c r="AT18" s="224">
        <v>2</v>
      </c>
      <c r="AU18" s="139">
        <v>3</v>
      </c>
      <c r="AV18" s="139">
        <v>4</v>
      </c>
      <c r="AW18" s="139"/>
      <c r="AX18" s="224">
        <v>5</v>
      </c>
      <c r="AY18" s="224">
        <v>6</v>
      </c>
      <c r="AZ18" s="139">
        <v>7</v>
      </c>
      <c r="BA18" s="139">
        <v>8</v>
      </c>
    </row>
    <row r="19" spans="1:60" x14ac:dyDescent="0.25">
      <c r="B19" s="114"/>
      <c r="C19" s="114"/>
      <c r="D19" s="114"/>
      <c r="E19" s="114"/>
      <c r="F19" s="114"/>
      <c r="G19" s="136"/>
      <c r="H19" s="136"/>
      <c r="I19" s="136"/>
      <c r="J19" s="136"/>
      <c r="K19" s="136"/>
      <c r="L19" s="136"/>
      <c r="M19" s="114"/>
      <c r="N19" s="108"/>
      <c r="O19" s="129"/>
      <c r="P19" s="136"/>
      <c r="Q19" s="139"/>
      <c r="R19" s="139"/>
      <c r="S19" s="129"/>
      <c r="T19" s="108"/>
      <c r="U19" s="108"/>
      <c r="V19" s="108"/>
      <c r="W19" s="108"/>
      <c r="X19" s="129"/>
      <c r="Y19" s="129"/>
      <c r="Z19" s="108"/>
      <c r="AA19" s="108"/>
      <c r="AB19" s="108"/>
      <c r="AC19" s="129"/>
      <c r="AD19" s="103"/>
      <c r="AE19" s="103"/>
      <c r="AF19" s="103"/>
      <c r="AG19" s="103"/>
      <c r="AH19" s="102"/>
      <c r="AI19" s="129"/>
      <c r="AJ19" s="108"/>
      <c r="AK19" s="121"/>
      <c r="AL19" s="121"/>
      <c r="AM19" s="114"/>
      <c r="AN19" s="129"/>
      <c r="AO19" s="114"/>
      <c r="AP19" s="114"/>
      <c r="AQ19" s="114"/>
      <c r="AR19" s="114"/>
      <c r="AS19" s="128" t="e">
        <f>AS10/SQRT(9.81*S10)</f>
        <v>#VALUE!</v>
      </c>
      <c r="AT19" s="128">
        <f>AT10/SQRT(9.81*S10)</f>
        <v>0.9872855966113121</v>
      </c>
      <c r="AU19" s="129">
        <f>AU10/SQRT(9.81*AC10)</f>
        <v>1.5515778747315618</v>
      </c>
      <c r="AV19" s="129"/>
      <c r="AW19" s="129"/>
      <c r="AX19" s="128" t="e">
        <f>AX10/S10</f>
        <v>#VALUE!</v>
      </c>
      <c r="AY19" s="128" t="e">
        <f>AY10/S10</f>
        <v>#VALUE!</v>
      </c>
      <c r="AZ19" s="129">
        <f>AZ10/AC10</f>
        <v>0.23954422306259526</v>
      </c>
      <c r="BA19" s="129">
        <f>BA10/AC10</f>
        <v>0.37088389682226114</v>
      </c>
    </row>
    <row r="20" spans="1:60" x14ac:dyDescent="0.25">
      <c r="B20" s="114"/>
      <c r="C20" s="114"/>
      <c r="D20" s="114"/>
      <c r="E20" s="114"/>
      <c r="F20" s="114"/>
      <c r="G20" s="136"/>
      <c r="H20" s="136"/>
      <c r="I20" s="136"/>
      <c r="J20" s="136"/>
      <c r="K20" s="136"/>
      <c r="L20" s="136"/>
      <c r="M20" s="114"/>
      <c r="N20" s="108"/>
      <c r="O20" s="129"/>
      <c r="P20" s="136"/>
      <c r="Q20" s="139"/>
      <c r="R20" s="139"/>
      <c r="S20" s="129"/>
      <c r="T20" s="108"/>
      <c r="U20" s="108"/>
      <c r="V20" s="108"/>
      <c r="W20" s="108"/>
      <c r="X20" s="129"/>
      <c r="Y20" s="129"/>
      <c r="Z20" s="108"/>
      <c r="AA20" s="108"/>
      <c r="AB20" s="108"/>
      <c r="AC20" s="129"/>
      <c r="AD20" s="103"/>
      <c r="AE20" s="103"/>
      <c r="AF20" s="103"/>
      <c r="AG20" s="103"/>
      <c r="AH20" s="102"/>
      <c r="AI20" s="129"/>
      <c r="AJ20" s="108"/>
      <c r="AK20" s="121"/>
      <c r="AL20" s="121"/>
      <c r="AM20" s="114"/>
      <c r="AN20" s="129"/>
      <c r="AO20" s="114"/>
      <c r="AP20" s="114"/>
      <c r="AQ20" s="114"/>
      <c r="AR20" s="114"/>
      <c r="AS20" s="128">
        <f t="shared" ref="AS20:AS24" si="1">AS11/SQRT(9.81*S11)</f>
        <v>1.0713778519661183</v>
      </c>
      <c r="AT20" s="128">
        <f t="shared" ref="AT20:AT24" si="2">AT11/SQRT(9.81*S11)</f>
        <v>0.71899977304153928</v>
      </c>
      <c r="AU20" s="129" t="e">
        <f t="shared" ref="AU20:AU24" si="3">AU11/SQRT(9.81*AC11)</f>
        <v>#VALUE!</v>
      </c>
      <c r="AV20" s="129"/>
      <c r="AW20" s="129"/>
      <c r="AX20" s="128" t="e">
        <f t="shared" ref="AX20:AX24" si="4">AX11/S11</f>
        <v>#VALUE!</v>
      </c>
      <c r="AY20" s="128">
        <f t="shared" ref="AY20:AY24" si="5">AY11/S11</f>
        <v>5.5913664890286915E-2</v>
      </c>
      <c r="AZ20" s="129">
        <f t="shared" ref="AZ20:AZ24" si="6">AZ11/AC11</f>
        <v>0.25513528083830317</v>
      </c>
      <c r="BA20" s="129" t="e">
        <f t="shared" ref="BA20:BA24" si="7">BA11/AC11</f>
        <v>#VALUE!</v>
      </c>
    </row>
    <row r="21" spans="1:60" x14ac:dyDescent="0.25">
      <c r="B21" s="114"/>
      <c r="C21" s="114"/>
      <c r="D21" s="114"/>
      <c r="E21" s="114"/>
      <c r="F21" s="114"/>
      <c r="G21" s="136"/>
      <c r="H21" s="136"/>
      <c r="I21" s="136"/>
      <c r="J21" s="136"/>
      <c r="K21" s="136"/>
      <c r="L21" s="136"/>
      <c r="M21" s="114"/>
      <c r="N21" s="108"/>
      <c r="O21" s="129"/>
      <c r="P21" s="136"/>
      <c r="Q21" s="139"/>
      <c r="R21" s="139"/>
      <c r="S21" s="129"/>
      <c r="T21" s="108"/>
      <c r="U21" s="108"/>
      <c r="V21" s="108"/>
      <c r="W21" s="108"/>
      <c r="X21" s="129"/>
      <c r="Y21" s="129"/>
      <c r="Z21" s="108"/>
      <c r="AA21" s="108"/>
      <c r="AB21" s="108"/>
      <c r="AC21" s="129"/>
      <c r="AD21" s="103"/>
      <c r="AE21" s="103"/>
      <c r="AF21" s="103"/>
      <c r="AG21" s="103"/>
      <c r="AH21" s="102"/>
      <c r="AI21" s="129"/>
      <c r="AJ21" s="108"/>
      <c r="AK21" s="121"/>
      <c r="AL21" s="121"/>
      <c r="AM21" s="114"/>
      <c r="AN21" s="129"/>
      <c r="AO21" s="114"/>
      <c r="AP21" s="114"/>
      <c r="AQ21" s="114"/>
      <c r="AR21" s="114"/>
      <c r="AS21" s="128">
        <f t="shared" si="1"/>
        <v>0.63019519389870082</v>
      </c>
      <c r="AT21" s="128">
        <f t="shared" si="2"/>
        <v>1.2020125770786754</v>
      </c>
      <c r="AU21" s="129">
        <f t="shared" si="3"/>
        <v>1.5775721651472325</v>
      </c>
      <c r="AV21" s="129"/>
      <c r="AW21" s="129"/>
      <c r="AX21" s="128">
        <f t="shared" si="4"/>
        <v>0.13362333717398137</v>
      </c>
      <c r="AY21" s="128">
        <f t="shared" si="5"/>
        <v>0.19408746202995708</v>
      </c>
      <c r="AZ21" s="129">
        <f t="shared" si="6"/>
        <v>0.27418238619458496</v>
      </c>
      <c r="BA21" s="129">
        <f t="shared" si="7"/>
        <v>0.38362888029356346</v>
      </c>
    </row>
    <row r="22" spans="1:60" x14ac:dyDescent="0.25">
      <c r="B22" s="114"/>
      <c r="C22" s="114"/>
      <c r="D22" s="114"/>
      <c r="E22" s="114"/>
      <c r="F22" s="114"/>
      <c r="G22" s="136"/>
      <c r="H22" s="136"/>
      <c r="I22" s="136"/>
      <c r="J22" s="136"/>
      <c r="K22" s="136"/>
      <c r="L22" s="136"/>
      <c r="M22" s="114"/>
      <c r="N22" s="108"/>
      <c r="O22" s="129"/>
      <c r="P22" s="136"/>
      <c r="Q22" s="139"/>
      <c r="R22" s="139"/>
      <c r="S22" s="129"/>
      <c r="T22" s="108"/>
      <c r="U22" s="108"/>
      <c r="V22" s="108"/>
      <c r="W22" s="108"/>
      <c r="X22" s="129"/>
      <c r="Y22" s="129"/>
      <c r="Z22" s="108"/>
      <c r="AA22" s="108"/>
      <c r="AB22" s="108"/>
      <c r="AC22" s="129"/>
      <c r="AD22" s="103"/>
      <c r="AE22" s="103"/>
      <c r="AF22" s="103"/>
      <c r="AG22" s="103"/>
      <c r="AH22" s="102"/>
      <c r="AI22" s="129"/>
      <c r="AJ22" s="108"/>
      <c r="AK22" s="121"/>
      <c r="AL22" s="121"/>
      <c r="AM22" s="114"/>
      <c r="AN22" s="129"/>
      <c r="AO22" s="114"/>
      <c r="AP22" s="114"/>
      <c r="AQ22" s="114"/>
      <c r="AR22" s="114"/>
      <c r="AS22" s="128">
        <f t="shared" si="1"/>
        <v>0.22660691749569423</v>
      </c>
      <c r="AT22" s="128">
        <f t="shared" si="2"/>
        <v>0.9203818341417821</v>
      </c>
      <c r="AU22" s="129">
        <f t="shared" si="3"/>
        <v>1.5745321324204207</v>
      </c>
      <c r="AV22" s="129"/>
      <c r="AW22" s="129"/>
      <c r="AX22" s="128">
        <f t="shared" si="4"/>
        <v>6.6055259198468066E-2</v>
      </c>
      <c r="AY22" s="128">
        <f t="shared" si="5"/>
        <v>0.11307681786138905</v>
      </c>
      <c r="AZ22" s="129">
        <f t="shared" si="6"/>
        <v>0.20641896574126209</v>
      </c>
      <c r="BA22" s="129">
        <f t="shared" si="7"/>
        <v>0.28941487288319118</v>
      </c>
    </row>
    <row r="23" spans="1:60" x14ac:dyDescent="0.25">
      <c r="B23" s="114"/>
      <c r="C23" s="114"/>
      <c r="D23" s="114"/>
      <c r="E23" s="114"/>
      <c r="F23" s="114"/>
      <c r="G23" s="136"/>
      <c r="H23" s="136"/>
      <c r="I23" s="136"/>
      <c r="J23" s="136"/>
      <c r="K23" s="136"/>
      <c r="L23" s="136"/>
      <c r="M23" s="114"/>
      <c r="N23" s="108"/>
      <c r="O23" s="129"/>
      <c r="P23" s="136"/>
      <c r="Q23" s="139"/>
      <c r="R23" s="139"/>
      <c r="S23" s="129"/>
      <c r="T23" s="108"/>
      <c r="U23" s="108"/>
      <c r="V23" s="108"/>
      <c r="W23" s="108"/>
      <c r="X23" s="129"/>
      <c r="Y23" s="129"/>
      <c r="Z23" s="108"/>
      <c r="AA23" s="108"/>
      <c r="AB23" s="108"/>
      <c r="AC23" s="129"/>
      <c r="AD23" s="103"/>
      <c r="AE23" s="103"/>
      <c r="AF23" s="103"/>
      <c r="AG23" s="103"/>
      <c r="AH23" s="102"/>
      <c r="AI23" s="129"/>
      <c r="AJ23" s="108"/>
      <c r="AK23" s="121"/>
      <c r="AL23" s="121"/>
      <c r="AM23" s="114"/>
      <c r="AN23" s="129"/>
      <c r="AO23" s="114"/>
      <c r="AP23" s="114"/>
      <c r="AQ23" s="114"/>
      <c r="AR23" s="114"/>
      <c r="AS23" s="128">
        <f t="shared" si="1"/>
        <v>1.0197550771846704</v>
      </c>
      <c r="AT23" s="128">
        <f t="shared" si="2"/>
        <v>1.3020924613998015</v>
      </c>
      <c r="AU23" s="129">
        <f t="shared" si="3"/>
        <v>1.7042610053037079</v>
      </c>
      <c r="AV23" s="129"/>
      <c r="AW23" s="129"/>
      <c r="AX23" s="128">
        <f t="shared" si="4"/>
        <v>0.201165110810233</v>
      </c>
      <c r="AY23" s="128">
        <f t="shared" si="5"/>
        <v>0.32912064419582415</v>
      </c>
      <c r="AZ23" s="129">
        <f t="shared" si="6"/>
        <v>0.34893737755860299</v>
      </c>
      <c r="BA23" s="129">
        <f t="shared" si="7"/>
        <v>0.45313855299601435</v>
      </c>
    </row>
    <row r="24" spans="1:60" x14ac:dyDescent="0.25">
      <c r="B24" s="114"/>
      <c r="C24" s="114"/>
      <c r="D24" s="114"/>
      <c r="E24" s="114"/>
      <c r="F24" s="114"/>
      <c r="G24" s="136"/>
      <c r="H24" s="136"/>
      <c r="I24" s="136"/>
      <c r="J24" s="136"/>
      <c r="K24" s="136"/>
      <c r="L24" s="136"/>
      <c r="M24" s="114"/>
      <c r="N24" s="108"/>
      <c r="O24" s="129"/>
      <c r="P24" s="136"/>
      <c r="Q24" s="139"/>
      <c r="R24" s="139"/>
      <c r="S24" s="129"/>
      <c r="T24" s="108"/>
      <c r="U24" s="108"/>
      <c r="V24" s="108"/>
      <c r="W24" s="108"/>
      <c r="X24" s="129"/>
      <c r="Y24" s="129"/>
      <c r="Z24" s="108"/>
      <c r="AA24" s="108"/>
      <c r="AB24" s="108"/>
      <c r="AC24" s="129"/>
      <c r="AD24" s="103"/>
      <c r="AE24" s="103"/>
      <c r="AF24" s="103"/>
      <c r="AG24" s="103"/>
      <c r="AH24" s="102"/>
      <c r="AI24" s="129"/>
      <c r="AJ24" s="108"/>
      <c r="AK24" s="121"/>
      <c r="AL24" s="121"/>
      <c r="AM24" s="114"/>
      <c r="AN24" s="129"/>
      <c r="AO24" s="114"/>
      <c r="AP24" s="114"/>
      <c r="AQ24" s="114"/>
      <c r="AR24" s="114"/>
      <c r="AS24" s="128">
        <f t="shared" si="1"/>
        <v>0.79766366768490216</v>
      </c>
      <c r="AT24" s="128">
        <f t="shared" si="2"/>
        <v>1.1332541419730839</v>
      </c>
      <c r="AU24" s="129">
        <f t="shared" si="3"/>
        <v>1.6684950297977932</v>
      </c>
      <c r="AV24" s="129"/>
      <c r="AW24" s="129"/>
      <c r="AX24" s="128">
        <f t="shared" si="4"/>
        <v>0.11868841195636776</v>
      </c>
      <c r="AY24" s="128">
        <f t="shared" si="5"/>
        <v>0.18812013033007507</v>
      </c>
      <c r="AZ24" s="129">
        <f t="shared" si="6"/>
        <v>0.24452413698253336</v>
      </c>
      <c r="BA24" s="129">
        <f t="shared" si="7"/>
        <v>0.33296382890936599</v>
      </c>
    </row>
    <row r="25" spans="1:60" x14ac:dyDescent="0.25">
      <c r="B25" s="114"/>
      <c r="C25" s="114"/>
      <c r="D25" s="114"/>
      <c r="E25" s="114"/>
      <c r="F25" s="114"/>
      <c r="G25" s="136"/>
      <c r="H25" s="136"/>
      <c r="I25" s="136"/>
      <c r="J25" s="136"/>
      <c r="K25" s="136"/>
      <c r="L25" s="136"/>
      <c r="M25" s="114"/>
      <c r="N25" s="108"/>
      <c r="O25" s="129"/>
      <c r="P25" s="136"/>
      <c r="Q25" s="139"/>
      <c r="R25" s="139"/>
      <c r="S25" s="129"/>
      <c r="T25" s="108"/>
      <c r="U25" s="108"/>
      <c r="V25" s="108"/>
      <c r="W25" s="108"/>
      <c r="X25" s="129"/>
      <c r="Y25" s="129"/>
      <c r="Z25" s="108"/>
      <c r="AA25" s="108"/>
      <c r="AB25" s="108"/>
      <c r="AC25" s="129"/>
      <c r="AD25" s="103"/>
      <c r="AE25" s="103"/>
      <c r="AF25" s="103"/>
      <c r="AG25" s="103"/>
      <c r="AH25" s="102"/>
      <c r="AI25" s="129"/>
      <c r="AJ25" s="108"/>
      <c r="AK25" s="121"/>
      <c r="AL25" s="121"/>
      <c r="AM25" s="114"/>
      <c r="AN25" s="129"/>
      <c r="AO25" s="114"/>
      <c r="AP25" s="114"/>
      <c r="AQ25" s="114"/>
      <c r="AR25" s="114"/>
      <c r="AS25" s="129"/>
      <c r="AT25" s="129"/>
      <c r="AU25" s="129"/>
      <c r="AV25" s="129"/>
      <c r="AW25" s="129"/>
      <c r="AX25" s="131"/>
      <c r="AY25" s="131"/>
      <c r="AZ25" s="131"/>
      <c r="BA25" s="131"/>
    </row>
    <row r="26" spans="1:60" x14ac:dyDescent="0.25"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AC26" s="6"/>
      <c r="AD26" s="6"/>
      <c r="AE26" s="6"/>
      <c r="AF26" s="6"/>
      <c r="AG26" s="6"/>
      <c r="AH26" s="6"/>
      <c r="AI26" s="6"/>
      <c r="AJ26" s="6"/>
    </row>
    <row r="27" spans="1:60" x14ac:dyDescent="0.25"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</row>
    <row r="28" spans="1:60" s="7" customFormat="1" x14ac:dyDescent="0.25">
      <c r="A28" s="7" t="s">
        <v>318</v>
      </c>
      <c r="C28" s="132"/>
      <c r="D28" s="132"/>
      <c r="E28" s="132"/>
      <c r="F28" s="132"/>
      <c r="G28" s="132"/>
      <c r="H28" s="132"/>
      <c r="I28" s="132"/>
      <c r="J28" s="132"/>
      <c r="K28" s="132"/>
      <c r="L28" s="132"/>
      <c r="M28" s="132"/>
      <c r="N28" s="132"/>
      <c r="O28" s="132"/>
      <c r="P28" s="132"/>
      <c r="Q28" s="132"/>
      <c r="R28" s="132"/>
      <c r="S28" s="132"/>
      <c r="T28" s="132"/>
      <c r="U28" s="132"/>
      <c r="V28" s="132"/>
      <c r="W28" s="132"/>
      <c r="X28" s="132"/>
      <c r="Y28" s="132"/>
      <c r="AS28" s="7" t="s">
        <v>314</v>
      </c>
      <c r="AU28" s="7" t="s">
        <v>315</v>
      </c>
      <c r="AX28" s="7" t="s">
        <v>314</v>
      </c>
      <c r="AZ28" s="7" t="s">
        <v>315</v>
      </c>
    </row>
    <row r="29" spans="1:60" x14ac:dyDescent="0.25"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t="s">
        <v>303</v>
      </c>
      <c r="T29" s="8" t="s">
        <v>185</v>
      </c>
      <c r="U29" t="s">
        <v>304</v>
      </c>
      <c r="V29" s="8" t="s">
        <v>206</v>
      </c>
      <c r="W29" t="s">
        <v>27</v>
      </c>
      <c r="X29" s="8" t="s">
        <v>7</v>
      </c>
      <c r="Y29" t="s">
        <v>12</v>
      </c>
      <c r="Z29" s="8" t="s">
        <v>38</v>
      </c>
      <c r="AA29" s="8" t="s">
        <v>306</v>
      </c>
      <c r="AB29" s="8"/>
      <c r="AC29" t="s">
        <v>303</v>
      </c>
      <c r="AD29" s="8" t="s">
        <v>185</v>
      </c>
      <c r="AE29" t="s">
        <v>304</v>
      </c>
      <c r="AF29" s="8" t="s">
        <v>206</v>
      </c>
      <c r="AG29" t="s">
        <v>27</v>
      </c>
      <c r="AH29" s="8" t="s">
        <v>7</v>
      </c>
      <c r="AI29" t="s">
        <v>12</v>
      </c>
      <c r="AJ29" s="8" t="s">
        <v>38</v>
      </c>
      <c r="AK29" s="8" t="s">
        <v>306</v>
      </c>
      <c r="AS29" t="s">
        <v>312</v>
      </c>
      <c r="AT29" t="s">
        <v>313</v>
      </c>
      <c r="AU29" t="s">
        <v>312</v>
      </c>
      <c r="AV29" t="s">
        <v>313</v>
      </c>
      <c r="AX29" t="s">
        <v>308</v>
      </c>
      <c r="AY29" t="s">
        <v>309</v>
      </c>
      <c r="AZ29" t="s">
        <v>308</v>
      </c>
      <c r="BA29" t="s">
        <v>309</v>
      </c>
      <c r="BD29" t="s">
        <v>170</v>
      </c>
      <c r="BF29" t="s">
        <v>219</v>
      </c>
    </row>
    <row r="30" spans="1:60" x14ac:dyDescent="0.25"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 t="s">
        <v>276</v>
      </c>
      <c r="T30" s="8"/>
      <c r="V30" t="s">
        <v>275</v>
      </c>
      <c r="X30" t="s">
        <v>276</v>
      </c>
      <c r="Y30" t="s">
        <v>305</v>
      </c>
      <c r="AA30" t="s">
        <v>307</v>
      </c>
      <c r="AC30" s="8" t="s">
        <v>276</v>
      </c>
      <c r="AD30" s="8"/>
      <c r="AF30" t="s">
        <v>275</v>
      </c>
      <c r="AH30" t="s">
        <v>276</v>
      </c>
      <c r="AI30" t="s">
        <v>305</v>
      </c>
      <c r="AK30" t="s">
        <v>307</v>
      </c>
      <c r="AS30" t="s">
        <v>249</v>
      </c>
      <c r="AT30" t="s">
        <v>249</v>
      </c>
      <c r="AU30" t="s">
        <v>249</v>
      </c>
      <c r="AV30" t="s">
        <v>249</v>
      </c>
      <c r="AX30" t="s">
        <v>275</v>
      </c>
      <c r="AY30" t="s">
        <v>275</v>
      </c>
      <c r="AZ30" t="s">
        <v>275</v>
      </c>
      <c r="BA30" t="s">
        <v>275</v>
      </c>
      <c r="BD30" t="s">
        <v>217</v>
      </c>
      <c r="BE30">
        <v>1.1000000000000001</v>
      </c>
      <c r="BF30" t="s">
        <v>220</v>
      </c>
      <c r="BG30" t="s">
        <v>221</v>
      </c>
      <c r="BH30">
        <v>0.18</v>
      </c>
    </row>
    <row r="31" spans="1:60" x14ac:dyDescent="0.25"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BD31" t="s">
        <v>218</v>
      </c>
      <c r="BE31">
        <v>0.88</v>
      </c>
      <c r="BF31" t="s">
        <v>214</v>
      </c>
      <c r="BG31" t="s">
        <v>221</v>
      </c>
      <c r="BH31">
        <v>1.49</v>
      </c>
    </row>
    <row r="32" spans="1:60" x14ac:dyDescent="0.25"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11">
        <f t="shared" ref="S32:S37" si="8">9.81*(W10^2)/2/PI()</f>
        <v>2.7497704297146526</v>
      </c>
      <c r="T32" s="11">
        <f t="shared" ref="T32:T37" si="9">S10/S32</f>
        <v>2.4844619485958088E-2</v>
      </c>
      <c r="U32" s="1">
        <f>$C$4/SQRT(T32)</f>
        <v>2.1147672224067948</v>
      </c>
      <c r="V32" s="1">
        <f t="shared" ref="V32:V37" si="10">1.65*U32*S10</f>
        <v>0.23838301134972226</v>
      </c>
      <c r="W32" s="1">
        <f>EXP(-((SQRT(-LN(0.02))*$T$5/V32)^2))</f>
        <v>6.3694122233962355E-2</v>
      </c>
      <c r="X32" s="1">
        <f t="shared" ref="X32:X37" si="11">V10/1.15</f>
        <v>1.2720869565217392</v>
      </c>
      <c r="Y32" s="1">
        <f t="shared" ref="Y32:Y37" si="12">0.067*SQRT(9.81*(S10^3)/$C$4)*U32*EXP(-4.75*$T$5/S10/U32)</f>
        <v>1.9133725090643504E-5</v>
      </c>
      <c r="Z32" s="1">
        <f>0.84*X32*Y32/W32</f>
        <v>3.2099351496803869E-4</v>
      </c>
      <c r="AA32">
        <f>Z32*(-LN(0.02/W32))^(4/3)</f>
        <v>3.9049996638649751E-4</v>
      </c>
      <c r="AC32" s="8">
        <f t="shared" ref="AC32" si="13">9.81*(AG10^2)/2/PI()</f>
        <v>2.8429586998156386</v>
      </c>
      <c r="AD32" s="8">
        <f t="shared" ref="AD32:AD37" si="14">AC10/AC32</f>
        <v>2.4927551710334617E-2</v>
      </c>
      <c r="AE32">
        <f>$C$4/SQRT(AD32)</f>
        <v>2.1112464501665347</v>
      </c>
      <c r="AF32">
        <f t="shared" ref="AF32" si="15">1.65*AE32*AC10</f>
        <v>0.24687269216016325</v>
      </c>
      <c r="AG32">
        <f>EXP(-((SQRT(-LN(0.02))*$AD$5/AF32)^2))</f>
        <v>0.52630091763835474</v>
      </c>
      <c r="AH32">
        <f t="shared" ref="AH32:AH37" si="16">AF10/1.15</f>
        <v>1.2720869565217392</v>
      </c>
      <c r="AI32">
        <f t="shared" ref="AI32:AI37" si="17">0.067*SQRT(9.81*(AC10^3)/$C$4)*AE32*EXP(-4.75*$AD$5/AC10/AE32)</f>
        <v>6.0523452901796383E-4</v>
      </c>
      <c r="AJ32">
        <f>0.84*AH32*AI32/AG32</f>
        <v>1.2288125981278855E-3</v>
      </c>
      <c r="AK32">
        <f>AJ32*(-LN(0.02/AG32))^(4/3)</f>
        <v>5.9645031067874455E-3</v>
      </c>
      <c r="AS32" s="11">
        <f t="shared" ref="AS32:AS37" si="18">(EXP($BE$34*$C$5/S32))*(1-$G$4)*AT32</f>
        <v>0.20176609250875907</v>
      </c>
      <c r="AT32" s="11">
        <f t="shared" ref="AT32:AT37" si="19">$BE$31*COS(ATAN($C$4))*SQRT(9.81*AA32/SIN(ATAN($C$4))/S10)</f>
        <v>0.3515479238891015</v>
      </c>
      <c r="AU32" s="8">
        <f t="shared" ref="AU32:AU37" si="20">(EXP($BE$34*$C$5/AC32))*(1-$G$4)*AV32</f>
        <v>0.77927504227029898</v>
      </c>
      <c r="AV32" s="12">
        <f t="shared" ref="AV32:AV37" si="21">$BE$31*COS(ATAN($C$4))*SQRT(9.81*AK32/SIN(ATAN($C$4))/AC10)</f>
        <v>1.3489643638208655</v>
      </c>
      <c r="AW32" s="12"/>
      <c r="AX32" s="11">
        <f t="shared" ref="AX32:AX37" si="22">(EXP($BE$33*$C$5/S32))*(1+$G$3)*AY32</f>
        <v>3.0488263394124024E-3</v>
      </c>
      <c r="AY32" s="11">
        <f t="shared" ref="AY32:AY37" si="23">$BE$30*AA32*SIN(ATAN($C$4))/(V32-$T$5)</f>
        <v>3.5389517503566178E-3</v>
      </c>
      <c r="AZ32" s="12">
        <f t="shared" ref="AZ32:AZ37" si="24">(EXP($BE$33*$C$5/AC32))*(1+$G$3)*BA32</f>
        <v>1.226769280319789E-2</v>
      </c>
      <c r="BA32" s="12">
        <f t="shared" ref="BA32:BA37" si="25">$BE$30*AK32*SIN(ATAN($C$4))/(AF32-$AD$5)</f>
        <v>1.4126217826002471E-2</v>
      </c>
    </row>
    <row r="33" spans="3:57" x14ac:dyDescent="0.25"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11">
        <f t="shared" si="8"/>
        <v>1.5977424734121515</v>
      </c>
      <c r="T33" s="11">
        <f t="shared" si="9"/>
        <v>4.0988457833346058E-2</v>
      </c>
      <c r="U33" s="1">
        <f t="shared" ref="U33:U37" si="26">$C$4/SQRT(T33)</f>
        <v>1.6464477616366402</v>
      </c>
      <c r="V33" s="1">
        <f t="shared" si="10"/>
        <v>0.17790995881200619</v>
      </c>
      <c r="W33" s="1">
        <f t="shared" ref="W33:W37" si="27">EXP(-((SQRT(-LN(0.02))*$T$5/V33)^2))</f>
        <v>7.1274641155404045E-3</v>
      </c>
      <c r="X33" s="1">
        <f t="shared" si="11"/>
        <v>0.91330434782608705</v>
      </c>
      <c r="Y33" s="1">
        <f t="shared" si="12"/>
        <v>1.495751880586005E-6</v>
      </c>
      <c r="Z33" s="1">
        <f t="shared" ref="Z33:Z37" si="28">0.84*X33*Y33/W33</f>
        <v>1.6099757303259627E-4</v>
      </c>
      <c r="AA33" t="e">
        <f t="shared" ref="AA33:AA37" si="29">Z33*(-LN(0.02/W33))^(4/3)</f>
        <v>#NUM!</v>
      </c>
      <c r="AC33" s="8">
        <f>9.81*(AG11^2)/2/PI()</f>
        <v>1.6231131362537918</v>
      </c>
      <c r="AD33" s="8">
        <f t="shared" si="14"/>
        <v>3.65704636812937E-2</v>
      </c>
      <c r="AE33">
        <f t="shared" ref="AE33:AE37" si="30">$C$4/SQRT(AD33)</f>
        <v>1.7430647163586861</v>
      </c>
      <c r="AF33">
        <f>1.65*AE33*AC11</f>
        <v>0.17071697846547115</v>
      </c>
      <c r="AG33">
        <f t="shared" ref="AG33:AG37" si="31">EXP(-((SQRT(-LN(0.02))*$AD$5/AF33)^2))</f>
        <v>0.26124542460108419</v>
      </c>
      <c r="AH33">
        <f t="shared" si="16"/>
        <v>0.91330434782608705</v>
      </c>
      <c r="AI33">
        <f t="shared" si="17"/>
        <v>9.293643317422596E-5</v>
      </c>
      <c r="AJ33">
        <f t="shared" ref="AJ33:AJ37" si="32">0.84*AH33*AI33/AG33</f>
        <v>2.7291796149167162E-4</v>
      </c>
      <c r="AK33">
        <f t="shared" ref="AK33:AK37" si="33">AJ33*(-LN(0.02/AG33))^(4/3)</f>
        <v>9.6061271595116945E-4</v>
      </c>
      <c r="AS33" s="11" t="e">
        <f t="shared" si="18"/>
        <v>#NUM!</v>
      </c>
      <c r="AT33" s="11" t="e">
        <f t="shared" si="19"/>
        <v>#NUM!</v>
      </c>
      <c r="AU33" s="8">
        <f t="shared" si="20"/>
        <v>0.2957865525299464</v>
      </c>
      <c r="AV33" s="12">
        <f t="shared" si="21"/>
        <v>0.59152481235572996</v>
      </c>
      <c r="AW33" s="12"/>
      <c r="AX33" s="11" t="e">
        <f t="shared" si="22"/>
        <v>#NUM!</v>
      </c>
      <c r="AY33" s="11" t="e">
        <f t="shared" si="23"/>
        <v>#NUM!</v>
      </c>
      <c r="AZ33" s="12">
        <f t="shared" si="24"/>
        <v>3.4356091596641565E-3</v>
      </c>
      <c r="BA33" s="12">
        <f t="shared" si="25"/>
        <v>4.7251687181886701E-3</v>
      </c>
      <c r="BD33" t="s">
        <v>223</v>
      </c>
      <c r="BE33">
        <v>-2.2400000000000002</v>
      </c>
    </row>
    <row r="34" spans="3:57" x14ac:dyDescent="0.25">
      <c r="S34" s="11">
        <f t="shared" si="8"/>
        <v>3.8789285982940691</v>
      </c>
      <c r="T34" s="11">
        <f t="shared" si="9"/>
        <v>2.4612466453233287E-2</v>
      </c>
      <c r="U34" s="1">
        <f t="shared" si="26"/>
        <v>2.1247174107128179</v>
      </c>
      <c r="V34" s="1">
        <f t="shared" si="10"/>
        <v>0.33469717248124198</v>
      </c>
      <c r="W34" s="1">
        <f t="shared" si="27"/>
        <v>0.24736897600535351</v>
      </c>
      <c r="X34" s="1">
        <f t="shared" si="11"/>
        <v>1.5486086956521741</v>
      </c>
      <c r="Y34" s="1">
        <f t="shared" si="12"/>
        <v>2.1068015359633393E-4</v>
      </c>
      <c r="Z34" s="1">
        <f t="shared" si="28"/>
        <v>1.1078969700589628E-3</v>
      </c>
      <c r="AA34">
        <f t="shared" si="29"/>
        <v>3.7895206782920694E-3</v>
      </c>
      <c r="AC34" s="8">
        <f>9.81*(AG12^2)/2/PI()</f>
        <v>3.9919589481690743</v>
      </c>
      <c r="AD34" s="8">
        <f t="shared" si="14"/>
        <v>2.5258275776168997E-2</v>
      </c>
      <c r="AE34">
        <f t="shared" si="30"/>
        <v>2.0973789016002797</v>
      </c>
      <c r="AF34">
        <f>1.65*AE34*AC12</f>
        <v>0.34893987916978775</v>
      </c>
      <c r="AG34">
        <f t="shared" si="31"/>
        <v>0.72521131056747512</v>
      </c>
      <c r="AH34">
        <f t="shared" si="16"/>
        <v>1.5486086956521741</v>
      </c>
      <c r="AI34">
        <f t="shared" si="17"/>
        <v>2.5826612775914333E-3</v>
      </c>
      <c r="AJ34">
        <f t="shared" si="32"/>
        <v>4.6325899630398869E-3</v>
      </c>
      <c r="AK34">
        <f t="shared" si="33"/>
        <v>2.5472270503541734E-2</v>
      </c>
      <c r="AS34" s="11">
        <f t="shared" si="18"/>
        <v>0.56333097729113424</v>
      </c>
      <c r="AT34" s="11">
        <f t="shared" si="19"/>
        <v>0.92639693579915083</v>
      </c>
      <c r="AU34" s="8">
        <f t="shared" si="20"/>
        <v>1.4268384642725325</v>
      </c>
      <c r="AV34" s="12">
        <f t="shared" si="21"/>
        <v>2.3371004337123829</v>
      </c>
      <c r="AW34" s="12"/>
      <c r="AX34" s="11">
        <f t="shared" si="22"/>
        <v>9.0525802381941946E-3</v>
      </c>
      <c r="AY34" s="11">
        <f t="shared" si="23"/>
        <v>9.7862991473824466E-3</v>
      </c>
      <c r="AZ34" s="12">
        <f t="shared" si="24"/>
        <v>3.3086445555772274E-2</v>
      </c>
      <c r="BA34" s="12">
        <f t="shared" si="25"/>
        <v>3.5593104431208805E-2</v>
      </c>
      <c r="BD34" t="s">
        <v>224</v>
      </c>
      <c r="BE34">
        <v>-1.82</v>
      </c>
    </row>
    <row r="35" spans="3:57" x14ac:dyDescent="0.25">
      <c r="H35" s="8"/>
      <c r="S35" s="11">
        <f t="shared" si="8"/>
        <v>2.0472739875109878</v>
      </c>
      <c r="T35" s="11">
        <f t="shared" si="9"/>
        <v>4.6424172133183957E-2</v>
      </c>
      <c r="U35" s="1">
        <f t="shared" si="26"/>
        <v>1.5470582330639207</v>
      </c>
      <c r="V35" s="1">
        <f t="shared" si="10"/>
        <v>0.24261114181440546</v>
      </c>
      <c r="W35" s="1">
        <f t="shared" si="27"/>
        <v>7.0051832051956378E-2</v>
      </c>
      <c r="X35" s="1">
        <f t="shared" si="11"/>
        <v>1.0475652173913046</v>
      </c>
      <c r="Y35" s="1">
        <f t="shared" si="12"/>
        <v>2.5757226910590026E-5</v>
      </c>
      <c r="Z35" s="1">
        <f t="shared" si="28"/>
        <v>3.2354892574259396E-4</v>
      </c>
      <c r="AA35">
        <f t="shared" si="29"/>
        <v>4.3729435339525091E-4</v>
      </c>
      <c r="AC35" s="8">
        <f>9.81*(AG13^2)/2/PI()</f>
        <v>2.1150492052040581</v>
      </c>
      <c r="AD35" s="8">
        <f t="shared" si="14"/>
        <v>4.3666123593133883E-2</v>
      </c>
      <c r="AE35">
        <f t="shared" si="30"/>
        <v>1.5951679874789679</v>
      </c>
      <c r="AF35">
        <f>1.65*AE35*AC13</f>
        <v>0.24308350217515243</v>
      </c>
      <c r="AG35">
        <f t="shared" si="31"/>
        <v>0.51579315704348272</v>
      </c>
      <c r="AH35">
        <f t="shared" si="16"/>
        <v>1.1130434782608696</v>
      </c>
      <c r="AI35">
        <f t="shared" si="17"/>
        <v>6.4747269085344505E-4</v>
      </c>
      <c r="AJ35">
        <f t="shared" si="32"/>
        <v>1.1736464640812964E-3</v>
      </c>
      <c r="AK35">
        <f t="shared" si="33"/>
        <v>5.6499386303253008E-3</v>
      </c>
      <c r="AS35" s="11">
        <f t="shared" si="18"/>
        <v>0.1690980853086638</v>
      </c>
      <c r="AT35" s="11">
        <f t="shared" si="19"/>
        <v>0.31540262042596323</v>
      </c>
      <c r="AU35" s="8">
        <f t="shared" si="20"/>
        <v>0.62188867487933519</v>
      </c>
      <c r="AV35" s="12">
        <f t="shared" si="21"/>
        <v>1.1500791716574601</v>
      </c>
      <c r="AW35" s="12"/>
      <c r="AX35" s="11">
        <f t="shared" si="22"/>
        <v>2.8280211703955688E-3</v>
      </c>
      <c r="AY35" s="11">
        <f t="shared" si="23"/>
        <v>3.5697958711148389E-3</v>
      </c>
      <c r="AZ35" s="12">
        <f t="shared" si="24"/>
        <v>1.0996491633365293E-2</v>
      </c>
      <c r="BA35" s="12">
        <f t="shared" si="25"/>
        <v>1.3735575300038322E-2</v>
      </c>
    </row>
    <row r="36" spans="3:57" x14ac:dyDescent="0.25">
      <c r="H36" s="8"/>
      <c r="S36" s="11">
        <f t="shared" si="8"/>
        <v>5.472598925438187</v>
      </c>
      <c r="T36" s="11">
        <f t="shared" si="9"/>
        <v>2.5642295719444465E-2</v>
      </c>
      <c r="U36" s="1">
        <f t="shared" si="26"/>
        <v>2.081614445739643</v>
      </c>
      <c r="V36" s="1">
        <f t="shared" si="10"/>
        <v>0.48198637603156275</v>
      </c>
      <c r="W36" s="1">
        <f t="shared" si="27"/>
        <v>0.50987781470815108</v>
      </c>
      <c r="X36" s="1">
        <f t="shared" si="11"/>
        <v>1.8746086956521741</v>
      </c>
      <c r="Y36" s="1">
        <f t="shared" si="12"/>
        <v>1.5388560646989685E-3</v>
      </c>
      <c r="Z36" s="1">
        <f t="shared" si="28"/>
        <v>4.7524964152246916E-3</v>
      </c>
      <c r="AA36">
        <f t="shared" si="29"/>
        <v>2.2770333850461639E-2</v>
      </c>
      <c r="AC36" s="8">
        <f>9.81*(AG14^2)/2/PI()</f>
        <v>5.5665373269247</v>
      </c>
      <c r="AD36" s="8">
        <f t="shared" si="14"/>
        <v>2.659283344494897E-2</v>
      </c>
      <c r="AE36">
        <f t="shared" si="30"/>
        <v>2.0440731732782593</v>
      </c>
      <c r="AF36">
        <f>1.65*AE36*AC14</f>
        <v>0.49926385053662814</v>
      </c>
      <c r="AG36">
        <f t="shared" si="31"/>
        <v>0.85475302348542481</v>
      </c>
      <c r="AH36">
        <f t="shared" si="16"/>
        <v>1.8746086956521741</v>
      </c>
      <c r="AI36">
        <f t="shared" si="17"/>
        <v>8.8050256520816206E-3</v>
      </c>
      <c r="AJ36">
        <f t="shared" si="32"/>
        <v>1.6221084743101657E-2</v>
      </c>
      <c r="AK36">
        <f t="shared" si="33"/>
        <v>9.4675773801113569E-2</v>
      </c>
      <c r="AS36" s="11">
        <f t="shared" si="18"/>
        <v>1.1866330535239615</v>
      </c>
      <c r="AT36" s="11">
        <f t="shared" si="19"/>
        <v>1.8730435145415021</v>
      </c>
      <c r="AU36" s="8">
        <f t="shared" si="20"/>
        <v>2.359841181874045</v>
      </c>
      <c r="AV36" s="12">
        <f t="shared" si="21"/>
        <v>3.718630205816007</v>
      </c>
      <c r="AW36" s="12"/>
      <c r="AX36" s="11">
        <f t="shared" si="22"/>
        <v>2.7327384608686417E-2</v>
      </c>
      <c r="AY36" s="11">
        <f t="shared" si="23"/>
        <v>2.8088849883305751E-2</v>
      </c>
      <c r="AZ36" s="12">
        <f t="shared" si="24"/>
        <v>8.0414732014093035E-2</v>
      </c>
      <c r="BA36" s="12">
        <f t="shared" si="25"/>
        <v>8.2484350249295943E-2</v>
      </c>
    </row>
    <row r="37" spans="3:57" x14ac:dyDescent="0.25">
      <c r="H37" s="8"/>
      <c r="S37" s="11">
        <f t="shared" si="8"/>
        <v>3.1252102591916691</v>
      </c>
      <c r="T37" s="11">
        <f t="shared" si="9"/>
        <v>4.5174560522694557E-2</v>
      </c>
      <c r="U37" s="1">
        <f t="shared" si="26"/>
        <v>1.5683095142999182</v>
      </c>
      <c r="V37" s="1">
        <f t="shared" si="10"/>
        <v>0.36533299642762307</v>
      </c>
      <c r="W37" s="1">
        <f t="shared" si="27"/>
        <v>0.30961644773804947</v>
      </c>
      <c r="X37" s="1">
        <f t="shared" si="11"/>
        <v>1.3191304347826087</v>
      </c>
      <c r="Y37" s="1">
        <f t="shared" si="12"/>
        <v>4.1416643884210311E-4</v>
      </c>
      <c r="Z37" s="1">
        <f t="shared" si="28"/>
        <v>1.4822378758239533E-3</v>
      </c>
      <c r="AA37">
        <f t="shared" si="29"/>
        <v>5.6819996747436048E-3</v>
      </c>
      <c r="AC37" s="8">
        <f>9.81*(AG15^2)/2/PI()</f>
        <v>3.2303418793661045</v>
      </c>
      <c r="AD37" s="8">
        <f t="shared" si="14"/>
        <v>4.5016907011878264E-2</v>
      </c>
      <c r="AE37">
        <f t="shared" si="30"/>
        <v>1.5710532990549622</v>
      </c>
      <c r="AF37">
        <f>1.65*AE37*AC15</f>
        <v>0.37696324173514473</v>
      </c>
      <c r="AG37">
        <f t="shared" si="31"/>
        <v>0.75934564240356861</v>
      </c>
      <c r="AH37">
        <f t="shared" si="16"/>
        <v>1.3191304347826087</v>
      </c>
      <c r="AI37">
        <f t="shared" si="17"/>
        <v>3.9595771672259524E-3</v>
      </c>
      <c r="AJ37">
        <f t="shared" si="32"/>
        <v>5.7779839708370362E-3</v>
      </c>
      <c r="AK37">
        <f t="shared" si="33"/>
        <v>3.2313964904837116E-2</v>
      </c>
      <c r="AS37" s="11">
        <f t="shared" si="18"/>
        <v>0.54830935699865868</v>
      </c>
      <c r="AT37" s="11">
        <f t="shared" si="19"/>
        <v>0.93282986984887684</v>
      </c>
      <c r="AU37" s="8">
        <f t="shared" si="20"/>
        <v>1.2957286085735575</v>
      </c>
      <c r="AV37" s="12">
        <f t="shared" si="21"/>
        <v>2.1919037763704328</v>
      </c>
      <c r="AW37" s="12"/>
      <c r="AX37" s="11">
        <f t="shared" si="22"/>
        <v>1.0605780530183309E-2</v>
      </c>
      <c r="AY37" s="11">
        <f t="shared" si="23"/>
        <v>1.1954580832163546E-2</v>
      </c>
      <c r="AZ37" s="12">
        <f t="shared" si="24"/>
        <v>3.6258370532504233E-2</v>
      </c>
      <c r="BA37" s="12">
        <f t="shared" si="25"/>
        <v>4.0584556116123501E-2</v>
      </c>
    </row>
    <row r="38" spans="3:57" x14ac:dyDescent="0.25">
      <c r="H38" s="8"/>
    </row>
    <row r="39" spans="3:57" x14ac:dyDescent="0.25">
      <c r="H39" s="8"/>
    </row>
    <row r="40" spans="3:57" x14ac:dyDescent="0.25">
      <c r="H40" s="8"/>
      <c r="AA40" t="s">
        <v>316</v>
      </c>
      <c r="AK40" t="s">
        <v>316</v>
      </c>
      <c r="AS40" t="s">
        <v>317</v>
      </c>
      <c r="AX40" t="s">
        <v>110</v>
      </c>
    </row>
    <row r="41" spans="3:57" x14ac:dyDescent="0.25">
      <c r="H41" s="8"/>
      <c r="AS41">
        <v>1</v>
      </c>
      <c r="AT41">
        <v>2</v>
      </c>
      <c r="AU41">
        <v>3</v>
      </c>
      <c r="AV41">
        <v>4</v>
      </c>
      <c r="AX41">
        <v>5</v>
      </c>
      <c r="AY41">
        <v>6</v>
      </c>
      <c r="AZ41">
        <v>7</v>
      </c>
      <c r="BA41">
        <v>8</v>
      </c>
    </row>
    <row r="42" spans="3:57" x14ac:dyDescent="0.25">
      <c r="H42" s="8"/>
      <c r="AA42">
        <f t="shared" ref="AA42:AA47" si="34">AA32/(S10^2)</f>
        <v>8.3668778164022753E-2</v>
      </c>
      <c r="AK42">
        <f t="shared" ref="AK42:AK47" si="35">AK32/(AC10^2)</f>
        <v>1.1876101922855895</v>
      </c>
      <c r="AS42" s="8">
        <f t="shared" ref="AS42:AS47" si="36">AS32/SQRT(9.81*S10)</f>
        <v>0.2464616128420842</v>
      </c>
      <c r="AT42" s="8">
        <f t="shared" ref="AT42:AT47" si="37">AT32/SQRT(9.81*S10)</f>
        <v>0.42942333489078632</v>
      </c>
      <c r="AU42" s="8">
        <f t="shared" ref="AU42:AU47" si="38">AU32/SQRT(9.81*AC10)</f>
        <v>0.93461161815322435</v>
      </c>
      <c r="AV42" s="8">
        <f t="shared" ref="AV42:AV47" si="39">AV32/SQRT(9.81*AC10)</f>
        <v>1.6178598036819305</v>
      </c>
      <c r="AW42" s="8"/>
      <c r="AX42" s="8">
        <f t="shared" ref="AX42:AX47" si="40">AX32/S10</f>
        <v>4.4627637914609865E-2</v>
      </c>
      <c r="AY42" s="8">
        <f t="shared" ref="AY42:AY47" si="41">AY32/S10</f>
        <v>5.1801919732374337E-2</v>
      </c>
      <c r="AZ42" s="8">
        <f t="shared" ref="AZ42:AZ47" si="42">AZ32/AC10</f>
        <v>0.17310623699268909</v>
      </c>
      <c r="BA42" s="8">
        <f t="shared" ref="BA42:BA47" si="43">BA32/AC10</f>
        <v>0.19933140241014946</v>
      </c>
    </row>
    <row r="43" spans="3:57" x14ac:dyDescent="0.25">
      <c r="H43" s="8"/>
      <c r="AA43" t="e">
        <f t="shared" si="34"/>
        <v>#NUM!</v>
      </c>
      <c r="AK43">
        <f t="shared" si="35"/>
        <v>0.27264015018515919</v>
      </c>
      <c r="AS43" s="8" t="e">
        <f t="shared" si="36"/>
        <v>#NUM!</v>
      </c>
      <c r="AT43" s="8" t="e">
        <f t="shared" si="37"/>
        <v>#NUM!</v>
      </c>
      <c r="AU43" s="8">
        <f t="shared" si="38"/>
        <v>0.38761831755041942</v>
      </c>
      <c r="AV43" s="8">
        <f t="shared" si="39"/>
        <v>0.7751733491381152</v>
      </c>
      <c r="AW43" s="8"/>
      <c r="AX43" s="8" t="e">
        <f t="shared" si="40"/>
        <v>#NUM!</v>
      </c>
      <c r="AY43" s="8" t="e">
        <f t="shared" si="41"/>
        <v>#NUM!</v>
      </c>
      <c r="AZ43" s="8">
        <f t="shared" si="42"/>
        <v>5.7879462914251771E-2</v>
      </c>
      <c r="BA43" s="8">
        <f t="shared" si="43"/>
        <v>7.9604580986365275E-2</v>
      </c>
    </row>
    <row r="44" spans="3:57" x14ac:dyDescent="0.25">
      <c r="H44" s="8"/>
      <c r="AA44">
        <f t="shared" si="34"/>
        <v>0.41576740235376164</v>
      </c>
      <c r="AK44">
        <f t="shared" si="35"/>
        <v>2.5054637506948536</v>
      </c>
      <c r="AS44" s="8">
        <f t="shared" si="36"/>
        <v>0.58209741218509004</v>
      </c>
      <c r="AT44" s="8">
        <f t="shared" si="37"/>
        <v>0.95725830945418089</v>
      </c>
      <c r="AU44" s="8">
        <f t="shared" si="38"/>
        <v>1.4346482110424741</v>
      </c>
      <c r="AV44" s="8">
        <f t="shared" si="39"/>
        <v>2.3498924652003486</v>
      </c>
      <c r="AW44" s="8"/>
      <c r="AX44" s="8">
        <f t="shared" si="40"/>
        <v>9.482120287204561E-2</v>
      </c>
      <c r="AY44" s="8">
        <f t="shared" si="41"/>
        <v>0.10250653762839056</v>
      </c>
      <c r="AZ44" s="8">
        <f t="shared" si="42"/>
        <v>0.32814088620224413</v>
      </c>
      <c r="BA44" s="8">
        <f t="shared" si="43"/>
        <v>0.35300113489248047</v>
      </c>
    </row>
    <row r="45" spans="3:57" x14ac:dyDescent="0.25">
      <c r="H45" s="8"/>
      <c r="AA45">
        <f t="shared" si="34"/>
        <v>4.8409834408681233E-2</v>
      </c>
      <c r="AK45">
        <f t="shared" si="35"/>
        <v>0.66238959284360066</v>
      </c>
      <c r="AS45" s="8">
        <f t="shared" si="36"/>
        <v>0.17512337496394575</v>
      </c>
      <c r="AT45" s="8">
        <f t="shared" si="37"/>
        <v>0.32664102175163462</v>
      </c>
      <c r="AU45" s="8">
        <f t="shared" si="38"/>
        <v>0.65334953567457754</v>
      </c>
      <c r="AV45" s="8">
        <f t="shared" si="39"/>
        <v>1.2082607758329076</v>
      </c>
      <c r="AW45" s="8"/>
      <c r="AX45" s="8">
        <f t="shared" si="40"/>
        <v>2.9755175766711581E-2</v>
      </c>
      <c r="AY45" s="8">
        <f t="shared" si="41"/>
        <v>3.7559797892688977E-2</v>
      </c>
      <c r="AZ45" s="8">
        <f t="shared" si="42"/>
        <v>0.11906634797268498</v>
      </c>
      <c r="BA45" s="8">
        <f t="shared" si="43"/>
        <v>0.14872423340160165</v>
      </c>
    </row>
    <row r="46" spans="3:57" x14ac:dyDescent="0.25">
      <c r="H46" s="8"/>
      <c r="AA46">
        <f t="shared" si="34"/>
        <v>1.1562942013174176</v>
      </c>
      <c r="AK46">
        <f t="shared" si="35"/>
        <v>4.3205534787127684</v>
      </c>
      <c r="AS46" s="8">
        <f t="shared" si="36"/>
        <v>1.0113621007907327</v>
      </c>
      <c r="AT46" s="8">
        <f t="shared" si="37"/>
        <v>1.5963866994211444</v>
      </c>
      <c r="AU46" s="8">
        <f t="shared" si="38"/>
        <v>1.958273750644999</v>
      </c>
      <c r="AV46" s="8">
        <f t="shared" si="39"/>
        <v>3.0858415288024132</v>
      </c>
      <c r="AW46" s="8"/>
      <c r="AX46" s="8">
        <f t="shared" si="40"/>
        <v>0.19473658240352323</v>
      </c>
      <c r="AY46" s="8">
        <f t="shared" si="41"/>
        <v>0.20016282963946233</v>
      </c>
      <c r="AZ46" s="8">
        <f t="shared" si="42"/>
        <v>0.54323266914877411</v>
      </c>
      <c r="BA46" s="8">
        <f t="shared" si="43"/>
        <v>0.55721374214210595</v>
      </c>
    </row>
    <row r="47" spans="3:57" x14ac:dyDescent="0.25">
      <c r="H47" s="8"/>
      <c r="Z47" t="s">
        <v>187</v>
      </c>
      <c r="AA47">
        <f t="shared" si="34"/>
        <v>0.28507218822646402</v>
      </c>
      <c r="AK47">
        <f t="shared" si="35"/>
        <v>1.5280654923716241</v>
      </c>
      <c r="AS47" s="8">
        <f t="shared" si="36"/>
        <v>0.46591271720900695</v>
      </c>
      <c r="AT47" s="8">
        <f t="shared" si="37"/>
        <v>0.79264979487861942</v>
      </c>
      <c r="AU47" s="8">
        <f t="shared" si="38"/>
        <v>1.0848444559324697</v>
      </c>
      <c r="AV47" s="8">
        <f t="shared" si="39"/>
        <v>1.8351641261904865</v>
      </c>
      <c r="AW47" s="8"/>
      <c r="AX47" s="8">
        <f t="shared" si="40"/>
        <v>7.5122400695447719E-2</v>
      </c>
      <c r="AY47" s="8">
        <f t="shared" si="41"/>
        <v>8.4676163990392017E-2</v>
      </c>
      <c r="AZ47" s="8">
        <f t="shared" si="42"/>
        <v>0.24933551459568309</v>
      </c>
      <c r="BA47" s="8">
        <f t="shared" si="43"/>
        <v>0.27908510601102671</v>
      </c>
    </row>
    <row r="50" spans="3:7" x14ac:dyDescent="0.25">
      <c r="C50" t="s">
        <v>182</v>
      </c>
      <c r="D50" t="s">
        <v>188</v>
      </c>
    </row>
    <row r="51" spans="3:7" x14ac:dyDescent="0.25">
      <c r="C51" t="s">
        <v>186</v>
      </c>
      <c r="D51" t="s">
        <v>189</v>
      </c>
    </row>
    <row r="52" spans="3:7" x14ac:dyDescent="0.25">
      <c r="C52" t="s">
        <v>183</v>
      </c>
      <c r="D52" t="s">
        <v>190</v>
      </c>
    </row>
    <row r="53" spans="3:7" x14ac:dyDescent="0.25">
      <c r="C53" t="s">
        <v>191</v>
      </c>
      <c r="E53" t="s">
        <v>192</v>
      </c>
      <c r="F53">
        <v>0.2</v>
      </c>
      <c r="G53" t="s">
        <v>56</v>
      </c>
    </row>
    <row r="54" spans="3:7" x14ac:dyDescent="0.25">
      <c r="C54" t="s">
        <v>193</v>
      </c>
      <c r="E54" t="s">
        <v>192</v>
      </c>
      <c r="F54">
        <v>0.1</v>
      </c>
      <c r="G54" t="s">
        <v>56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I107"/>
  <sheetViews>
    <sheetView workbookViewId="0">
      <selection activeCell="A26" sqref="A26"/>
    </sheetView>
  </sheetViews>
  <sheetFormatPr defaultRowHeight="15" x14ac:dyDescent="0.25"/>
  <sheetData>
    <row r="3" spans="1:35" x14ac:dyDescent="0.25">
      <c r="A3" t="s">
        <v>176</v>
      </c>
    </row>
    <row r="5" spans="1:35" x14ac:dyDescent="0.25">
      <c r="B5" t="s">
        <v>0</v>
      </c>
      <c r="C5" t="s">
        <v>174</v>
      </c>
      <c r="D5" t="s">
        <v>2</v>
      </c>
      <c r="E5" t="s">
        <v>174</v>
      </c>
      <c r="F5" t="s">
        <v>3</v>
      </c>
      <c r="G5" t="s">
        <v>174</v>
      </c>
      <c r="H5" t="s">
        <v>5</v>
      </c>
      <c r="I5" t="s">
        <v>174</v>
      </c>
      <c r="J5" t="s">
        <v>172</v>
      </c>
      <c r="K5" t="s">
        <v>174</v>
      </c>
      <c r="L5" t="s">
        <v>173</v>
      </c>
      <c r="M5" s="10" t="s">
        <v>175</v>
      </c>
      <c r="W5" t="s">
        <v>177</v>
      </c>
      <c r="X5" t="s">
        <v>13</v>
      </c>
      <c r="Y5" t="s">
        <v>14</v>
      </c>
      <c r="Z5" t="s">
        <v>15</v>
      </c>
      <c r="AE5" t="s">
        <v>21</v>
      </c>
    </row>
    <row r="6" spans="1:35" x14ac:dyDescent="0.25">
      <c r="B6">
        <v>1</v>
      </c>
      <c r="C6" t="s">
        <v>174</v>
      </c>
      <c r="D6">
        <v>2</v>
      </c>
      <c r="E6" t="s">
        <v>174</v>
      </c>
      <c r="F6">
        <v>3</v>
      </c>
      <c r="G6" t="s">
        <v>174</v>
      </c>
      <c r="H6">
        <v>4</v>
      </c>
      <c r="I6" t="s">
        <v>174</v>
      </c>
      <c r="J6">
        <v>5</v>
      </c>
      <c r="K6" t="s">
        <v>174</v>
      </c>
      <c r="L6">
        <v>6</v>
      </c>
      <c r="M6" s="10" t="s">
        <v>175</v>
      </c>
      <c r="Y6" t="s">
        <v>22</v>
      </c>
      <c r="Z6" t="s">
        <v>16</v>
      </c>
      <c r="AA6" t="s">
        <v>17</v>
      </c>
      <c r="AB6" t="s">
        <v>18</v>
      </c>
      <c r="AC6" t="s">
        <v>19</v>
      </c>
      <c r="AD6" t="s">
        <v>20</v>
      </c>
      <c r="AE6" t="s">
        <v>16</v>
      </c>
      <c r="AF6" t="s">
        <v>17</v>
      </c>
      <c r="AG6" t="s">
        <v>18</v>
      </c>
      <c r="AH6" t="s">
        <v>19</v>
      </c>
      <c r="AI6" t="s">
        <v>20</v>
      </c>
    </row>
    <row r="7" spans="1:35" x14ac:dyDescent="0.25">
      <c r="B7">
        <v>1.01</v>
      </c>
      <c r="C7" t="s">
        <v>174</v>
      </c>
      <c r="D7" s="9">
        <v>0.3</v>
      </c>
      <c r="E7" t="s">
        <v>174</v>
      </c>
      <c r="F7" s="9">
        <v>0.3</v>
      </c>
      <c r="G7" t="s">
        <v>174</v>
      </c>
      <c r="H7" s="9">
        <v>0.15</v>
      </c>
      <c r="I7" t="s">
        <v>174</v>
      </c>
      <c r="J7" s="9">
        <v>2.5</v>
      </c>
      <c r="K7" t="s">
        <v>174</v>
      </c>
      <c r="L7" s="9">
        <v>1</v>
      </c>
      <c r="M7" s="10" t="s">
        <v>175</v>
      </c>
      <c r="X7">
        <v>1</v>
      </c>
      <c r="Y7">
        <v>2</v>
      </c>
      <c r="Z7">
        <v>3</v>
      </c>
      <c r="AA7">
        <v>4</v>
      </c>
      <c r="AB7">
        <v>5</v>
      </c>
      <c r="AC7">
        <v>6</v>
      </c>
      <c r="AD7">
        <v>7</v>
      </c>
      <c r="AE7">
        <v>8</v>
      </c>
      <c r="AF7">
        <v>9</v>
      </c>
      <c r="AG7">
        <v>10</v>
      </c>
      <c r="AH7">
        <v>11</v>
      </c>
      <c r="AI7">
        <v>12</v>
      </c>
    </row>
    <row r="8" spans="1:35" x14ac:dyDescent="0.25">
      <c r="B8">
        <v>1.02</v>
      </c>
      <c r="C8" t="s">
        <v>174</v>
      </c>
      <c r="D8" s="9">
        <v>0.3</v>
      </c>
      <c r="E8" t="s">
        <v>174</v>
      </c>
      <c r="F8" s="9">
        <v>0.3</v>
      </c>
      <c r="G8" t="s">
        <v>174</v>
      </c>
      <c r="H8" s="9">
        <v>0.15</v>
      </c>
      <c r="I8" t="s">
        <v>174</v>
      </c>
      <c r="J8" s="9">
        <v>2</v>
      </c>
      <c r="K8" t="s">
        <v>174</v>
      </c>
      <c r="L8" s="9">
        <v>1</v>
      </c>
      <c r="M8" s="10" t="s">
        <v>175</v>
      </c>
      <c r="X8" s="8">
        <v>0.19</v>
      </c>
      <c r="Y8" s="8">
        <v>5.9</v>
      </c>
      <c r="Z8" s="8">
        <v>8.3000000000000007</v>
      </c>
      <c r="AA8" s="8">
        <v>6.5</v>
      </c>
      <c r="AB8" s="8">
        <v>3</v>
      </c>
      <c r="AC8" s="8">
        <v>2.6</v>
      </c>
      <c r="AD8" s="8">
        <v>2.2000000000000002</v>
      </c>
      <c r="AE8" s="8">
        <v>1.01</v>
      </c>
      <c r="AF8" s="8">
        <v>1.1100000000000001</v>
      </c>
      <c r="AG8" s="8">
        <v>1.64</v>
      </c>
      <c r="AH8" s="8">
        <v>1.83</v>
      </c>
      <c r="AI8" s="8">
        <v>1.83</v>
      </c>
    </row>
    <row r="9" spans="1:35" x14ac:dyDescent="0.25">
      <c r="B9">
        <v>1.03</v>
      </c>
      <c r="C9" t="s">
        <v>174</v>
      </c>
      <c r="D9" s="9">
        <v>0.35</v>
      </c>
      <c r="E9" t="s">
        <v>174</v>
      </c>
      <c r="F9" s="9">
        <v>0.25</v>
      </c>
      <c r="G9" t="s">
        <v>174</v>
      </c>
      <c r="H9" s="9">
        <v>0.15</v>
      </c>
      <c r="I9" t="s">
        <v>174</v>
      </c>
      <c r="J9" s="9">
        <v>2.5</v>
      </c>
      <c r="K9" t="s">
        <v>174</v>
      </c>
      <c r="L9" s="9">
        <v>1</v>
      </c>
      <c r="M9" s="10" t="s">
        <v>175</v>
      </c>
      <c r="X9" s="8">
        <v>0.05</v>
      </c>
      <c r="Y9" s="8">
        <v>0</v>
      </c>
      <c r="Z9" s="8">
        <v>2.7</v>
      </c>
      <c r="AA9" s="8">
        <v>1.5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  <c r="AH9" s="8">
        <v>0</v>
      </c>
      <c r="AI9" s="8">
        <v>0</v>
      </c>
    </row>
    <row r="10" spans="1:35" x14ac:dyDescent="0.25">
      <c r="B10">
        <v>1.04</v>
      </c>
      <c r="C10" t="s">
        <v>174</v>
      </c>
      <c r="D10" s="9">
        <v>0.35</v>
      </c>
      <c r="E10" t="s">
        <v>174</v>
      </c>
      <c r="F10" s="9">
        <v>0.25</v>
      </c>
      <c r="G10" t="s">
        <v>174</v>
      </c>
      <c r="H10" s="9">
        <v>0.15</v>
      </c>
      <c r="I10" t="s">
        <v>174</v>
      </c>
      <c r="J10" s="9">
        <v>2</v>
      </c>
      <c r="K10" t="s">
        <v>174</v>
      </c>
      <c r="L10" s="9">
        <v>1</v>
      </c>
      <c r="M10" s="10" t="s">
        <v>175</v>
      </c>
      <c r="X10" s="8">
        <v>0.3</v>
      </c>
      <c r="Y10" s="8">
        <v>10.9</v>
      </c>
      <c r="Z10" s="8">
        <v>15</v>
      </c>
      <c r="AA10" s="8">
        <v>12.6</v>
      </c>
      <c r="AB10" s="8">
        <v>7.3</v>
      </c>
      <c r="AC10" s="8">
        <v>5.7</v>
      </c>
      <c r="AD10" s="8">
        <v>4.3</v>
      </c>
      <c r="AE10" s="8">
        <v>1.44</v>
      </c>
      <c r="AF10" s="8">
        <v>1.4</v>
      </c>
      <c r="AG10" s="8">
        <v>1.92</v>
      </c>
      <c r="AH10" s="8">
        <v>2.4700000000000002</v>
      </c>
      <c r="AI10" s="8">
        <v>2.61</v>
      </c>
    </row>
    <row r="11" spans="1:35" x14ac:dyDescent="0.25">
      <c r="B11">
        <v>1.05</v>
      </c>
      <c r="C11" t="s">
        <v>174</v>
      </c>
      <c r="D11" s="9">
        <v>0.4</v>
      </c>
      <c r="E11" t="s">
        <v>174</v>
      </c>
      <c r="F11" s="9">
        <v>0.2</v>
      </c>
      <c r="G11" t="s">
        <v>174</v>
      </c>
      <c r="H11" s="9">
        <v>0.15</v>
      </c>
      <c r="I11" t="s">
        <v>174</v>
      </c>
      <c r="J11" s="9">
        <v>2.5</v>
      </c>
      <c r="K11" t="s">
        <v>174</v>
      </c>
      <c r="L11" s="9">
        <v>1</v>
      </c>
      <c r="M11" s="10" t="s">
        <v>175</v>
      </c>
      <c r="X11" s="8">
        <v>0.13</v>
      </c>
      <c r="Y11" s="8">
        <v>4.37</v>
      </c>
      <c r="Z11" s="8">
        <v>6.1</v>
      </c>
      <c r="AA11" s="8">
        <v>4.9000000000000004</v>
      </c>
      <c r="AB11" s="8">
        <v>1.9</v>
      </c>
      <c r="AC11" s="8">
        <v>2</v>
      </c>
      <c r="AD11" s="8">
        <v>1.7</v>
      </c>
      <c r="AE11" s="8">
        <v>0.67</v>
      </c>
      <c r="AF11" s="8">
        <v>0.89</v>
      </c>
      <c r="AG11" s="8">
        <v>0</v>
      </c>
      <c r="AH11" s="8">
        <v>0</v>
      </c>
      <c r="AI11" s="8">
        <v>0</v>
      </c>
    </row>
    <row r="12" spans="1:35" x14ac:dyDescent="0.25">
      <c r="B12">
        <v>1.06</v>
      </c>
      <c r="C12" t="s">
        <v>174</v>
      </c>
      <c r="D12" s="9">
        <v>0.4</v>
      </c>
      <c r="E12" t="s">
        <v>174</v>
      </c>
      <c r="F12" s="9">
        <v>0.2</v>
      </c>
      <c r="G12" t="s">
        <v>174</v>
      </c>
      <c r="H12" s="9">
        <v>0.15</v>
      </c>
      <c r="I12" t="s">
        <v>174</v>
      </c>
      <c r="J12" s="9">
        <v>2</v>
      </c>
      <c r="K12" t="s">
        <v>174</v>
      </c>
      <c r="L12" s="9">
        <v>1</v>
      </c>
      <c r="M12" s="10" t="s">
        <v>175</v>
      </c>
      <c r="X12" s="8">
        <v>0.51</v>
      </c>
      <c r="Y12" s="8">
        <v>20.329999999999998</v>
      </c>
      <c r="Z12" s="8">
        <v>26.1</v>
      </c>
      <c r="AA12" s="8">
        <v>20.9</v>
      </c>
      <c r="AB12" s="8">
        <v>13.3</v>
      </c>
      <c r="AC12" s="8">
        <v>11.4</v>
      </c>
      <c r="AD12" s="8">
        <v>8.3000000000000007</v>
      </c>
      <c r="AE12" s="8">
        <v>1.78</v>
      </c>
      <c r="AF12" s="8">
        <v>1.57</v>
      </c>
      <c r="AG12" s="8">
        <v>2.09</v>
      </c>
      <c r="AH12" s="8">
        <v>2.76</v>
      </c>
      <c r="AI12" s="8">
        <v>2.93</v>
      </c>
    </row>
    <row r="13" spans="1:35" x14ac:dyDescent="0.25">
      <c r="B13">
        <v>1.07</v>
      </c>
      <c r="C13" t="s">
        <v>174</v>
      </c>
      <c r="D13" s="9">
        <v>0.4</v>
      </c>
      <c r="E13" t="s">
        <v>174</v>
      </c>
      <c r="F13" s="9">
        <v>0.2</v>
      </c>
      <c r="G13" t="s">
        <v>174</v>
      </c>
      <c r="H13" s="9">
        <v>0.15</v>
      </c>
      <c r="I13" t="s">
        <v>174</v>
      </c>
      <c r="J13" s="9">
        <v>1.6</v>
      </c>
      <c r="K13" t="s">
        <v>174</v>
      </c>
      <c r="L13" s="9">
        <v>1</v>
      </c>
      <c r="M13" s="10" t="s">
        <v>175</v>
      </c>
      <c r="X13" s="8">
        <v>0.27</v>
      </c>
      <c r="Y13" s="8">
        <v>7.94</v>
      </c>
      <c r="Z13" s="8">
        <v>12.9</v>
      </c>
      <c r="AA13" s="8">
        <v>9.5</v>
      </c>
      <c r="AB13" s="8">
        <v>4.4000000000000004</v>
      </c>
      <c r="AC13" s="8">
        <v>3.8</v>
      </c>
      <c r="AD13" s="8">
        <v>3.6</v>
      </c>
      <c r="AE13" s="8">
        <v>1.1399999999999999</v>
      </c>
      <c r="AF13" s="8">
        <v>1.22</v>
      </c>
      <c r="AG13" s="8">
        <v>1.86</v>
      </c>
      <c r="AH13" s="8">
        <v>2.2400000000000002</v>
      </c>
      <c r="AI13" s="8">
        <v>2.2200000000000002</v>
      </c>
    </row>
    <row r="14" spans="1:35" x14ac:dyDescent="0.25">
      <c r="B14">
        <v>1.08</v>
      </c>
      <c r="C14" t="s">
        <v>174</v>
      </c>
      <c r="D14" s="9">
        <v>0.45</v>
      </c>
      <c r="E14" t="s">
        <v>174</v>
      </c>
      <c r="F14" s="9">
        <v>0.15</v>
      </c>
      <c r="G14" t="s">
        <v>174</v>
      </c>
      <c r="H14" s="9">
        <v>0.15</v>
      </c>
      <c r="I14" t="s">
        <v>174</v>
      </c>
      <c r="J14" s="9">
        <v>2</v>
      </c>
      <c r="K14" t="s">
        <v>174</v>
      </c>
      <c r="L14" s="9">
        <v>1</v>
      </c>
      <c r="M14" s="10" t="s">
        <v>175</v>
      </c>
      <c r="X14" s="8">
        <v>0.14000000000000001</v>
      </c>
      <c r="Y14" s="8">
        <v>3.62</v>
      </c>
      <c r="Z14" s="8">
        <v>6.4</v>
      </c>
      <c r="AA14" s="8">
        <v>4.5</v>
      </c>
      <c r="AB14" s="8">
        <v>1.7</v>
      </c>
      <c r="AC14" s="8">
        <v>2.2000000000000002</v>
      </c>
      <c r="AD14" s="8">
        <v>1.4</v>
      </c>
      <c r="AE14" s="8">
        <v>0.54</v>
      </c>
      <c r="AF14" s="8">
        <v>0.8</v>
      </c>
      <c r="AG14" s="8">
        <v>0</v>
      </c>
      <c r="AH14" s="8">
        <v>1.22</v>
      </c>
      <c r="AI14" s="8">
        <v>0</v>
      </c>
    </row>
    <row r="15" spans="1:35" x14ac:dyDescent="0.25">
      <c r="B15">
        <v>1.0900000000000001</v>
      </c>
      <c r="C15" t="s">
        <v>174</v>
      </c>
      <c r="D15" s="9">
        <v>0.45</v>
      </c>
      <c r="E15" t="s">
        <v>174</v>
      </c>
      <c r="F15" s="9">
        <v>0.15</v>
      </c>
      <c r="G15" t="s">
        <v>174</v>
      </c>
      <c r="H15" s="9">
        <v>0.15</v>
      </c>
      <c r="I15" t="s">
        <v>174</v>
      </c>
      <c r="J15" s="9">
        <v>1.6</v>
      </c>
      <c r="K15" t="s">
        <v>174</v>
      </c>
      <c r="L15" s="9">
        <v>1</v>
      </c>
      <c r="M15" s="10" t="s">
        <v>175</v>
      </c>
      <c r="X15" s="8">
        <v>0.5</v>
      </c>
      <c r="Y15" s="8">
        <v>12.81</v>
      </c>
      <c r="Z15" s="8">
        <v>20.6</v>
      </c>
      <c r="AA15" s="8">
        <v>15.7</v>
      </c>
      <c r="AB15" s="8">
        <v>8.6</v>
      </c>
      <c r="AC15" s="8">
        <v>6.4</v>
      </c>
      <c r="AD15" s="8">
        <v>5.5</v>
      </c>
      <c r="AE15" s="8">
        <v>1.57</v>
      </c>
      <c r="AF15" s="8">
        <v>1.44</v>
      </c>
      <c r="AG15" s="8">
        <v>1.99</v>
      </c>
      <c r="AH15" s="8">
        <v>2.61</v>
      </c>
      <c r="AI15" s="8">
        <v>2.62</v>
      </c>
    </row>
    <row r="16" spans="1:35" x14ac:dyDescent="0.25">
      <c r="B16" t="s">
        <v>1</v>
      </c>
      <c r="C16" t="s">
        <v>174</v>
      </c>
      <c r="D16" s="9">
        <v>0.5</v>
      </c>
      <c r="E16" t="s">
        <v>174</v>
      </c>
      <c r="F16" s="9">
        <v>0.1</v>
      </c>
      <c r="G16" t="s">
        <v>174</v>
      </c>
      <c r="H16" s="9">
        <v>0.15</v>
      </c>
      <c r="I16" t="s">
        <v>174</v>
      </c>
      <c r="J16" s="9">
        <v>1.6</v>
      </c>
      <c r="K16" t="s">
        <v>174</v>
      </c>
      <c r="L16" s="9">
        <v>1</v>
      </c>
      <c r="M16" s="10" t="s">
        <v>175</v>
      </c>
      <c r="X16" s="8">
        <v>0.4</v>
      </c>
      <c r="Y16" s="8">
        <v>6.39</v>
      </c>
      <c r="Z16" s="8">
        <v>12.7</v>
      </c>
      <c r="AA16" s="8">
        <v>8.6</v>
      </c>
      <c r="AB16" s="8">
        <v>4.8</v>
      </c>
      <c r="AC16" s="8">
        <v>3.9</v>
      </c>
      <c r="AD16" s="8">
        <v>2.8</v>
      </c>
      <c r="AE16" s="8">
        <v>1.2</v>
      </c>
      <c r="AF16" s="8">
        <v>1.23</v>
      </c>
      <c r="AG16" s="8">
        <v>1.76</v>
      </c>
      <c r="AH16" s="8">
        <v>2.13</v>
      </c>
      <c r="AI16" s="8">
        <v>2.17</v>
      </c>
    </row>
    <row r="17" spans="1:35" x14ac:dyDescent="0.25">
      <c r="B17">
        <v>2.0099999999999998</v>
      </c>
      <c r="C17" t="s">
        <v>174</v>
      </c>
      <c r="D17" s="9">
        <v>0.4</v>
      </c>
      <c r="E17" t="s">
        <v>174</v>
      </c>
      <c r="F17" s="9">
        <v>0.2</v>
      </c>
      <c r="G17" t="s">
        <v>174</v>
      </c>
      <c r="H17" s="9">
        <v>0.15</v>
      </c>
      <c r="I17" t="s">
        <v>174</v>
      </c>
      <c r="J17" s="9">
        <v>2.5</v>
      </c>
      <c r="K17" t="s">
        <v>174</v>
      </c>
      <c r="L17" s="9">
        <v>0.8</v>
      </c>
      <c r="M17" s="10" t="s">
        <v>175</v>
      </c>
      <c r="X17" s="8">
        <v>0.63</v>
      </c>
      <c r="Y17" s="8">
        <v>16.04</v>
      </c>
      <c r="Z17" s="8">
        <v>25.5</v>
      </c>
      <c r="AA17" s="8">
        <v>16</v>
      </c>
      <c r="AB17" s="8">
        <v>10.5</v>
      </c>
      <c r="AC17" s="8">
        <v>8.6</v>
      </c>
      <c r="AD17" s="8">
        <v>6</v>
      </c>
      <c r="AE17" s="8">
        <v>1.66</v>
      </c>
      <c r="AF17" s="8">
        <v>1.48</v>
      </c>
      <c r="AG17" s="8">
        <v>2.02</v>
      </c>
      <c r="AH17" s="8">
        <v>2.54</v>
      </c>
      <c r="AI17" s="8">
        <v>2.72</v>
      </c>
    </row>
    <row r="18" spans="1:35" x14ac:dyDescent="0.25">
      <c r="B18">
        <v>2.02</v>
      </c>
      <c r="C18" t="s">
        <v>174</v>
      </c>
      <c r="D18" s="9">
        <v>0.4</v>
      </c>
      <c r="E18" t="s">
        <v>174</v>
      </c>
      <c r="F18" s="9">
        <v>0.2</v>
      </c>
      <c r="G18" t="s">
        <v>174</v>
      </c>
      <c r="H18" s="9">
        <v>0.15</v>
      </c>
      <c r="I18" t="s">
        <v>174</v>
      </c>
      <c r="J18" s="9">
        <v>2.5</v>
      </c>
      <c r="K18" t="s">
        <v>174</v>
      </c>
      <c r="L18" s="9">
        <v>0.65</v>
      </c>
      <c r="M18" s="10" t="s">
        <v>175</v>
      </c>
      <c r="X18" s="8">
        <v>0.38</v>
      </c>
      <c r="Y18" s="8">
        <v>11.46</v>
      </c>
      <c r="Z18" s="8">
        <v>17.399999999999999</v>
      </c>
      <c r="AA18" s="8">
        <v>14.1</v>
      </c>
      <c r="AB18" s="8">
        <v>7</v>
      </c>
      <c r="AC18" s="8">
        <v>5.9</v>
      </c>
      <c r="AD18" s="8">
        <v>4.5999999999999996</v>
      </c>
      <c r="AE18" s="8">
        <v>1.42</v>
      </c>
      <c r="AF18" s="8">
        <v>1.37</v>
      </c>
      <c r="AG18" s="8">
        <v>1.92</v>
      </c>
      <c r="AH18" s="8">
        <v>2.46</v>
      </c>
      <c r="AI18" s="8">
        <v>2.57</v>
      </c>
    </row>
    <row r="19" spans="1:35" x14ac:dyDescent="0.25">
      <c r="B19">
        <v>2.0299999999999998</v>
      </c>
      <c r="C19" t="s">
        <v>174</v>
      </c>
      <c r="D19" s="9">
        <v>0.4</v>
      </c>
      <c r="E19" t="s">
        <v>174</v>
      </c>
      <c r="F19" s="9">
        <v>0.2</v>
      </c>
      <c r="G19" t="s">
        <v>174</v>
      </c>
      <c r="H19" s="9">
        <v>0.15</v>
      </c>
      <c r="I19" t="s">
        <v>174</v>
      </c>
      <c r="J19" s="9">
        <v>2.5</v>
      </c>
      <c r="K19" t="s">
        <v>174</v>
      </c>
      <c r="L19" s="9">
        <v>0.5</v>
      </c>
      <c r="M19" s="10" t="s">
        <v>175</v>
      </c>
      <c r="X19" s="8">
        <v>0.31</v>
      </c>
      <c r="Y19" s="8">
        <v>9.41</v>
      </c>
      <c r="Z19" s="8">
        <v>14.6</v>
      </c>
      <c r="AA19" s="8">
        <v>11.8</v>
      </c>
      <c r="AB19" s="8">
        <v>5.7</v>
      </c>
      <c r="AC19" s="8">
        <v>4.9000000000000004</v>
      </c>
      <c r="AD19" s="8">
        <v>4.3</v>
      </c>
      <c r="AE19" s="8">
        <v>1.45</v>
      </c>
      <c r="AF19" s="8">
        <v>1.36</v>
      </c>
      <c r="AG19" s="8">
        <v>1.91</v>
      </c>
      <c r="AH19" s="8">
        <v>2.44</v>
      </c>
      <c r="AI19" s="8">
        <v>2.4</v>
      </c>
    </row>
    <row r="20" spans="1:35" x14ac:dyDescent="0.25">
      <c r="B20">
        <v>2.04</v>
      </c>
      <c r="C20" t="s">
        <v>174</v>
      </c>
      <c r="D20" s="9">
        <v>0.4</v>
      </c>
      <c r="E20" t="s">
        <v>174</v>
      </c>
      <c r="F20" s="9">
        <v>0.2</v>
      </c>
      <c r="G20" t="s">
        <v>174</v>
      </c>
      <c r="H20" s="9">
        <v>0.15</v>
      </c>
      <c r="I20" t="s">
        <v>174</v>
      </c>
      <c r="J20" s="9">
        <v>2.5</v>
      </c>
      <c r="K20" t="s">
        <v>174</v>
      </c>
      <c r="L20" s="9">
        <v>0.4</v>
      </c>
      <c r="M20" s="10" t="s">
        <v>175</v>
      </c>
      <c r="X20" s="8">
        <v>0.27</v>
      </c>
      <c r="Y20" s="8">
        <v>8.48</v>
      </c>
      <c r="Z20" s="8">
        <v>12.9</v>
      </c>
      <c r="AA20" s="8">
        <v>9.6999999999999993</v>
      </c>
      <c r="AB20" s="8">
        <v>4.4000000000000004</v>
      </c>
      <c r="AC20" s="8">
        <v>4</v>
      </c>
      <c r="AD20" s="8">
        <v>3.7</v>
      </c>
      <c r="AE20" s="8">
        <v>1.29</v>
      </c>
      <c r="AF20" s="8">
        <v>1.27</v>
      </c>
      <c r="AG20" s="8">
        <v>1.87</v>
      </c>
      <c r="AH20" s="8">
        <v>2.2999999999999998</v>
      </c>
      <c r="AI20" s="8">
        <v>2.23</v>
      </c>
    </row>
    <row r="21" spans="1:35" x14ac:dyDescent="0.25">
      <c r="B21">
        <v>2.0499999999999998</v>
      </c>
      <c r="C21" t="s">
        <v>174</v>
      </c>
      <c r="D21" s="9">
        <v>0.4</v>
      </c>
      <c r="E21" t="s">
        <v>174</v>
      </c>
      <c r="F21" s="9">
        <v>0.2</v>
      </c>
      <c r="G21" t="s">
        <v>174</v>
      </c>
      <c r="H21" s="9">
        <v>0.15</v>
      </c>
      <c r="I21" t="s">
        <v>174</v>
      </c>
      <c r="J21" s="9">
        <v>2</v>
      </c>
      <c r="K21" t="s">
        <v>174</v>
      </c>
      <c r="L21" s="9">
        <v>0.8</v>
      </c>
      <c r="M21" s="10" t="s">
        <v>175</v>
      </c>
      <c r="X21" s="8">
        <v>0.22</v>
      </c>
      <c r="Y21" s="8">
        <v>6.81</v>
      </c>
      <c r="Z21" s="8">
        <v>11.3</v>
      </c>
      <c r="AA21" s="8">
        <v>8.1</v>
      </c>
      <c r="AB21" s="8">
        <v>3.3</v>
      </c>
      <c r="AC21" s="8">
        <v>3.4</v>
      </c>
      <c r="AD21" s="8">
        <v>3.4</v>
      </c>
      <c r="AE21" s="8">
        <v>1.1499999999999999</v>
      </c>
      <c r="AF21" s="8">
        <v>1.22</v>
      </c>
      <c r="AG21" s="8">
        <v>1.94</v>
      </c>
      <c r="AH21" s="8">
        <v>2.21</v>
      </c>
      <c r="AI21" s="8">
        <v>2.02</v>
      </c>
    </row>
    <row r="22" spans="1:35" x14ac:dyDescent="0.25">
      <c r="B22">
        <v>2.06</v>
      </c>
      <c r="C22" t="s">
        <v>174</v>
      </c>
      <c r="D22" s="9">
        <v>0.4</v>
      </c>
      <c r="E22" t="s">
        <v>174</v>
      </c>
      <c r="F22" s="9">
        <v>0.2</v>
      </c>
      <c r="G22" t="s">
        <v>174</v>
      </c>
      <c r="H22" s="9">
        <v>0.15</v>
      </c>
      <c r="I22" t="s">
        <v>174</v>
      </c>
      <c r="J22" s="9">
        <v>2</v>
      </c>
      <c r="K22" t="s">
        <v>174</v>
      </c>
      <c r="L22" s="9">
        <v>0.65</v>
      </c>
      <c r="M22" s="10" t="s">
        <v>175</v>
      </c>
      <c r="X22" s="8">
        <v>0.2</v>
      </c>
      <c r="Y22" s="8">
        <v>5.35</v>
      </c>
      <c r="Z22" s="8">
        <v>8.8000000000000007</v>
      </c>
      <c r="AA22" s="8">
        <v>6.9</v>
      </c>
      <c r="AB22" s="8">
        <v>3.3</v>
      </c>
      <c r="AC22" s="8">
        <v>3</v>
      </c>
      <c r="AD22" s="8">
        <v>2.2000000000000002</v>
      </c>
      <c r="AE22" s="8">
        <v>1.01</v>
      </c>
      <c r="AF22" s="8">
        <v>1.07</v>
      </c>
      <c r="AG22" s="8">
        <v>1.69</v>
      </c>
      <c r="AH22" s="8">
        <v>1.83</v>
      </c>
      <c r="AI22" s="8">
        <v>1.77</v>
      </c>
    </row>
    <row r="23" spans="1:35" x14ac:dyDescent="0.25">
      <c r="B23">
        <v>2.0699999999999998</v>
      </c>
      <c r="C23" t="s">
        <v>174</v>
      </c>
      <c r="D23" s="9">
        <v>0.4</v>
      </c>
      <c r="E23" t="s">
        <v>174</v>
      </c>
      <c r="F23" s="9">
        <v>0.2</v>
      </c>
      <c r="G23" t="s">
        <v>174</v>
      </c>
      <c r="H23" s="9">
        <v>0.15</v>
      </c>
      <c r="I23" t="s">
        <v>174</v>
      </c>
      <c r="J23" s="9">
        <v>1.6</v>
      </c>
      <c r="K23" t="s">
        <v>174</v>
      </c>
      <c r="L23" s="9">
        <v>0.8</v>
      </c>
      <c r="M23" s="10" t="s">
        <v>175</v>
      </c>
      <c r="X23" s="8">
        <v>0.2</v>
      </c>
      <c r="Y23" s="8">
        <v>5.33</v>
      </c>
      <c r="Z23" s="8">
        <v>8.5</v>
      </c>
      <c r="AA23" s="8">
        <v>6.6</v>
      </c>
      <c r="AB23" s="8">
        <v>2.8</v>
      </c>
      <c r="AC23" s="8">
        <v>2.6</v>
      </c>
      <c r="AD23" s="8">
        <v>2.1</v>
      </c>
      <c r="AE23" s="8">
        <v>1.06</v>
      </c>
      <c r="AF23" s="8">
        <v>1.02</v>
      </c>
      <c r="AG23" s="8">
        <v>1.64</v>
      </c>
      <c r="AH23" s="8">
        <v>1.82</v>
      </c>
      <c r="AI23" s="8">
        <v>1.79</v>
      </c>
    </row>
    <row r="24" spans="1:35" x14ac:dyDescent="0.25">
      <c r="B24">
        <v>2.08</v>
      </c>
      <c r="C24" t="s">
        <v>174</v>
      </c>
      <c r="D24" s="9">
        <v>0.4</v>
      </c>
      <c r="E24" t="s">
        <v>174</v>
      </c>
      <c r="F24" s="9">
        <v>0.2</v>
      </c>
      <c r="G24" t="s">
        <v>174</v>
      </c>
      <c r="H24" s="9">
        <v>0.15</v>
      </c>
      <c r="I24" t="s">
        <v>174</v>
      </c>
      <c r="J24" s="9">
        <v>1.6</v>
      </c>
      <c r="K24" t="s">
        <v>174</v>
      </c>
      <c r="L24" s="9">
        <v>0.65</v>
      </c>
      <c r="M24" s="10" t="s">
        <v>175</v>
      </c>
      <c r="X24" s="8">
        <v>0.11</v>
      </c>
      <c r="Y24" s="8">
        <v>1.85</v>
      </c>
      <c r="Z24" s="8">
        <v>4.0999999999999996</v>
      </c>
      <c r="AA24" s="8">
        <v>2.9</v>
      </c>
      <c r="AB24" s="8">
        <v>1.2</v>
      </c>
      <c r="AC24" s="8">
        <v>1.3</v>
      </c>
      <c r="AD24" s="8">
        <v>0</v>
      </c>
      <c r="AE24" s="8">
        <v>0.57999999999999996</v>
      </c>
      <c r="AF24" s="8">
        <v>0.62</v>
      </c>
      <c r="AG24" s="8">
        <v>0</v>
      </c>
      <c r="AH24" s="8">
        <v>0</v>
      </c>
      <c r="AI24" s="8">
        <v>0</v>
      </c>
    </row>
    <row r="25" spans="1:35" x14ac:dyDescent="0.25">
      <c r="M25" s="10"/>
      <c r="X25" s="8">
        <v>0.11</v>
      </c>
      <c r="Y25" s="8">
        <v>2.84</v>
      </c>
      <c r="Z25" s="8">
        <v>4</v>
      </c>
      <c r="AA25" s="8">
        <v>3.2</v>
      </c>
      <c r="AB25" s="8">
        <v>1.1000000000000001</v>
      </c>
      <c r="AC25" s="8">
        <v>1.3</v>
      </c>
      <c r="AD25" s="8">
        <v>0</v>
      </c>
      <c r="AE25" s="8">
        <v>0.74</v>
      </c>
      <c r="AF25" s="8">
        <v>0.63</v>
      </c>
      <c r="AG25" s="8">
        <v>0</v>
      </c>
      <c r="AH25" s="8">
        <v>0</v>
      </c>
      <c r="AI25" s="8">
        <v>0</v>
      </c>
    </row>
    <row r="26" spans="1:35" x14ac:dyDescent="0.25">
      <c r="A26" t="s">
        <v>181</v>
      </c>
    </row>
    <row r="27" spans="1:35" x14ac:dyDescent="0.25">
      <c r="B27" t="s">
        <v>0</v>
      </c>
      <c r="C27" t="s">
        <v>174</v>
      </c>
      <c r="D27" t="s">
        <v>2</v>
      </c>
      <c r="E27" t="s">
        <v>174</v>
      </c>
      <c r="F27" t="s">
        <v>3</v>
      </c>
      <c r="G27" t="s">
        <v>174</v>
      </c>
      <c r="H27" t="s">
        <v>4</v>
      </c>
      <c r="I27" t="s">
        <v>174</v>
      </c>
      <c r="J27" t="s">
        <v>5</v>
      </c>
      <c r="K27" t="s">
        <v>174</v>
      </c>
      <c r="L27" t="s">
        <v>6</v>
      </c>
      <c r="M27" t="s">
        <v>174</v>
      </c>
      <c r="N27" t="s">
        <v>7</v>
      </c>
      <c r="O27" t="s">
        <v>174</v>
      </c>
      <c r="P27" t="s">
        <v>8</v>
      </c>
      <c r="Q27" t="s">
        <v>174</v>
      </c>
      <c r="R27" t="s">
        <v>9</v>
      </c>
      <c r="S27" t="s">
        <v>174</v>
      </c>
      <c r="T27" t="s">
        <v>10</v>
      </c>
      <c r="U27" s="10" t="s">
        <v>175</v>
      </c>
      <c r="W27" t="s">
        <v>178</v>
      </c>
      <c r="X27" t="s">
        <v>13</v>
      </c>
      <c r="Y27" t="s">
        <v>14</v>
      </c>
      <c r="Z27" t="s">
        <v>15</v>
      </c>
      <c r="AE27" t="s">
        <v>21</v>
      </c>
    </row>
    <row r="28" spans="1:35" x14ac:dyDescent="0.25">
      <c r="B28">
        <v>1</v>
      </c>
      <c r="C28" t="s">
        <v>174</v>
      </c>
      <c r="D28">
        <v>2</v>
      </c>
      <c r="E28" t="s">
        <v>174</v>
      </c>
      <c r="F28">
        <v>3</v>
      </c>
      <c r="G28" t="s">
        <v>174</v>
      </c>
      <c r="H28">
        <v>4</v>
      </c>
      <c r="I28" t="s">
        <v>174</v>
      </c>
      <c r="J28">
        <v>5</v>
      </c>
      <c r="K28" t="s">
        <v>174</v>
      </c>
      <c r="L28">
        <v>6</v>
      </c>
      <c r="M28" t="s">
        <v>174</v>
      </c>
      <c r="N28">
        <v>7</v>
      </c>
      <c r="O28" t="s">
        <v>174</v>
      </c>
      <c r="P28">
        <v>8</v>
      </c>
      <c r="Q28" t="s">
        <v>174</v>
      </c>
      <c r="R28">
        <v>9</v>
      </c>
      <c r="S28" t="s">
        <v>174</v>
      </c>
      <c r="T28">
        <v>10</v>
      </c>
      <c r="U28" s="10" t="s">
        <v>175</v>
      </c>
      <c r="Y28" t="s">
        <v>22</v>
      </c>
      <c r="Z28" t="s">
        <v>16</v>
      </c>
      <c r="AA28" t="s">
        <v>17</v>
      </c>
      <c r="AB28" t="s">
        <v>18</v>
      </c>
      <c r="AC28" t="s">
        <v>19</v>
      </c>
      <c r="AD28" t="s">
        <v>20</v>
      </c>
      <c r="AE28" t="s">
        <v>16</v>
      </c>
      <c r="AF28" t="s">
        <v>17</v>
      </c>
      <c r="AG28" t="s">
        <v>18</v>
      </c>
      <c r="AH28" t="s">
        <v>19</v>
      </c>
      <c r="AI28" t="s">
        <v>20</v>
      </c>
    </row>
    <row r="29" spans="1:35" x14ac:dyDescent="0.25">
      <c r="B29">
        <v>1.01</v>
      </c>
      <c r="C29" t="s">
        <v>174</v>
      </c>
      <c r="D29" s="8">
        <v>0.3</v>
      </c>
      <c r="E29" t="s">
        <v>174</v>
      </c>
      <c r="F29" s="8">
        <v>0.3</v>
      </c>
      <c r="G29" t="s">
        <v>174</v>
      </c>
      <c r="H29" s="8">
        <v>0.13900000000000001</v>
      </c>
      <c r="I29" t="s">
        <v>174</v>
      </c>
      <c r="J29" s="8">
        <v>0.14399999999999999</v>
      </c>
      <c r="K29" t="s">
        <v>174</v>
      </c>
      <c r="L29" s="8">
        <v>0.17299999999999999</v>
      </c>
      <c r="M29" t="s">
        <v>174</v>
      </c>
      <c r="N29" s="8">
        <v>1.62</v>
      </c>
      <c r="O29" t="s">
        <v>174</v>
      </c>
      <c r="P29" s="8">
        <v>1.7</v>
      </c>
      <c r="Q29" t="s">
        <v>174</v>
      </c>
      <c r="R29" s="8">
        <v>2.21</v>
      </c>
      <c r="S29" t="s">
        <v>174</v>
      </c>
      <c r="T29" s="8">
        <v>2.5099999999999998</v>
      </c>
      <c r="U29" s="10" t="s">
        <v>175</v>
      </c>
      <c r="X29" s="8">
        <v>0.18</v>
      </c>
      <c r="Y29" s="8">
        <v>6.01</v>
      </c>
      <c r="Z29" s="8">
        <v>7.4</v>
      </c>
      <c r="AA29" s="8">
        <v>5.5</v>
      </c>
      <c r="AB29" s="8">
        <v>2.9</v>
      </c>
      <c r="AC29" s="8">
        <v>2.8</v>
      </c>
      <c r="AD29" s="8">
        <v>2.5</v>
      </c>
      <c r="AE29" s="8">
        <v>1.26</v>
      </c>
      <c r="AF29" s="8">
        <v>1.23</v>
      </c>
      <c r="AG29" s="8">
        <v>1.66</v>
      </c>
      <c r="AH29" s="8">
        <v>1.55</v>
      </c>
      <c r="AI29" s="8">
        <v>1.47</v>
      </c>
    </row>
    <row r="30" spans="1:35" x14ac:dyDescent="0.25">
      <c r="B30">
        <v>1.02</v>
      </c>
      <c r="C30" t="s">
        <v>174</v>
      </c>
      <c r="D30" s="8">
        <v>0.3</v>
      </c>
      <c r="E30" t="s">
        <v>174</v>
      </c>
      <c r="F30" s="8">
        <v>0.3</v>
      </c>
      <c r="G30" t="s">
        <v>174</v>
      </c>
      <c r="H30" s="8">
        <v>0.13300000000000001</v>
      </c>
      <c r="I30" t="s">
        <v>174</v>
      </c>
      <c r="J30" s="8">
        <v>0.13900000000000001</v>
      </c>
      <c r="K30" t="s">
        <v>174</v>
      </c>
      <c r="L30" s="8">
        <v>0.16400000000000001</v>
      </c>
      <c r="M30" t="s">
        <v>174</v>
      </c>
      <c r="N30" s="8">
        <v>1.47</v>
      </c>
      <c r="O30" t="s">
        <v>174</v>
      </c>
      <c r="P30" s="8">
        <v>1.55</v>
      </c>
      <c r="Q30" t="s">
        <v>174</v>
      </c>
      <c r="R30" s="8">
        <v>1.88</v>
      </c>
      <c r="S30" t="s">
        <v>174</v>
      </c>
      <c r="T30" s="8">
        <v>2.02</v>
      </c>
      <c r="U30" s="10" t="s">
        <v>175</v>
      </c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</row>
    <row r="31" spans="1:35" x14ac:dyDescent="0.25">
      <c r="B31">
        <v>1.03</v>
      </c>
      <c r="C31" t="s">
        <v>174</v>
      </c>
      <c r="D31" s="8">
        <v>0.35</v>
      </c>
      <c r="E31" t="s">
        <v>174</v>
      </c>
      <c r="F31" s="8">
        <v>0.25</v>
      </c>
      <c r="G31" t="s">
        <v>174</v>
      </c>
      <c r="H31" s="8">
        <v>0.14699999999999999</v>
      </c>
      <c r="I31" t="s">
        <v>174</v>
      </c>
      <c r="J31" s="8">
        <v>0.15</v>
      </c>
      <c r="K31" t="s">
        <v>174</v>
      </c>
      <c r="L31" s="8">
        <v>0.184</v>
      </c>
      <c r="M31" t="s">
        <v>174</v>
      </c>
      <c r="N31" s="8">
        <v>1.67</v>
      </c>
      <c r="O31" t="s">
        <v>174</v>
      </c>
      <c r="P31" s="8">
        <v>1.76</v>
      </c>
      <c r="Q31" t="s">
        <v>174</v>
      </c>
      <c r="R31" s="8">
        <v>2.16</v>
      </c>
      <c r="S31" t="s">
        <v>174</v>
      </c>
      <c r="T31" s="8">
        <v>2.5</v>
      </c>
      <c r="U31" s="10" t="s">
        <v>175</v>
      </c>
      <c r="X31" s="8">
        <v>0.28000000000000003</v>
      </c>
      <c r="Y31" s="8">
        <v>10.55</v>
      </c>
      <c r="Z31" s="8">
        <v>14.3</v>
      </c>
      <c r="AA31" s="8">
        <v>11</v>
      </c>
      <c r="AB31" s="8">
        <v>5.5</v>
      </c>
      <c r="AC31" s="8">
        <v>5.4</v>
      </c>
      <c r="AD31" s="8">
        <v>4.9000000000000004</v>
      </c>
      <c r="AE31" s="8">
        <v>1.53</v>
      </c>
      <c r="AF31" s="8">
        <v>1.46</v>
      </c>
      <c r="AG31" s="8">
        <v>2.13</v>
      </c>
      <c r="AH31" s="8">
        <v>2.36</v>
      </c>
      <c r="AI31" s="8">
        <v>2.2999999999999998</v>
      </c>
    </row>
    <row r="32" spans="1:35" x14ac:dyDescent="0.25">
      <c r="B32">
        <v>1.04</v>
      </c>
      <c r="C32" t="s">
        <v>174</v>
      </c>
      <c r="D32" s="8">
        <v>0.35</v>
      </c>
      <c r="E32" t="s">
        <v>174</v>
      </c>
      <c r="F32" s="8">
        <v>0.25</v>
      </c>
      <c r="G32" t="s">
        <v>174</v>
      </c>
      <c r="H32" s="8">
        <v>0.13700000000000001</v>
      </c>
      <c r="I32" t="s">
        <v>174</v>
      </c>
      <c r="J32" s="8">
        <v>0.14199999999999999</v>
      </c>
      <c r="K32" t="s">
        <v>174</v>
      </c>
      <c r="L32" s="8">
        <v>0.17399999999999999</v>
      </c>
      <c r="M32" t="s">
        <v>174</v>
      </c>
      <c r="N32" s="8">
        <v>1.48</v>
      </c>
      <c r="O32" t="s">
        <v>174</v>
      </c>
      <c r="P32" s="8">
        <v>1.57</v>
      </c>
      <c r="Q32" t="s">
        <v>174</v>
      </c>
      <c r="R32" s="8">
        <v>1.84</v>
      </c>
      <c r="S32" t="s">
        <v>174</v>
      </c>
      <c r="T32" s="8">
        <v>2</v>
      </c>
      <c r="U32" s="10" t="s">
        <v>175</v>
      </c>
      <c r="X32" s="8">
        <v>0.13</v>
      </c>
      <c r="Y32" s="8">
        <v>4</v>
      </c>
      <c r="Z32" s="8">
        <v>5.8</v>
      </c>
      <c r="AA32" s="8">
        <v>3.6</v>
      </c>
      <c r="AB32" s="8">
        <v>1.7</v>
      </c>
      <c r="AC32" s="8">
        <v>2.1</v>
      </c>
      <c r="AD32" s="8">
        <v>1.7</v>
      </c>
      <c r="AE32" s="8">
        <v>0.99</v>
      </c>
      <c r="AF32" s="8">
        <v>0.99</v>
      </c>
      <c r="AG32" s="8"/>
      <c r="AH32" s="8">
        <v>1.19</v>
      </c>
      <c r="AI32" s="8"/>
    </row>
    <row r="33" spans="2:35" x14ac:dyDescent="0.25">
      <c r="B33">
        <v>1.05</v>
      </c>
      <c r="C33" t="s">
        <v>174</v>
      </c>
      <c r="D33" s="8">
        <v>0.4</v>
      </c>
      <c r="E33" t="s">
        <v>174</v>
      </c>
      <c r="F33" s="8">
        <v>0.2</v>
      </c>
      <c r="G33" t="s">
        <v>174</v>
      </c>
      <c r="H33" s="8">
        <v>0.15</v>
      </c>
      <c r="I33" t="s">
        <v>174</v>
      </c>
      <c r="J33" s="8">
        <v>0.153</v>
      </c>
      <c r="K33" t="s">
        <v>174</v>
      </c>
      <c r="L33" s="8">
        <v>0.191</v>
      </c>
      <c r="M33" t="s">
        <v>174</v>
      </c>
      <c r="N33" s="8">
        <v>1.67</v>
      </c>
      <c r="O33" t="s">
        <v>174</v>
      </c>
      <c r="P33" s="8">
        <v>1.79</v>
      </c>
      <c r="Q33" t="s">
        <v>174</v>
      </c>
      <c r="R33" s="8">
        <v>2.14</v>
      </c>
      <c r="S33" t="s">
        <v>174</v>
      </c>
      <c r="T33" s="8">
        <v>2.4900000000000002</v>
      </c>
      <c r="U33" s="10" t="s">
        <v>175</v>
      </c>
      <c r="X33" s="8">
        <v>0.41</v>
      </c>
      <c r="Y33" s="8">
        <v>16.34</v>
      </c>
      <c r="Z33" s="8">
        <v>21.2</v>
      </c>
      <c r="AA33" s="8">
        <v>16.399999999999999</v>
      </c>
      <c r="AB33" s="8">
        <v>9.8000000000000007</v>
      </c>
      <c r="AC33" s="8">
        <v>7.9</v>
      </c>
      <c r="AD33" s="8">
        <v>6.6</v>
      </c>
      <c r="AE33" s="8">
        <v>1.74</v>
      </c>
      <c r="AF33" s="8">
        <v>1.54</v>
      </c>
      <c r="AG33" s="8">
        <v>2.15</v>
      </c>
      <c r="AH33" s="8">
        <v>2.58</v>
      </c>
      <c r="AI33" s="8">
        <v>2.57</v>
      </c>
    </row>
    <row r="34" spans="2:35" x14ac:dyDescent="0.25">
      <c r="B34">
        <v>1.06</v>
      </c>
      <c r="C34" t="s">
        <v>174</v>
      </c>
      <c r="D34" s="8">
        <v>0.4</v>
      </c>
      <c r="E34" t="s">
        <v>174</v>
      </c>
      <c r="F34" s="8">
        <v>0.2</v>
      </c>
      <c r="G34" t="s">
        <v>174</v>
      </c>
      <c r="H34" s="8">
        <v>0.14000000000000001</v>
      </c>
      <c r="I34" t="s">
        <v>174</v>
      </c>
      <c r="J34" s="8">
        <v>0.14499999999999999</v>
      </c>
      <c r="K34" t="s">
        <v>174</v>
      </c>
      <c r="L34" s="8">
        <v>0.183</v>
      </c>
      <c r="M34" t="s">
        <v>174</v>
      </c>
      <c r="N34" s="8">
        <v>1.48</v>
      </c>
      <c r="O34" t="s">
        <v>174</v>
      </c>
      <c r="P34" s="8">
        <v>1.57</v>
      </c>
      <c r="Q34" t="s">
        <v>174</v>
      </c>
      <c r="R34" s="8">
        <v>1.79</v>
      </c>
      <c r="S34" t="s">
        <v>174</v>
      </c>
      <c r="T34" s="8">
        <v>1.99</v>
      </c>
      <c r="U34" s="10" t="s">
        <v>175</v>
      </c>
      <c r="X34" s="8">
        <v>0.27</v>
      </c>
      <c r="Y34" s="8">
        <v>7.68</v>
      </c>
      <c r="Z34" s="8">
        <v>12.1</v>
      </c>
      <c r="AA34" s="8">
        <v>8.5</v>
      </c>
      <c r="AB34" s="8">
        <v>4.5999999999999996</v>
      </c>
      <c r="AC34" s="8">
        <v>4.3</v>
      </c>
      <c r="AD34" s="8">
        <v>3.5</v>
      </c>
      <c r="AE34" s="8">
        <v>1.39</v>
      </c>
      <c r="AF34" s="8">
        <v>1.34</v>
      </c>
      <c r="AG34" s="8">
        <v>1.85</v>
      </c>
      <c r="AH34" s="8">
        <v>1.94</v>
      </c>
      <c r="AI34" s="8">
        <v>2.0699999999999998</v>
      </c>
    </row>
    <row r="35" spans="2:35" x14ac:dyDescent="0.25">
      <c r="B35">
        <v>1.07</v>
      </c>
      <c r="C35" t="s">
        <v>174</v>
      </c>
      <c r="D35" s="8">
        <v>0.4</v>
      </c>
      <c r="E35" t="s">
        <v>174</v>
      </c>
      <c r="F35" s="8">
        <v>0.2</v>
      </c>
      <c r="G35" t="s">
        <v>174</v>
      </c>
      <c r="H35" s="8">
        <v>0.13500000000000001</v>
      </c>
      <c r="I35" t="s">
        <v>174</v>
      </c>
      <c r="J35" s="8">
        <v>0.13800000000000001</v>
      </c>
      <c r="K35" t="s">
        <v>174</v>
      </c>
      <c r="L35" s="8">
        <v>0.17499999999999999</v>
      </c>
      <c r="M35" t="s">
        <v>174</v>
      </c>
      <c r="N35" s="8">
        <v>1.34</v>
      </c>
      <c r="O35" t="s">
        <v>174</v>
      </c>
      <c r="P35" s="8">
        <v>1.39</v>
      </c>
      <c r="Q35" t="s">
        <v>174</v>
      </c>
      <c r="R35" s="8">
        <v>1.51</v>
      </c>
      <c r="S35" t="s">
        <v>174</v>
      </c>
      <c r="T35" s="8">
        <v>1.59</v>
      </c>
      <c r="U35" s="10" t="s">
        <v>175</v>
      </c>
      <c r="X35" s="8">
        <v>0.13</v>
      </c>
      <c r="Y35" s="8">
        <v>3.86</v>
      </c>
      <c r="Z35" s="8">
        <v>6.4</v>
      </c>
      <c r="AA35" s="8">
        <v>3.9</v>
      </c>
      <c r="AB35" s="8">
        <v>1.9</v>
      </c>
      <c r="AC35" s="8">
        <v>1.8</v>
      </c>
      <c r="AD35" s="8">
        <v>0</v>
      </c>
      <c r="AE35" s="8">
        <v>0.84</v>
      </c>
      <c r="AF35" s="8">
        <v>1</v>
      </c>
      <c r="AG35" s="8">
        <v>0</v>
      </c>
      <c r="AH35" s="8">
        <v>0</v>
      </c>
      <c r="AI35" s="8">
        <v>0</v>
      </c>
    </row>
    <row r="36" spans="2:35" x14ac:dyDescent="0.25">
      <c r="B36">
        <v>1.08</v>
      </c>
      <c r="C36" t="s">
        <v>174</v>
      </c>
      <c r="D36" s="8">
        <v>0.45</v>
      </c>
      <c r="E36" t="s">
        <v>174</v>
      </c>
      <c r="F36" s="8">
        <v>0.15</v>
      </c>
      <c r="G36" t="s">
        <v>174</v>
      </c>
      <c r="H36" s="8">
        <v>0.14299999999999999</v>
      </c>
      <c r="I36" t="s">
        <v>174</v>
      </c>
      <c r="J36" s="8">
        <v>0.14699999999999999</v>
      </c>
      <c r="K36" t="s">
        <v>174</v>
      </c>
      <c r="L36" s="8">
        <v>0.189</v>
      </c>
      <c r="M36" t="s">
        <v>174</v>
      </c>
      <c r="N36" s="8">
        <v>1.5</v>
      </c>
      <c r="O36" t="s">
        <v>174</v>
      </c>
      <c r="P36" s="8">
        <v>1.6</v>
      </c>
      <c r="Q36" t="s">
        <v>174</v>
      </c>
      <c r="R36" s="8">
        <v>1.78</v>
      </c>
      <c r="S36" t="s">
        <v>174</v>
      </c>
      <c r="T36" s="8">
        <v>1.98</v>
      </c>
      <c r="U36" s="10" t="s">
        <v>175</v>
      </c>
      <c r="X36" s="8">
        <v>0.48</v>
      </c>
      <c r="Y36" s="8">
        <v>12.15</v>
      </c>
      <c r="Z36" s="8">
        <v>20.399999999999999</v>
      </c>
      <c r="AA36" s="8">
        <v>14.2</v>
      </c>
      <c r="AB36" s="8">
        <v>7.6</v>
      </c>
      <c r="AC36" s="8">
        <v>6.5</v>
      </c>
      <c r="AD36" s="8">
        <v>5.6</v>
      </c>
      <c r="AE36" s="8">
        <v>1.64</v>
      </c>
      <c r="AF36" s="8">
        <v>1.42</v>
      </c>
      <c r="AG36" s="8">
        <v>2.09</v>
      </c>
      <c r="AH36" s="8">
        <v>2.38</v>
      </c>
      <c r="AI36" s="8">
        <v>2.4300000000000002</v>
      </c>
    </row>
    <row r="37" spans="2:35" x14ac:dyDescent="0.25">
      <c r="B37">
        <v>1.0900000000000001</v>
      </c>
      <c r="C37" t="s">
        <v>174</v>
      </c>
      <c r="D37" s="8">
        <v>0.45</v>
      </c>
      <c r="E37" t="s">
        <v>174</v>
      </c>
      <c r="F37" s="8">
        <v>0.15</v>
      </c>
      <c r="G37" t="s">
        <v>174</v>
      </c>
      <c r="H37" s="8">
        <v>0.13800000000000001</v>
      </c>
      <c r="I37" t="s">
        <v>174</v>
      </c>
      <c r="J37" s="8">
        <v>0.14000000000000001</v>
      </c>
      <c r="K37" t="s">
        <v>174</v>
      </c>
      <c r="L37" s="8">
        <v>0.18</v>
      </c>
      <c r="M37" t="s">
        <v>174</v>
      </c>
      <c r="N37" s="8">
        <v>1.35</v>
      </c>
      <c r="O37" t="s">
        <v>174</v>
      </c>
      <c r="P37" s="8">
        <v>1.41</v>
      </c>
      <c r="Q37" t="s">
        <v>174</v>
      </c>
      <c r="R37" s="8">
        <v>1.51</v>
      </c>
      <c r="S37" t="s">
        <v>174</v>
      </c>
      <c r="T37" s="8">
        <v>1.59</v>
      </c>
      <c r="U37" s="10" t="s">
        <v>175</v>
      </c>
      <c r="X37" s="8">
        <v>0.37</v>
      </c>
      <c r="Y37" s="8">
        <v>6.09</v>
      </c>
      <c r="Z37" s="8">
        <v>11.7</v>
      </c>
      <c r="AA37" s="8">
        <v>7</v>
      </c>
      <c r="AB37" s="8">
        <v>3.7</v>
      </c>
      <c r="AC37" s="8">
        <v>4.0999999999999996</v>
      </c>
      <c r="AD37" s="8">
        <v>3.5</v>
      </c>
      <c r="AE37" s="8">
        <v>1.32</v>
      </c>
      <c r="AF37" s="8">
        <v>1.29</v>
      </c>
      <c r="AG37" s="8">
        <v>1.86</v>
      </c>
      <c r="AH37" s="8">
        <v>1.84</v>
      </c>
      <c r="AI37" s="8">
        <v>1.81</v>
      </c>
    </row>
    <row r="38" spans="2:35" x14ac:dyDescent="0.25">
      <c r="B38" t="s">
        <v>1</v>
      </c>
      <c r="C38" t="s">
        <v>174</v>
      </c>
      <c r="D38" s="8">
        <v>0.5</v>
      </c>
      <c r="E38" t="s">
        <v>174</v>
      </c>
      <c r="F38" s="8">
        <v>0.1</v>
      </c>
      <c r="G38" t="s">
        <v>174</v>
      </c>
      <c r="H38" s="8">
        <v>0.14000000000000001</v>
      </c>
      <c r="I38" t="s">
        <v>174</v>
      </c>
      <c r="J38" s="8">
        <v>0.14399999999999999</v>
      </c>
      <c r="K38" t="s">
        <v>174</v>
      </c>
      <c r="L38" s="8">
        <v>0.192</v>
      </c>
      <c r="M38" t="s">
        <v>174</v>
      </c>
      <c r="N38" s="8">
        <v>1.35</v>
      </c>
      <c r="O38" t="s">
        <v>174</v>
      </c>
      <c r="P38" s="8">
        <v>1.41</v>
      </c>
      <c r="Q38" t="s">
        <v>174</v>
      </c>
      <c r="R38" s="8">
        <v>1.49</v>
      </c>
      <c r="S38" t="s">
        <v>174</v>
      </c>
      <c r="T38" s="8">
        <v>1.59</v>
      </c>
      <c r="U38" s="10" t="s">
        <v>175</v>
      </c>
      <c r="X38" s="8">
        <v>0.62</v>
      </c>
      <c r="Y38" s="8">
        <v>16.57</v>
      </c>
      <c r="Z38" s="8">
        <v>22.9</v>
      </c>
      <c r="AA38" s="8">
        <v>15.6</v>
      </c>
      <c r="AB38" s="8">
        <v>9.3000000000000007</v>
      </c>
      <c r="AC38" s="8">
        <v>7.4</v>
      </c>
      <c r="AD38" s="8">
        <v>6.6</v>
      </c>
      <c r="AE38" s="8">
        <v>1.7</v>
      </c>
      <c r="AF38" s="8">
        <v>1.47</v>
      </c>
      <c r="AG38" s="8">
        <v>2.11</v>
      </c>
      <c r="AH38" s="8">
        <v>2.44</v>
      </c>
      <c r="AI38" s="8">
        <v>2.46</v>
      </c>
    </row>
    <row r="39" spans="2:35" x14ac:dyDescent="0.25">
      <c r="B39">
        <v>2.0099999999999998</v>
      </c>
      <c r="C39" t="s">
        <v>174</v>
      </c>
      <c r="D39" s="8">
        <v>0.4</v>
      </c>
      <c r="E39" t="s">
        <v>174</v>
      </c>
      <c r="F39" s="8">
        <v>0.2</v>
      </c>
      <c r="G39" t="s">
        <v>174</v>
      </c>
      <c r="H39" s="8">
        <v>0.14599999999999999</v>
      </c>
      <c r="I39" t="s">
        <v>174</v>
      </c>
      <c r="J39" s="8">
        <v>0.152</v>
      </c>
      <c r="K39" t="s">
        <v>174</v>
      </c>
      <c r="L39" s="8">
        <v>0.185</v>
      </c>
      <c r="M39" t="s">
        <v>174</v>
      </c>
      <c r="N39" s="8">
        <v>1.6</v>
      </c>
      <c r="O39" t="s">
        <v>174</v>
      </c>
      <c r="P39" s="8">
        <v>1.7</v>
      </c>
      <c r="Q39" t="s">
        <v>174</v>
      </c>
      <c r="R39" s="8">
        <v>2.0299999999999998</v>
      </c>
      <c r="S39" t="s">
        <v>174</v>
      </c>
      <c r="T39" s="8">
        <v>2.5</v>
      </c>
      <c r="U39" s="10" t="s">
        <v>175</v>
      </c>
      <c r="X39" s="8">
        <v>0.36</v>
      </c>
      <c r="Y39" s="8">
        <v>10.92</v>
      </c>
      <c r="Z39" s="8">
        <v>16</v>
      </c>
      <c r="AA39" s="8">
        <v>11.3</v>
      </c>
      <c r="AB39" s="8">
        <v>5.8</v>
      </c>
      <c r="AC39" s="8">
        <v>5.7</v>
      </c>
      <c r="AD39" s="8">
        <v>4.9000000000000004</v>
      </c>
      <c r="AE39" s="8">
        <v>1.55</v>
      </c>
      <c r="AF39" s="8">
        <v>1.46</v>
      </c>
      <c r="AG39" s="8">
        <v>2.0699999999999998</v>
      </c>
      <c r="AH39" s="8">
        <v>2.2999999999999998</v>
      </c>
      <c r="AI39" s="8">
        <v>2.34</v>
      </c>
    </row>
    <row r="40" spans="2:35" x14ac:dyDescent="0.25">
      <c r="B40">
        <v>2.02</v>
      </c>
      <c r="C40" t="s">
        <v>174</v>
      </c>
      <c r="D40" s="8">
        <v>0.4</v>
      </c>
      <c r="E40" t="s">
        <v>174</v>
      </c>
      <c r="F40" s="8">
        <v>0.2</v>
      </c>
      <c r="G40" t="s">
        <v>174</v>
      </c>
      <c r="H40" s="8">
        <v>0.14099999999999999</v>
      </c>
      <c r="I40" t="s">
        <v>174</v>
      </c>
      <c r="J40" s="8">
        <v>0.14799999999999999</v>
      </c>
      <c r="K40" t="s">
        <v>174</v>
      </c>
      <c r="L40" s="8">
        <v>0.18</v>
      </c>
      <c r="M40" t="s">
        <v>174</v>
      </c>
      <c r="N40" s="8">
        <v>1.5</v>
      </c>
      <c r="O40" t="s">
        <v>174</v>
      </c>
      <c r="P40" s="8">
        <v>1.61</v>
      </c>
      <c r="Q40" t="s">
        <v>174</v>
      </c>
      <c r="R40" s="8">
        <v>1.92</v>
      </c>
      <c r="S40" t="s">
        <v>174</v>
      </c>
      <c r="T40" s="8">
        <v>2.5</v>
      </c>
      <c r="U40" s="10" t="s">
        <v>175</v>
      </c>
      <c r="X40" s="8">
        <v>0.28999999999999998</v>
      </c>
      <c r="Y40" s="8">
        <v>9.19</v>
      </c>
      <c r="Z40" s="8">
        <v>14</v>
      </c>
      <c r="AA40" s="8">
        <v>9.6999999999999993</v>
      </c>
      <c r="AB40" s="8">
        <v>4.9000000000000004</v>
      </c>
      <c r="AC40" s="8">
        <v>4.7</v>
      </c>
      <c r="AD40" s="8">
        <v>4.5</v>
      </c>
      <c r="AE40" s="8">
        <v>1.53</v>
      </c>
      <c r="AF40" s="8">
        <v>1.35</v>
      </c>
      <c r="AG40" s="8">
        <v>1.96</v>
      </c>
      <c r="AH40" s="8">
        <v>2.12</v>
      </c>
      <c r="AI40" s="8">
        <v>2.09</v>
      </c>
    </row>
    <row r="41" spans="2:35" x14ac:dyDescent="0.25">
      <c r="B41">
        <v>2.0299999999999998</v>
      </c>
      <c r="C41" t="s">
        <v>174</v>
      </c>
      <c r="D41" s="8">
        <v>0.4</v>
      </c>
      <c r="E41" t="s">
        <v>174</v>
      </c>
      <c r="F41" s="8">
        <v>0.2</v>
      </c>
      <c r="G41" t="s">
        <v>174</v>
      </c>
      <c r="H41" s="8">
        <v>0.13100000000000001</v>
      </c>
      <c r="I41" t="s">
        <v>174</v>
      </c>
      <c r="J41" s="8">
        <v>0.13900000000000001</v>
      </c>
      <c r="K41" t="s">
        <v>174</v>
      </c>
      <c r="L41" s="8">
        <v>0.16900000000000001</v>
      </c>
      <c r="M41" t="s">
        <v>174</v>
      </c>
      <c r="N41" s="8">
        <v>1.42</v>
      </c>
      <c r="O41" t="s">
        <v>174</v>
      </c>
      <c r="P41" s="8">
        <v>1.53</v>
      </c>
      <c r="Q41" t="s">
        <v>174</v>
      </c>
      <c r="R41" s="8">
        <v>1.84</v>
      </c>
      <c r="S41" t="s">
        <v>174</v>
      </c>
      <c r="T41" s="8">
        <v>2.4500000000000002</v>
      </c>
      <c r="U41" s="10" t="s">
        <v>175</v>
      </c>
      <c r="X41" s="8">
        <v>0.26</v>
      </c>
      <c r="Y41" s="8">
        <v>8.09</v>
      </c>
      <c r="Z41" s="8">
        <v>11.7</v>
      </c>
      <c r="AA41" s="8">
        <v>8.1</v>
      </c>
      <c r="AB41" s="8">
        <v>4.0999999999999996</v>
      </c>
      <c r="AC41" s="8">
        <v>4.5</v>
      </c>
      <c r="AD41" s="8">
        <v>3.7</v>
      </c>
      <c r="AE41" s="8">
        <v>1.44</v>
      </c>
      <c r="AF41" s="8">
        <v>1.35</v>
      </c>
      <c r="AG41" s="8">
        <v>1.94</v>
      </c>
      <c r="AH41" s="8">
        <v>1.99</v>
      </c>
      <c r="AI41" s="8">
        <v>2.06</v>
      </c>
    </row>
    <row r="42" spans="2:35" x14ac:dyDescent="0.25">
      <c r="B42">
        <v>2.04</v>
      </c>
      <c r="C42" t="s">
        <v>174</v>
      </c>
      <c r="D42" s="8">
        <v>0.4</v>
      </c>
      <c r="E42" t="s">
        <v>174</v>
      </c>
      <c r="F42" s="8">
        <v>0.2</v>
      </c>
      <c r="G42" t="s">
        <v>174</v>
      </c>
      <c r="H42" s="8">
        <v>0.122</v>
      </c>
      <c r="I42" t="s">
        <v>174</v>
      </c>
      <c r="J42" s="8">
        <v>0.13</v>
      </c>
      <c r="K42" t="s">
        <v>174</v>
      </c>
      <c r="L42" s="8">
        <v>0.159</v>
      </c>
      <c r="M42" t="s">
        <v>174</v>
      </c>
      <c r="N42" s="8">
        <v>1.4</v>
      </c>
      <c r="O42" t="s">
        <v>174</v>
      </c>
      <c r="P42" s="8">
        <v>1.52</v>
      </c>
      <c r="Q42" t="s">
        <v>174</v>
      </c>
      <c r="R42" s="8">
        <v>1.86</v>
      </c>
      <c r="S42" t="s">
        <v>174</v>
      </c>
      <c r="T42" s="8">
        <v>2.4500000000000002</v>
      </c>
      <c r="U42" s="10" t="s">
        <v>175</v>
      </c>
      <c r="X42" s="8">
        <v>0.22</v>
      </c>
      <c r="Y42" s="8">
        <v>6.76</v>
      </c>
      <c r="Z42" s="8">
        <v>10.1</v>
      </c>
      <c r="AA42" s="8">
        <v>7.3</v>
      </c>
      <c r="AB42" s="8">
        <v>3.4</v>
      </c>
      <c r="AC42" s="8">
        <v>3.7</v>
      </c>
      <c r="AD42" s="8">
        <v>3.4</v>
      </c>
      <c r="AE42" s="8">
        <v>1.29</v>
      </c>
      <c r="AF42" s="8">
        <v>1.33</v>
      </c>
      <c r="AG42" s="8">
        <v>1.86</v>
      </c>
      <c r="AH42" s="8">
        <v>1.88</v>
      </c>
      <c r="AI42" s="8">
        <v>1.9</v>
      </c>
    </row>
    <row r="43" spans="2:35" x14ac:dyDescent="0.25">
      <c r="B43">
        <v>2.0499999999999998</v>
      </c>
      <c r="C43" t="s">
        <v>174</v>
      </c>
      <c r="D43" s="8">
        <v>0.4</v>
      </c>
      <c r="E43" t="s">
        <v>174</v>
      </c>
      <c r="F43" s="8">
        <v>0.2</v>
      </c>
      <c r="G43" t="s">
        <v>174</v>
      </c>
      <c r="H43" s="8">
        <v>0.13700000000000001</v>
      </c>
      <c r="I43" t="s">
        <v>174</v>
      </c>
      <c r="J43" s="8">
        <v>0.14199999999999999</v>
      </c>
      <c r="K43" t="s">
        <v>174</v>
      </c>
      <c r="L43" s="8">
        <v>0.17699999999999999</v>
      </c>
      <c r="M43" t="s">
        <v>174</v>
      </c>
      <c r="N43" s="8">
        <v>1.42</v>
      </c>
      <c r="O43" t="s">
        <v>174</v>
      </c>
      <c r="P43" s="8">
        <v>1.5</v>
      </c>
      <c r="Q43" t="s">
        <v>174</v>
      </c>
      <c r="R43" s="8">
        <v>1.69</v>
      </c>
      <c r="S43" t="s">
        <v>174</v>
      </c>
      <c r="T43" s="8">
        <v>2</v>
      </c>
      <c r="U43" s="10" t="s">
        <v>175</v>
      </c>
      <c r="X43" s="8">
        <v>0.19</v>
      </c>
      <c r="Y43" s="8">
        <v>5.63</v>
      </c>
      <c r="Z43" s="8">
        <v>7.6</v>
      </c>
      <c r="AA43" s="8">
        <v>5</v>
      </c>
      <c r="AB43" s="8">
        <v>2.4</v>
      </c>
      <c r="AC43" s="8">
        <v>3.1</v>
      </c>
      <c r="AD43" s="8">
        <v>2.4</v>
      </c>
      <c r="AE43" s="8">
        <v>1.0900000000000001</v>
      </c>
      <c r="AF43" s="8">
        <v>1.17</v>
      </c>
      <c r="AG43" s="8">
        <v>1.71</v>
      </c>
      <c r="AH43" s="8">
        <v>1.56</v>
      </c>
      <c r="AI43" s="8">
        <v>1.68</v>
      </c>
    </row>
    <row r="44" spans="2:35" x14ac:dyDescent="0.25">
      <c r="B44">
        <v>2.06</v>
      </c>
      <c r="C44" t="s">
        <v>174</v>
      </c>
      <c r="D44" s="8">
        <v>0.4</v>
      </c>
      <c r="E44" t="s">
        <v>174</v>
      </c>
      <c r="F44" s="8">
        <v>0.2</v>
      </c>
      <c r="G44" t="s">
        <v>174</v>
      </c>
      <c r="H44" s="8">
        <v>0.13200000000000001</v>
      </c>
      <c r="I44" t="s">
        <v>174</v>
      </c>
      <c r="J44" s="8">
        <v>0.13800000000000001</v>
      </c>
      <c r="K44" t="s">
        <v>174</v>
      </c>
      <c r="L44" s="8">
        <v>0.16800000000000001</v>
      </c>
      <c r="M44" t="s">
        <v>174</v>
      </c>
      <c r="N44" s="8">
        <v>1.34</v>
      </c>
      <c r="O44" t="s">
        <v>174</v>
      </c>
      <c r="P44" s="8">
        <v>1.43</v>
      </c>
      <c r="Q44" t="s">
        <v>174</v>
      </c>
      <c r="R44" s="8">
        <v>1.62</v>
      </c>
      <c r="S44" t="s">
        <v>174</v>
      </c>
      <c r="T44" s="8">
        <v>2</v>
      </c>
      <c r="U44" s="10" t="s">
        <v>175</v>
      </c>
      <c r="X44" s="8">
        <v>0.17</v>
      </c>
      <c r="Y44" s="8">
        <v>5.28</v>
      </c>
      <c r="Z44" s="8">
        <v>7.6</v>
      </c>
      <c r="AA44" s="8">
        <v>5</v>
      </c>
      <c r="AB44" s="8">
        <v>2.5</v>
      </c>
      <c r="AC44" s="8">
        <v>2.8</v>
      </c>
      <c r="AD44" s="8">
        <v>2.2000000000000002</v>
      </c>
      <c r="AE44" s="8">
        <v>1.08</v>
      </c>
      <c r="AF44" s="8">
        <v>1.1100000000000001</v>
      </c>
      <c r="AG44" s="8">
        <v>1.58</v>
      </c>
      <c r="AH44" s="8">
        <v>1.54</v>
      </c>
      <c r="AI44" s="8">
        <v>1.53</v>
      </c>
    </row>
    <row r="45" spans="2:35" x14ac:dyDescent="0.25">
      <c r="B45">
        <v>2.0699999999999998</v>
      </c>
      <c r="C45" t="s">
        <v>174</v>
      </c>
      <c r="D45" s="8">
        <v>0.4</v>
      </c>
      <c r="E45" t="s">
        <v>174</v>
      </c>
      <c r="F45" s="8">
        <v>0.2</v>
      </c>
      <c r="G45" t="s">
        <v>174</v>
      </c>
      <c r="H45" s="8">
        <v>0.13</v>
      </c>
      <c r="I45" t="s">
        <v>174</v>
      </c>
      <c r="J45" s="8">
        <v>0.13300000000000001</v>
      </c>
      <c r="K45" t="s">
        <v>174</v>
      </c>
      <c r="L45" s="8">
        <v>0.17100000000000001</v>
      </c>
      <c r="M45" t="s">
        <v>174</v>
      </c>
      <c r="N45" s="8">
        <v>1.27</v>
      </c>
      <c r="O45" t="s">
        <v>174</v>
      </c>
      <c r="P45" s="8">
        <v>1.33</v>
      </c>
      <c r="Q45" t="s">
        <v>174</v>
      </c>
      <c r="R45" s="8">
        <v>1.45</v>
      </c>
      <c r="S45" t="s">
        <v>174</v>
      </c>
      <c r="T45" s="8">
        <v>1.6</v>
      </c>
      <c r="U45" s="10" t="s">
        <v>175</v>
      </c>
      <c r="X45" s="8">
        <v>0.09</v>
      </c>
      <c r="Y45" s="8">
        <v>2.85</v>
      </c>
      <c r="Z45" s="8">
        <v>3.3</v>
      </c>
      <c r="AA45" s="8">
        <v>1.9</v>
      </c>
      <c r="AB45" s="8">
        <v>1.1000000000000001</v>
      </c>
      <c r="AC45" s="8">
        <v>1.3</v>
      </c>
      <c r="AD45" s="8">
        <v>0</v>
      </c>
      <c r="AE45" s="8">
        <v>0.76</v>
      </c>
      <c r="AF45" s="8">
        <v>0</v>
      </c>
      <c r="AG45" s="8">
        <v>0</v>
      </c>
      <c r="AH45" s="8">
        <v>0</v>
      </c>
      <c r="AI45" s="8">
        <v>0</v>
      </c>
    </row>
    <row r="46" spans="2:35" x14ac:dyDescent="0.25">
      <c r="B46">
        <v>2.08</v>
      </c>
      <c r="C46" t="s">
        <v>174</v>
      </c>
      <c r="D46" s="8">
        <v>0.4</v>
      </c>
      <c r="E46" t="s">
        <v>174</v>
      </c>
      <c r="F46" s="8">
        <v>0.2</v>
      </c>
      <c r="G46" t="s">
        <v>174</v>
      </c>
      <c r="H46" s="8">
        <v>0.124</v>
      </c>
      <c r="I46" t="s">
        <v>174</v>
      </c>
      <c r="J46" s="8">
        <v>0.126</v>
      </c>
      <c r="K46" t="s">
        <v>174</v>
      </c>
      <c r="L46" s="8">
        <v>0.16200000000000001</v>
      </c>
      <c r="M46" t="s">
        <v>174</v>
      </c>
      <c r="N46" s="8">
        <v>1.25</v>
      </c>
      <c r="O46" t="s">
        <v>174</v>
      </c>
      <c r="P46" s="8">
        <v>1.3</v>
      </c>
      <c r="Q46" t="s">
        <v>174</v>
      </c>
      <c r="R46" s="8">
        <v>1.44</v>
      </c>
      <c r="S46" t="s">
        <v>174</v>
      </c>
      <c r="T46" s="8">
        <v>1.58</v>
      </c>
      <c r="U46" s="10" t="s">
        <v>175</v>
      </c>
      <c r="X46" s="8">
        <v>0.08</v>
      </c>
      <c r="Y46" s="8">
        <v>1.93</v>
      </c>
      <c r="Z46" s="8">
        <v>2.5</v>
      </c>
      <c r="AA46" s="8">
        <v>1.5</v>
      </c>
      <c r="AB46" s="8">
        <v>0</v>
      </c>
      <c r="AC46" s="8">
        <v>1.1000000000000001</v>
      </c>
      <c r="AD46" s="8">
        <v>0</v>
      </c>
      <c r="AE46" s="8">
        <v>0.71</v>
      </c>
      <c r="AF46" s="8">
        <v>0</v>
      </c>
      <c r="AG46" s="8">
        <v>0</v>
      </c>
      <c r="AH46" s="8">
        <v>0</v>
      </c>
      <c r="AI46" s="8">
        <v>0</v>
      </c>
    </row>
    <row r="48" spans="2:35" x14ac:dyDescent="0.25">
      <c r="W48" t="s">
        <v>179</v>
      </c>
      <c r="X48" t="s">
        <v>13</v>
      </c>
      <c r="Y48" t="s">
        <v>14</v>
      </c>
      <c r="Z48" t="s">
        <v>15</v>
      </c>
      <c r="AE48" t="s">
        <v>21</v>
      </c>
    </row>
    <row r="49" spans="24:35" x14ac:dyDescent="0.25">
      <c r="Y49" t="s">
        <v>22</v>
      </c>
      <c r="Z49" t="s">
        <v>16</v>
      </c>
      <c r="AA49" t="s">
        <v>17</v>
      </c>
      <c r="AB49" t="s">
        <v>18</v>
      </c>
      <c r="AC49" t="s">
        <v>19</v>
      </c>
      <c r="AD49" t="s">
        <v>20</v>
      </c>
      <c r="AE49" t="s">
        <v>16</v>
      </c>
      <c r="AF49" t="s">
        <v>17</v>
      </c>
      <c r="AG49" t="s">
        <v>18</v>
      </c>
      <c r="AH49" t="s">
        <v>19</v>
      </c>
      <c r="AI49" t="s">
        <v>20</v>
      </c>
    </row>
    <row r="50" spans="24:35" x14ac:dyDescent="0.25">
      <c r="X50" s="8">
        <v>0.13</v>
      </c>
      <c r="Y50" s="8">
        <v>6.12</v>
      </c>
      <c r="Z50" s="8">
        <v>7.1</v>
      </c>
      <c r="AA50" s="8">
        <v>6.5</v>
      </c>
      <c r="AB50" s="8">
        <v>2.8</v>
      </c>
      <c r="AC50" s="8">
        <v>2.8</v>
      </c>
      <c r="AD50" s="8">
        <v>2.2999999999999998</v>
      </c>
      <c r="AE50" s="8">
        <v>1.1200000000000001</v>
      </c>
      <c r="AF50" s="8">
        <v>0.63</v>
      </c>
      <c r="AG50" s="8">
        <v>1.48</v>
      </c>
      <c r="AH50" s="8">
        <v>1.64</v>
      </c>
      <c r="AI50" s="8">
        <v>1.44</v>
      </c>
    </row>
    <row r="51" spans="24:35" x14ac:dyDescent="0.25"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</row>
    <row r="52" spans="24:35" x14ac:dyDescent="0.25">
      <c r="X52" s="8">
        <v>0.2</v>
      </c>
      <c r="Y52" s="8">
        <v>0</v>
      </c>
      <c r="Z52" s="8">
        <v>13.9</v>
      </c>
      <c r="AA52" s="8">
        <v>10.5</v>
      </c>
      <c r="AB52" s="8">
        <v>6.9</v>
      </c>
      <c r="AC52" s="8">
        <v>5.7</v>
      </c>
      <c r="AD52" s="8">
        <v>5.0999999999999996</v>
      </c>
      <c r="AE52" s="8">
        <v>1.57</v>
      </c>
      <c r="AF52" s="8">
        <v>1.1599999999999999</v>
      </c>
      <c r="AG52" s="8">
        <v>1.76</v>
      </c>
      <c r="AH52" s="8">
        <v>2.2000000000000002</v>
      </c>
      <c r="AI52" s="8">
        <v>0</v>
      </c>
    </row>
    <row r="53" spans="24:35" x14ac:dyDescent="0.25">
      <c r="X53" s="8">
        <v>0.1</v>
      </c>
      <c r="Y53" s="8">
        <v>5.56</v>
      </c>
      <c r="Z53" s="8">
        <v>5.7</v>
      </c>
      <c r="AA53" s="8">
        <v>4.2</v>
      </c>
      <c r="AB53" s="8">
        <v>0</v>
      </c>
      <c r="AC53" s="8">
        <v>1.7</v>
      </c>
      <c r="AD53" s="8">
        <v>1.4</v>
      </c>
      <c r="AE53" s="8">
        <v>0.94</v>
      </c>
      <c r="AF53" s="8">
        <v>0</v>
      </c>
      <c r="AG53" s="8">
        <v>0</v>
      </c>
      <c r="AH53" s="8">
        <v>0</v>
      </c>
      <c r="AI53" s="8">
        <v>0</v>
      </c>
    </row>
    <row r="54" spans="24:35" x14ac:dyDescent="0.25">
      <c r="X54" s="8">
        <v>0.2</v>
      </c>
      <c r="Y54" s="8">
        <v>0</v>
      </c>
      <c r="Z54" s="8">
        <v>20.9</v>
      </c>
      <c r="AA54" s="8">
        <v>14.2</v>
      </c>
      <c r="AB54" s="8">
        <v>11.3</v>
      </c>
      <c r="AC54" s="8">
        <v>8.9</v>
      </c>
      <c r="AD54" s="8">
        <v>7.9</v>
      </c>
      <c r="AE54" s="8">
        <v>1.83</v>
      </c>
      <c r="AF54" s="8">
        <v>1.34</v>
      </c>
      <c r="AG54" s="8">
        <v>1.83</v>
      </c>
      <c r="AH54" s="8">
        <v>2.4500000000000002</v>
      </c>
      <c r="AI54" s="8">
        <v>0</v>
      </c>
    </row>
    <row r="55" spans="24:35" x14ac:dyDescent="0.25">
      <c r="X55" s="8">
        <v>0.18</v>
      </c>
      <c r="Y55" s="8">
        <v>0</v>
      </c>
      <c r="Z55" s="8">
        <v>12</v>
      </c>
      <c r="AA55" s="8">
        <v>9.3000000000000007</v>
      </c>
      <c r="AB55" s="8">
        <v>4.9000000000000004</v>
      </c>
      <c r="AC55" s="8">
        <v>4.3</v>
      </c>
      <c r="AD55" s="8">
        <v>4.3</v>
      </c>
      <c r="AE55" s="8">
        <v>1.42</v>
      </c>
      <c r="AF55" s="8">
        <v>0.93</v>
      </c>
      <c r="AG55" s="8">
        <v>1.63</v>
      </c>
      <c r="AH55" s="8">
        <v>1.98</v>
      </c>
      <c r="AI55" s="8">
        <v>0</v>
      </c>
    </row>
    <row r="56" spans="24:35" x14ac:dyDescent="0.25">
      <c r="X56" s="8">
        <v>0.09</v>
      </c>
      <c r="Y56" s="8">
        <v>0</v>
      </c>
      <c r="Z56" s="8">
        <v>5.3</v>
      </c>
      <c r="AA56" s="8">
        <v>4.2</v>
      </c>
      <c r="AB56" s="8">
        <v>0</v>
      </c>
      <c r="AC56" s="8">
        <v>1.2</v>
      </c>
      <c r="AD56" s="8">
        <v>0</v>
      </c>
      <c r="AE56" s="8">
        <v>0.97</v>
      </c>
      <c r="AF56" s="8">
        <v>0</v>
      </c>
      <c r="AG56" s="8">
        <v>0</v>
      </c>
      <c r="AH56" s="8">
        <v>0</v>
      </c>
      <c r="AI56" s="8">
        <v>0</v>
      </c>
    </row>
    <row r="57" spans="24:35" x14ac:dyDescent="0.25">
      <c r="X57" s="8">
        <v>0.12</v>
      </c>
      <c r="Y57" s="8">
        <v>13.4</v>
      </c>
      <c r="Z57" s="8">
        <v>20.3</v>
      </c>
      <c r="AA57" s="8">
        <v>12.3</v>
      </c>
      <c r="AB57" s="8">
        <v>7.9</v>
      </c>
      <c r="AC57" s="8">
        <v>6.4</v>
      </c>
      <c r="AD57" s="8">
        <v>5.3</v>
      </c>
      <c r="AE57" s="8">
        <v>1.59</v>
      </c>
      <c r="AF57" s="8">
        <v>1.17</v>
      </c>
      <c r="AG57" s="8">
        <v>1.78</v>
      </c>
      <c r="AH57" s="8">
        <v>2.31</v>
      </c>
      <c r="AI57" s="8">
        <v>2.37</v>
      </c>
    </row>
    <row r="58" spans="24:35" x14ac:dyDescent="0.25">
      <c r="X58" s="8">
        <v>0.2</v>
      </c>
      <c r="Y58" s="8">
        <v>6.99</v>
      </c>
      <c r="Z58" s="8">
        <v>12.9</v>
      </c>
      <c r="AA58" s="8">
        <v>7.9</v>
      </c>
      <c r="AB58" s="8">
        <v>3.4</v>
      </c>
      <c r="AC58" s="8">
        <v>3.4</v>
      </c>
      <c r="AD58" s="8">
        <v>3</v>
      </c>
      <c r="AE58" s="8">
        <v>1.2</v>
      </c>
      <c r="AF58" s="8">
        <v>0.75</v>
      </c>
      <c r="AG58" s="8">
        <v>1.57</v>
      </c>
      <c r="AH58" s="8">
        <v>1.76</v>
      </c>
      <c r="AI58" s="8">
        <v>1.57</v>
      </c>
    </row>
    <row r="59" spans="24:35" x14ac:dyDescent="0.25">
      <c r="X59" s="8">
        <v>0.16</v>
      </c>
      <c r="Y59" s="8">
        <v>18.41</v>
      </c>
      <c r="Z59" s="8">
        <v>22</v>
      </c>
      <c r="AA59" s="8">
        <v>14.9</v>
      </c>
      <c r="AB59" s="8">
        <v>10.1</v>
      </c>
      <c r="AC59" s="8">
        <v>6.7</v>
      </c>
      <c r="AD59" s="8">
        <v>6.4</v>
      </c>
      <c r="AE59" s="8">
        <v>1.65</v>
      </c>
      <c r="AF59" s="8">
        <v>1.19</v>
      </c>
      <c r="AG59" s="8">
        <v>1.78</v>
      </c>
      <c r="AH59" s="8">
        <v>2.48</v>
      </c>
      <c r="AI59" s="8">
        <v>2.4700000000000002</v>
      </c>
    </row>
    <row r="60" spans="24:35" x14ac:dyDescent="0.25">
      <c r="X60" s="8">
        <v>0.21</v>
      </c>
      <c r="Y60" s="8">
        <v>11.23</v>
      </c>
      <c r="Z60" s="8">
        <v>16.3</v>
      </c>
      <c r="AA60" s="8">
        <v>11.9</v>
      </c>
      <c r="AB60" s="8">
        <v>7.5</v>
      </c>
      <c r="AC60" s="8">
        <v>6.1</v>
      </c>
      <c r="AD60" s="8">
        <v>5.6</v>
      </c>
      <c r="AE60" s="8">
        <v>1.6</v>
      </c>
      <c r="AF60" s="8">
        <v>1.1200000000000001</v>
      </c>
      <c r="AG60" s="8">
        <v>1.74</v>
      </c>
      <c r="AH60" s="8">
        <v>2.2599999999999998</v>
      </c>
      <c r="AI60" s="8">
        <v>2.2400000000000002</v>
      </c>
    </row>
    <row r="61" spans="24:35" x14ac:dyDescent="0.25">
      <c r="X61" s="8">
        <v>0.21</v>
      </c>
      <c r="Y61" s="8">
        <v>10.57</v>
      </c>
      <c r="Z61" s="8">
        <v>13</v>
      </c>
      <c r="AA61" s="8">
        <v>10.6</v>
      </c>
      <c r="AB61" s="8">
        <v>6</v>
      </c>
      <c r="AC61" s="8">
        <v>5.0999999999999996</v>
      </c>
      <c r="AD61" s="8">
        <v>4.8</v>
      </c>
      <c r="AE61" s="8">
        <v>1.49</v>
      </c>
      <c r="AF61" s="8">
        <v>1.02</v>
      </c>
      <c r="AG61" s="8">
        <v>1.68</v>
      </c>
      <c r="AH61" s="8">
        <v>2.21</v>
      </c>
      <c r="AI61" s="8">
        <v>2.14</v>
      </c>
    </row>
    <row r="62" spans="24:35" x14ac:dyDescent="0.25">
      <c r="X62" s="8">
        <v>0.18</v>
      </c>
      <c r="Y62" s="8">
        <v>8.6999999999999993</v>
      </c>
      <c r="Z62" s="8">
        <v>12.2</v>
      </c>
      <c r="AA62" s="8">
        <v>10.1</v>
      </c>
      <c r="AB62" s="8">
        <v>5.7</v>
      </c>
      <c r="AC62" s="8">
        <v>4.5</v>
      </c>
      <c r="AD62" s="8">
        <v>4.4000000000000004</v>
      </c>
      <c r="AE62" s="8">
        <v>1.41</v>
      </c>
      <c r="AF62" s="8">
        <v>0.96</v>
      </c>
      <c r="AG62" s="8">
        <v>1.6</v>
      </c>
      <c r="AH62" s="8">
        <v>1.94</v>
      </c>
      <c r="AI62" s="8">
        <v>1.93</v>
      </c>
    </row>
    <row r="63" spans="24:35" x14ac:dyDescent="0.25">
      <c r="X63" s="8">
        <v>0.16</v>
      </c>
      <c r="Y63" s="8">
        <v>7.38</v>
      </c>
      <c r="Z63" s="8">
        <v>10.4</v>
      </c>
      <c r="AA63" s="8">
        <v>7.6</v>
      </c>
      <c r="AB63" s="8">
        <v>3.8</v>
      </c>
      <c r="AC63" s="8">
        <v>3.6</v>
      </c>
      <c r="AD63" s="8">
        <v>3</v>
      </c>
      <c r="AE63" s="8">
        <v>1.27</v>
      </c>
      <c r="AF63" s="8">
        <v>0.89</v>
      </c>
      <c r="AG63" s="8">
        <v>1.62</v>
      </c>
      <c r="AH63" s="8">
        <v>1.82</v>
      </c>
      <c r="AI63" s="8">
        <v>1.75</v>
      </c>
    </row>
    <row r="64" spans="24:35" x14ac:dyDescent="0.25">
      <c r="X64" s="8">
        <v>0.22</v>
      </c>
      <c r="Y64" s="8">
        <v>5.85</v>
      </c>
      <c r="Z64" s="8">
        <v>8</v>
      </c>
      <c r="AA64" s="8">
        <v>6.3</v>
      </c>
      <c r="AB64" s="8">
        <v>2.5</v>
      </c>
      <c r="AC64" s="8">
        <v>2.4</v>
      </c>
      <c r="AD64" s="8">
        <v>2</v>
      </c>
      <c r="AE64" s="8">
        <v>1.1100000000000001</v>
      </c>
      <c r="AF64" s="8">
        <v>0.67</v>
      </c>
      <c r="AG64" s="8">
        <v>1.52</v>
      </c>
      <c r="AH64" s="8">
        <v>1.64</v>
      </c>
      <c r="AI64" s="8">
        <v>0</v>
      </c>
    </row>
    <row r="65" spans="23:35" x14ac:dyDescent="0.25">
      <c r="X65" s="8">
        <v>0.14000000000000001</v>
      </c>
      <c r="Y65" s="8">
        <v>5.52</v>
      </c>
      <c r="Z65" s="8">
        <v>7.3</v>
      </c>
      <c r="AA65" s="8">
        <v>5.8</v>
      </c>
      <c r="AB65" s="8">
        <v>2.4</v>
      </c>
      <c r="AC65" s="8">
        <v>2.2999999999999998</v>
      </c>
      <c r="AD65" s="8">
        <v>2.1</v>
      </c>
      <c r="AE65" s="8">
        <v>1.1399999999999999</v>
      </c>
      <c r="AF65" s="8">
        <v>0.56000000000000005</v>
      </c>
      <c r="AG65" s="8">
        <v>1.33</v>
      </c>
      <c r="AH65" s="8">
        <v>1.41</v>
      </c>
      <c r="AI65" s="8">
        <v>1.24</v>
      </c>
    </row>
    <row r="66" spans="23:35" x14ac:dyDescent="0.25">
      <c r="X66" s="8">
        <v>7.0000000000000007E-2</v>
      </c>
      <c r="Y66" s="8">
        <v>1.48</v>
      </c>
      <c r="Z66" s="8">
        <v>3</v>
      </c>
      <c r="AA66" s="8">
        <v>2.2999999999999998</v>
      </c>
      <c r="AB66" s="8">
        <v>0</v>
      </c>
      <c r="AC66" s="8">
        <v>0</v>
      </c>
      <c r="AD66" s="8">
        <v>0</v>
      </c>
      <c r="AE66" s="8">
        <v>0.68</v>
      </c>
      <c r="AF66" s="8">
        <v>0</v>
      </c>
      <c r="AG66" s="8">
        <v>0</v>
      </c>
      <c r="AH66" s="8">
        <v>0</v>
      </c>
      <c r="AI66" s="8">
        <v>0</v>
      </c>
    </row>
    <row r="67" spans="23:35" x14ac:dyDescent="0.25">
      <c r="X67" s="8">
        <v>7.0000000000000007E-2</v>
      </c>
      <c r="Y67" s="8">
        <v>2.17</v>
      </c>
      <c r="Z67" s="8">
        <v>2.5</v>
      </c>
      <c r="AA67" s="8">
        <v>2.2999999999999998</v>
      </c>
      <c r="AB67" s="8">
        <v>0</v>
      </c>
      <c r="AC67" s="8">
        <v>0</v>
      </c>
      <c r="AD67" s="8">
        <v>0</v>
      </c>
      <c r="AE67" s="8">
        <v>0.69</v>
      </c>
      <c r="AF67" s="8">
        <v>0</v>
      </c>
      <c r="AG67" s="8">
        <v>0</v>
      </c>
      <c r="AH67" s="8">
        <v>0</v>
      </c>
      <c r="AI67" s="8">
        <v>0</v>
      </c>
    </row>
    <row r="69" spans="23:35" x14ac:dyDescent="0.25">
      <c r="W69" t="s">
        <v>179</v>
      </c>
      <c r="X69" t="s">
        <v>13</v>
      </c>
      <c r="Y69" t="s">
        <v>14</v>
      </c>
      <c r="Z69" t="s">
        <v>15</v>
      </c>
      <c r="AE69" t="s">
        <v>21</v>
      </c>
    </row>
    <row r="70" spans="23:35" x14ac:dyDescent="0.25">
      <c r="Y70" t="s">
        <v>22</v>
      </c>
      <c r="Z70" t="s">
        <v>16</v>
      </c>
      <c r="AA70" t="s">
        <v>17</v>
      </c>
      <c r="AB70" t="s">
        <v>18</v>
      </c>
      <c r="AC70" t="s">
        <v>19</v>
      </c>
      <c r="AD70" t="s">
        <v>20</v>
      </c>
      <c r="AE70" t="s">
        <v>16</v>
      </c>
      <c r="AF70" t="s">
        <v>17</v>
      </c>
      <c r="AG70" t="s">
        <v>18</v>
      </c>
      <c r="AH70" t="s">
        <v>19</v>
      </c>
      <c r="AI70" t="s">
        <v>20</v>
      </c>
    </row>
    <row r="71" spans="23:35" x14ac:dyDescent="0.25">
      <c r="X71" s="8">
        <v>0.15</v>
      </c>
      <c r="Y71" s="8">
        <v>5.59</v>
      </c>
      <c r="Z71" s="8">
        <v>6.4</v>
      </c>
      <c r="AA71" s="8">
        <v>5.3</v>
      </c>
      <c r="AB71" s="8">
        <v>2.8</v>
      </c>
      <c r="AC71" s="8">
        <v>2.8</v>
      </c>
      <c r="AD71" s="8">
        <v>2.2000000000000002</v>
      </c>
      <c r="AE71" s="8">
        <v>0.68</v>
      </c>
      <c r="AF71" s="8">
        <v>0.56999999999999995</v>
      </c>
      <c r="AG71" s="8">
        <v>1.21</v>
      </c>
      <c r="AH71" s="8">
        <v>1.26</v>
      </c>
      <c r="AI71" s="8">
        <v>1.39</v>
      </c>
    </row>
    <row r="72" spans="23:35" x14ac:dyDescent="0.25"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</row>
    <row r="73" spans="23:35" x14ac:dyDescent="0.25">
      <c r="X73" s="8">
        <v>0.23</v>
      </c>
      <c r="Y73" s="8">
        <v>11.79</v>
      </c>
      <c r="Z73" s="8">
        <v>13.6</v>
      </c>
      <c r="AA73" s="8">
        <v>9.1999999999999993</v>
      </c>
      <c r="AB73" s="8">
        <v>6.3</v>
      </c>
      <c r="AC73" s="8">
        <v>6</v>
      </c>
      <c r="AD73" s="8">
        <v>5</v>
      </c>
      <c r="AE73" s="8">
        <v>1.43</v>
      </c>
      <c r="AF73" s="8">
        <v>1.18</v>
      </c>
      <c r="AG73" s="8">
        <v>1.92</v>
      </c>
      <c r="AH73" s="8">
        <v>2.15</v>
      </c>
      <c r="AI73" s="8">
        <v>2.2400000000000002</v>
      </c>
    </row>
    <row r="74" spans="23:35" x14ac:dyDescent="0.25">
      <c r="X74" s="8">
        <v>0.14000000000000001</v>
      </c>
      <c r="Y74" s="8">
        <v>4.3899999999999997</v>
      </c>
      <c r="Z74" s="8">
        <v>5</v>
      </c>
      <c r="AA74" s="8">
        <v>3.8</v>
      </c>
      <c r="AB74" s="8">
        <v>1.7</v>
      </c>
      <c r="AC74" s="8">
        <v>1.8</v>
      </c>
      <c r="AD74" s="8">
        <v>1.2</v>
      </c>
      <c r="AE74" s="8">
        <v>0.56000000000000005</v>
      </c>
      <c r="AF74" s="8">
        <v>0</v>
      </c>
      <c r="AG74" s="8">
        <v>0</v>
      </c>
      <c r="AH74" s="8">
        <v>0</v>
      </c>
      <c r="AI74" s="8">
        <v>0</v>
      </c>
    </row>
    <row r="75" spans="23:35" x14ac:dyDescent="0.25">
      <c r="X75" s="8">
        <v>0.27</v>
      </c>
      <c r="Y75" s="8">
        <v>16.100000000000001</v>
      </c>
      <c r="Z75" s="8">
        <v>20.8</v>
      </c>
      <c r="AA75" s="8">
        <v>13</v>
      </c>
      <c r="AB75" s="8">
        <v>10.1</v>
      </c>
      <c r="AC75" s="8">
        <v>9.4</v>
      </c>
      <c r="AD75" s="8">
        <v>8.3000000000000007</v>
      </c>
      <c r="AE75" s="8">
        <v>1.59</v>
      </c>
      <c r="AF75" s="8">
        <v>1.26</v>
      </c>
      <c r="AG75" s="8">
        <v>1.98</v>
      </c>
      <c r="AH75" s="8">
        <v>2.2000000000000002</v>
      </c>
      <c r="AI75" s="8">
        <v>2.2799999999999998</v>
      </c>
    </row>
    <row r="76" spans="23:35" x14ac:dyDescent="0.25">
      <c r="X76" s="8">
        <v>0.19</v>
      </c>
      <c r="Y76" s="8">
        <v>8.56</v>
      </c>
      <c r="Z76" s="8">
        <v>11.4</v>
      </c>
      <c r="AA76" s="8">
        <v>8</v>
      </c>
      <c r="AB76" s="8">
        <v>4.7</v>
      </c>
      <c r="AC76" s="8">
        <v>4.7</v>
      </c>
      <c r="AD76" s="8">
        <v>4.2</v>
      </c>
      <c r="AE76" s="8">
        <v>1.21</v>
      </c>
      <c r="AF76" s="8">
        <v>0.91</v>
      </c>
      <c r="AG76" s="8">
        <v>1.74</v>
      </c>
      <c r="AH76" s="8">
        <v>1.7</v>
      </c>
      <c r="AI76" s="8">
        <v>1.82</v>
      </c>
    </row>
    <row r="77" spans="23:35" x14ac:dyDescent="0.25">
      <c r="X77" s="8">
        <v>0.09</v>
      </c>
      <c r="Y77" s="8">
        <v>3.39</v>
      </c>
      <c r="Z77" s="8">
        <v>5.0999999999999996</v>
      </c>
      <c r="AA77" s="8">
        <v>3.7</v>
      </c>
      <c r="AB77" s="8">
        <v>1.5</v>
      </c>
      <c r="AC77" s="8">
        <v>1.6</v>
      </c>
      <c r="AD77" s="8">
        <v>1.1000000000000001</v>
      </c>
      <c r="AE77" s="8">
        <v>0.56000000000000005</v>
      </c>
      <c r="AF77" s="8">
        <v>0</v>
      </c>
      <c r="AG77" s="8">
        <v>0</v>
      </c>
      <c r="AH77" s="8">
        <v>0</v>
      </c>
      <c r="AI77" s="8">
        <v>0</v>
      </c>
    </row>
    <row r="78" spans="23:35" x14ac:dyDescent="0.25">
      <c r="X78" s="8">
        <v>0.24</v>
      </c>
      <c r="Y78" s="8">
        <v>12.66</v>
      </c>
      <c r="Z78" s="8">
        <v>18.5</v>
      </c>
      <c r="AA78" s="8">
        <v>10.5</v>
      </c>
      <c r="AB78" s="8">
        <v>7.1</v>
      </c>
      <c r="AC78" s="8">
        <v>6.8</v>
      </c>
      <c r="AD78" s="8">
        <v>6.3</v>
      </c>
      <c r="AE78" s="8">
        <v>1.44</v>
      </c>
      <c r="AF78" s="8">
        <v>1.1100000000000001</v>
      </c>
      <c r="AG78" s="8">
        <v>1.84</v>
      </c>
      <c r="AH78" s="8">
        <v>1.99</v>
      </c>
      <c r="AI78" s="8">
        <v>2.09</v>
      </c>
    </row>
    <row r="79" spans="23:35" x14ac:dyDescent="0.25">
      <c r="X79" s="8">
        <v>0.21</v>
      </c>
      <c r="Y79" s="8">
        <v>6.95</v>
      </c>
      <c r="Z79" s="8">
        <v>10.7</v>
      </c>
      <c r="AA79" s="8">
        <v>6.8</v>
      </c>
      <c r="AB79" s="8">
        <v>3.8</v>
      </c>
      <c r="AC79" s="8">
        <v>4.0999999999999996</v>
      </c>
      <c r="AD79" s="8">
        <v>3.5</v>
      </c>
      <c r="AE79" s="8">
        <v>0.95</v>
      </c>
      <c r="AF79" s="8">
        <v>0.75</v>
      </c>
      <c r="AG79" s="8">
        <v>1.51</v>
      </c>
      <c r="AH79" s="8">
        <v>1.49</v>
      </c>
      <c r="AI79" s="8">
        <v>1.65</v>
      </c>
    </row>
    <row r="80" spans="23:35" x14ac:dyDescent="0.25">
      <c r="X80" s="8">
        <v>0.21</v>
      </c>
      <c r="Y80" s="8">
        <v>18.25</v>
      </c>
      <c r="Z80" s="8">
        <v>21.2</v>
      </c>
      <c r="AA80" s="8">
        <v>12.8</v>
      </c>
      <c r="AB80" s="8">
        <v>8.4</v>
      </c>
      <c r="AC80" s="8">
        <v>7.7</v>
      </c>
      <c r="AD80" s="8">
        <v>7.2</v>
      </c>
      <c r="AE80" s="8">
        <v>1.54</v>
      </c>
      <c r="AF80" s="8">
        <v>1.07</v>
      </c>
      <c r="AG80" s="8">
        <v>1.89</v>
      </c>
      <c r="AH80" s="8">
        <v>2.1</v>
      </c>
      <c r="AI80" s="8">
        <v>2.2200000000000002</v>
      </c>
    </row>
    <row r="81" spans="23:35" x14ac:dyDescent="0.25">
      <c r="X81" s="8">
        <v>0.25</v>
      </c>
      <c r="Y81" s="8">
        <v>12.21</v>
      </c>
      <c r="Z81" s="8">
        <v>15.5</v>
      </c>
      <c r="AA81" s="8">
        <v>10.199999999999999</v>
      </c>
      <c r="AB81" s="8">
        <v>6.5</v>
      </c>
      <c r="AC81" s="8">
        <v>6.4</v>
      </c>
      <c r="AD81" s="8">
        <v>5.8</v>
      </c>
      <c r="AE81" s="8">
        <v>1.48</v>
      </c>
      <c r="AF81" s="8">
        <v>1.1100000000000001</v>
      </c>
      <c r="AG81" s="8">
        <v>1.86</v>
      </c>
      <c r="AH81" s="8">
        <v>2.0699999999999998</v>
      </c>
      <c r="AI81" s="8">
        <v>2.12</v>
      </c>
    </row>
    <row r="82" spans="23:35" x14ac:dyDescent="0.25">
      <c r="X82" s="8">
        <v>0.22</v>
      </c>
      <c r="Y82" s="8">
        <v>10.91</v>
      </c>
      <c r="Z82" s="8">
        <v>12.8</v>
      </c>
      <c r="AA82" s="8">
        <v>8.9</v>
      </c>
      <c r="AB82" s="8">
        <v>5.8</v>
      </c>
      <c r="AC82" s="8">
        <v>5.6</v>
      </c>
      <c r="AD82" s="8">
        <v>4.8</v>
      </c>
      <c r="AE82" s="8">
        <v>1.26</v>
      </c>
      <c r="AF82" s="8">
        <v>1.05</v>
      </c>
      <c r="AG82" s="8">
        <v>1.79</v>
      </c>
      <c r="AH82" s="8">
        <v>1.96</v>
      </c>
      <c r="AI82" s="8">
        <v>2</v>
      </c>
    </row>
    <row r="83" spans="23:35" x14ac:dyDescent="0.25">
      <c r="X83" s="8">
        <v>0.2</v>
      </c>
      <c r="Y83" s="8">
        <v>8.26</v>
      </c>
      <c r="Z83" s="8">
        <v>10.8</v>
      </c>
      <c r="AA83" s="8">
        <v>7.9</v>
      </c>
      <c r="AB83" s="8">
        <v>4.9000000000000004</v>
      </c>
      <c r="AC83" s="8">
        <v>4.9000000000000004</v>
      </c>
      <c r="AD83" s="8">
        <v>4</v>
      </c>
      <c r="AE83" s="8">
        <v>1.1200000000000001</v>
      </c>
      <c r="AF83" s="8">
        <v>0.93</v>
      </c>
      <c r="AG83" s="8">
        <v>1.72</v>
      </c>
      <c r="AH83" s="8">
        <v>1.74</v>
      </c>
      <c r="AI83" s="8">
        <v>1.89</v>
      </c>
    </row>
    <row r="84" spans="23:35" x14ac:dyDescent="0.25">
      <c r="X84" s="8">
        <v>0.16</v>
      </c>
      <c r="Y84" s="8">
        <v>6.92</v>
      </c>
      <c r="Z84" s="8">
        <v>10.4</v>
      </c>
      <c r="AA84" s="8">
        <v>6.7</v>
      </c>
      <c r="AB84" s="8">
        <v>4.2</v>
      </c>
      <c r="AC84" s="8">
        <v>4.2</v>
      </c>
      <c r="AD84" s="8">
        <v>3.6</v>
      </c>
      <c r="AE84" s="8">
        <v>1</v>
      </c>
      <c r="AF84" s="8">
        <v>0.82</v>
      </c>
      <c r="AG84" s="8">
        <v>1.6</v>
      </c>
      <c r="AH84" s="8">
        <v>1.63</v>
      </c>
      <c r="AI84" s="8">
        <v>1.77</v>
      </c>
    </row>
    <row r="85" spans="23:35" x14ac:dyDescent="0.25">
      <c r="X85" s="8">
        <v>0.13</v>
      </c>
      <c r="Y85" s="8">
        <v>5.99</v>
      </c>
      <c r="Z85" s="8">
        <v>8</v>
      </c>
      <c r="AA85" s="8">
        <v>5.7</v>
      </c>
      <c r="AB85" s="8">
        <v>2.8</v>
      </c>
      <c r="AC85" s="8">
        <v>3.1</v>
      </c>
      <c r="AD85" s="8">
        <v>2.6</v>
      </c>
      <c r="AE85" s="8">
        <v>0.9</v>
      </c>
      <c r="AF85" s="8">
        <v>0.65</v>
      </c>
      <c r="AG85" s="8">
        <v>1.37</v>
      </c>
      <c r="AH85" s="8">
        <v>1.28</v>
      </c>
      <c r="AI85" s="8">
        <v>1.37</v>
      </c>
    </row>
    <row r="86" spans="23:35" x14ac:dyDescent="0.25">
      <c r="X86" s="8">
        <v>0.13</v>
      </c>
      <c r="Y86" s="8">
        <v>5.28</v>
      </c>
      <c r="Z86" s="8">
        <v>6.7</v>
      </c>
      <c r="AA86" s="8">
        <v>5.2</v>
      </c>
      <c r="AB86" s="8">
        <v>2.7</v>
      </c>
      <c r="AC86" s="8">
        <v>2.9</v>
      </c>
      <c r="AD86" s="8">
        <v>2.2999999999999998</v>
      </c>
      <c r="AE86" s="8">
        <v>0.68</v>
      </c>
      <c r="AF86" s="8">
        <v>0.62</v>
      </c>
      <c r="AG86" s="8">
        <v>1.36</v>
      </c>
      <c r="AH86" s="8">
        <v>1.28</v>
      </c>
      <c r="AI86" s="8">
        <v>1.37</v>
      </c>
    </row>
    <row r="87" spans="23:35" x14ac:dyDescent="0.25">
      <c r="X87" s="8">
        <v>0.06</v>
      </c>
      <c r="Y87" s="8">
        <v>2.2599999999999998</v>
      </c>
      <c r="Z87" s="8">
        <v>2.1</v>
      </c>
      <c r="AA87" s="8">
        <v>1.2</v>
      </c>
      <c r="AB87" s="8">
        <v>0</v>
      </c>
      <c r="AC87" s="8">
        <v>0</v>
      </c>
      <c r="AD87" s="8">
        <v>0</v>
      </c>
      <c r="AE87" s="8">
        <v>0</v>
      </c>
      <c r="AF87" s="8">
        <v>0</v>
      </c>
      <c r="AG87" s="8">
        <v>0</v>
      </c>
      <c r="AH87" s="8">
        <v>0</v>
      </c>
      <c r="AI87" s="8">
        <v>0</v>
      </c>
    </row>
    <row r="88" spans="23:35" x14ac:dyDescent="0.25">
      <c r="X88" s="8">
        <v>7.0000000000000007E-2</v>
      </c>
      <c r="Y88" s="8">
        <v>2.17</v>
      </c>
      <c r="Z88" s="8">
        <v>2.9</v>
      </c>
      <c r="AA88" s="8">
        <v>1.3</v>
      </c>
      <c r="AB88" s="8">
        <v>0</v>
      </c>
      <c r="AC88" s="8">
        <v>0</v>
      </c>
      <c r="AD88" s="8">
        <v>0</v>
      </c>
      <c r="AE88" s="8">
        <v>0</v>
      </c>
      <c r="AF88" s="8">
        <v>0</v>
      </c>
      <c r="AG88" s="8">
        <v>0</v>
      </c>
      <c r="AH88" s="8">
        <v>0</v>
      </c>
      <c r="AI88" s="8">
        <v>0</v>
      </c>
    </row>
    <row r="90" spans="23:35" x14ac:dyDescent="0.25">
      <c r="W90" t="s">
        <v>180</v>
      </c>
      <c r="X90" t="s">
        <v>13</v>
      </c>
      <c r="Y90" t="s">
        <v>14</v>
      </c>
      <c r="Z90" t="s">
        <v>15</v>
      </c>
      <c r="AE90" t="s">
        <v>21</v>
      </c>
    </row>
    <row r="91" spans="23:35" x14ac:dyDescent="0.25">
      <c r="Y91" t="s">
        <v>22</v>
      </c>
      <c r="Z91" t="s">
        <v>16</v>
      </c>
      <c r="AA91" t="s">
        <v>17</v>
      </c>
      <c r="AB91" t="s">
        <v>18</v>
      </c>
      <c r="AC91" t="s">
        <v>19</v>
      </c>
      <c r="AD91" t="s">
        <v>20</v>
      </c>
      <c r="AE91" t="s">
        <v>16</v>
      </c>
      <c r="AF91" t="s">
        <v>17</v>
      </c>
      <c r="AG91" t="s">
        <v>18</v>
      </c>
      <c r="AH91" t="s">
        <v>19</v>
      </c>
      <c r="AI91" t="s">
        <v>20</v>
      </c>
    </row>
    <row r="92" spans="23:35" x14ac:dyDescent="0.25">
      <c r="X92">
        <v>0.05</v>
      </c>
      <c r="Y92">
        <v>3.98</v>
      </c>
      <c r="Z92">
        <v>7.1</v>
      </c>
      <c r="AA92">
        <v>4.5</v>
      </c>
      <c r="AB92">
        <v>3</v>
      </c>
      <c r="AC92">
        <v>3</v>
      </c>
      <c r="AD92">
        <v>2.9</v>
      </c>
    </row>
    <row r="94" spans="23:35" x14ac:dyDescent="0.25">
      <c r="X94">
        <v>0.14000000000000001</v>
      </c>
      <c r="Y94">
        <v>11.82</v>
      </c>
      <c r="Z94">
        <v>15.1</v>
      </c>
      <c r="AA94">
        <v>12</v>
      </c>
      <c r="AB94">
        <v>7.6</v>
      </c>
      <c r="AC94">
        <v>7.4</v>
      </c>
      <c r="AD94">
        <v>5.4</v>
      </c>
      <c r="AE94">
        <v>1.33</v>
      </c>
      <c r="AF94">
        <v>0.74</v>
      </c>
      <c r="AG94">
        <v>1.03</v>
      </c>
      <c r="AH94">
        <v>1.01</v>
      </c>
      <c r="AI94">
        <v>0.95</v>
      </c>
    </row>
    <row r="95" spans="23:35" x14ac:dyDescent="0.25">
      <c r="X95">
        <v>0.01</v>
      </c>
      <c r="Y95">
        <v>0</v>
      </c>
      <c r="Z95">
        <v>5.0999999999999996</v>
      </c>
      <c r="AD95">
        <v>2.1</v>
      </c>
      <c r="AE95">
        <v>0.75</v>
      </c>
    </row>
    <row r="96" spans="23:35" x14ac:dyDescent="0.25">
      <c r="X96">
        <v>0.22</v>
      </c>
      <c r="Y96">
        <v>20.260000000000002</v>
      </c>
      <c r="Z96">
        <v>22.9</v>
      </c>
      <c r="AA96">
        <v>16.2</v>
      </c>
      <c r="AB96">
        <v>10</v>
      </c>
      <c r="AC96">
        <v>9.8000000000000007</v>
      </c>
      <c r="AD96">
        <v>7.7</v>
      </c>
      <c r="AE96">
        <v>1.58</v>
      </c>
      <c r="AF96">
        <v>0.91</v>
      </c>
      <c r="AG96">
        <v>1.34</v>
      </c>
      <c r="AH96">
        <v>1.41</v>
      </c>
      <c r="AI96">
        <v>1.53</v>
      </c>
    </row>
    <row r="97" spans="24:35" x14ac:dyDescent="0.25">
      <c r="X97">
        <v>0.09</v>
      </c>
      <c r="Y97">
        <v>8.35</v>
      </c>
      <c r="Z97">
        <v>12</v>
      </c>
      <c r="AA97">
        <v>7.7</v>
      </c>
      <c r="AB97">
        <v>5.0999999999999996</v>
      </c>
      <c r="AC97">
        <v>4.9000000000000004</v>
      </c>
      <c r="AD97">
        <v>3.8</v>
      </c>
      <c r="AE97">
        <v>1.19</v>
      </c>
      <c r="AF97">
        <v>0.59</v>
      </c>
      <c r="AG97">
        <v>0.68</v>
      </c>
      <c r="AH97">
        <v>0.77</v>
      </c>
    </row>
    <row r="98" spans="24:35" x14ac:dyDescent="0.25">
      <c r="X98">
        <v>0.01</v>
      </c>
      <c r="Z98">
        <v>4</v>
      </c>
      <c r="AE98">
        <v>0.74</v>
      </c>
    </row>
    <row r="99" spans="24:35" x14ac:dyDescent="0.25">
      <c r="X99">
        <v>0.2</v>
      </c>
      <c r="Y99">
        <v>12.66</v>
      </c>
      <c r="Z99">
        <v>22</v>
      </c>
      <c r="AA99">
        <v>13.2</v>
      </c>
      <c r="AB99">
        <v>8.1999999999999993</v>
      </c>
      <c r="AC99">
        <v>8.3000000000000007</v>
      </c>
      <c r="AD99">
        <v>6.5</v>
      </c>
      <c r="AE99">
        <v>1.43</v>
      </c>
      <c r="AF99">
        <v>0.78</v>
      </c>
      <c r="AG99">
        <v>1.1000000000000001</v>
      </c>
      <c r="AH99">
        <v>1.22</v>
      </c>
      <c r="AI99">
        <v>1.22</v>
      </c>
    </row>
    <row r="100" spans="24:35" x14ac:dyDescent="0.25">
      <c r="X100">
        <v>0.11</v>
      </c>
      <c r="Y100">
        <v>5.8</v>
      </c>
      <c r="Z100">
        <v>11.3</v>
      </c>
      <c r="AA100">
        <v>6.4</v>
      </c>
      <c r="AB100">
        <v>4</v>
      </c>
      <c r="AC100">
        <v>4</v>
      </c>
      <c r="AD100">
        <v>3.7</v>
      </c>
      <c r="AE100">
        <v>1.06</v>
      </c>
    </row>
    <row r="101" spans="24:35" x14ac:dyDescent="0.25">
      <c r="X101">
        <v>0.28999999999999998</v>
      </c>
      <c r="Y101">
        <v>16.18</v>
      </c>
      <c r="Z101">
        <v>23.1</v>
      </c>
      <c r="AA101">
        <v>15.5</v>
      </c>
      <c r="AB101">
        <v>9.4</v>
      </c>
      <c r="AC101">
        <v>10</v>
      </c>
      <c r="AD101">
        <v>8.3000000000000007</v>
      </c>
      <c r="AE101">
        <v>1.46</v>
      </c>
      <c r="AF101">
        <v>0.84</v>
      </c>
      <c r="AG101">
        <v>1.21</v>
      </c>
      <c r="AH101">
        <v>1.33</v>
      </c>
      <c r="AI101">
        <v>1.46</v>
      </c>
    </row>
    <row r="102" spans="24:35" x14ac:dyDescent="0.25">
      <c r="X102">
        <v>0.19</v>
      </c>
      <c r="Y102">
        <v>10.99</v>
      </c>
      <c r="Z102">
        <v>17.5</v>
      </c>
      <c r="AA102">
        <v>12</v>
      </c>
      <c r="AB102">
        <v>7.3</v>
      </c>
      <c r="AC102">
        <v>7.6</v>
      </c>
      <c r="AD102">
        <v>5.6</v>
      </c>
      <c r="AE102">
        <v>1.32</v>
      </c>
      <c r="AF102">
        <v>0.75</v>
      </c>
      <c r="AG102">
        <v>1.06</v>
      </c>
      <c r="AH102">
        <v>1.1599999999999999</v>
      </c>
      <c r="AI102">
        <v>1.1200000000000001</v>
      </c>
    </row>
    <row r="103" spans="24:35" x14ac:dyDescent="0.25">
      <c r="X103">
        <v>0.15</v>
      </c>
      <c r="Y103">
        <v>9.8699999999999992</v>
      </c>
      <c r="Z103">
        <v>13.4</v>
      </c>
      <c r="AA103">
        <v>10.1</v>
      </c>
      <c r="AB103">
        <v>6.5</v>
      </c>
      <c r="AC103">
        <v>6.5</v>
      </c>
      <c r="AD103">
        <v>5</v>
      </c>
      <c r="AE103">
        <v>1.32</v>
      </c>
      <c r="AF103">
        <v>0.64</v>
      </c>
      <c r="AG103">
        <v>0.89</v>
      </c>
      <c r="AH103">
        <v>0.99</v>
      </c>
      <c r="AI103">
        <v>0.87</v>
      </c>
    </row>
    <row r="104" spans="24:35" x14ac:dyDescent="0.25">
      <c r="X104">
        <v>0.1</v>
      </c>
      <c r="Y104">
        <v>8.33</v>
      </c>
      <c r="Z104">
        <v>12</v>
      </c>
      <c r="AA104">
        <v>7.8</v>
      </c>
      <c r="AB104">
        <v>5.3</v>
      </c>
      <c r="AC104">
        <v>4.8</v>
      </c>
      <c r="AD104">
        <v>4.0999999999999996</v>
      </c>
      <c r="AE104">
        <v>1.2</v>
      </c>
      <c r="AG104">
        <v>0.71</v>
      </c>
      <c r="AH104">
        <v>0.79</v>
      </c>
    </row>
    <row r="105" spans="24:35" x14ac:dyDescent="0.25">
      <c r="X105">
        <v>0.09</v>
      </c>
      <c r="Y105">
        <v>7.09</v>
      </c>
      <c r="Z105">
        <v>10.7</v>
      </c>
      <c r="AA105">
        <v>6.8</v>
      </c>
      <c r="AB105">
        <v>4.2</v>
      </c>
      <c r="AC105">
        <v>4.2</v>
      </c>
      <c r="AD105">
        <v>3.6</v>
      </c>
      <c r="AE105">
        <v>1.0900000000000001</v>
      </c>
    </row>
    <row r="106" spans="24:35" x14ac:dyDescent="0.25">
      <c r="X106">
        <v>0.04</v>
      </c>
      <c r="Y106">
        <v>1.46</v>
      </c>
      <c r="Z106">
        <v>7.7</v>
      </c>
      <c r="AA106">
        <v>3.8</v>
      </c>
      <c r="AB106">
        <v>2.6</v>
      </c>
      <c r="AC106">
        <v>2</v>
      </c>
      <c r="AD106">
        <v>2.6</v>
      </c>
      <c r="AE106">
        <v>0.99</v>
      </c>
    </row>
    <row r="107" spans="24:35" x14ac:dyDescent="0.25">
      <c r="X107">
        <v>0.04</v>
      </c>
      <c r="Y107">
        <v>1.41</v>
      </c>
      <c r="Z107">
        <v>6.9</v>
      </c>
      <c r="AA107">
        <v>3.7</v>
      </c>
      <c r="AB107">
        <v>2.7</v>
      </c>
      <c r="AC107">
        <v>2.1</v>
      </c>
      <c r="AD107">
        <v>2.6</v>
      </c>
      <c r="AE107">
        <v>0.92</v>
      </c>
    </row>
  </sheetData>
  <hyperlinks>
    <hyperlink ref="M5" r:id="rId1"/>
    <hyperlink ref="U27" r:id="rId2"/>
    <hyperlink ref="U28:U46" r:id="rId3" display="\\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Q83"/>
  <sheetViews>
    <sheetView topLeftCell="AQ22" workbookViewId="0">
      <selection activeCell="BE55" sqref="BE55"/>
    </sheetView>
  </sheetViews>
  <sheetFormatPr defaultRowHeight="15" x14ac:dyDescent="0.25"/>
  <cols>
    <col min="13" max="13" width="4.42578125" customWidth="1"/>
    <col min="22" max="22" width="4.5703125" customWidth="1"/>
    <col min="29" max="30" width="12" bestFit="1" customWidth="1"/>
    <col min="31" max="31" width="10.7109375" customWidth="1"/>
    <col min="32" max="33" width="4.42578125" customWidth="1"/>
    <col min="42" max="42" width="4.5703125" customWidth="1"/>
    <col min="51" max="51" width="4.85546875" customWidth="1"/>
  </cols>
  <sheetData>
    <row r="2" spans="1:63" x14ac:dyDescent="0.25">
      <c r="A2" t="s">
        <v>353</v>
      </c>
      <c r="W2" t="s">
        <v>216</v>
      </c>
      <c r="X2">
        <v>0.6</v>
      </c>
      <c r="AH2" t="s">
        <v>216</v>
      </c>
      <c r="AI2">
        <v>0.7</v>
      </c>
    </row>
    <row r="3" spans="1:63" x14ac:dyDescent="0.25">
      <c r="B3" t="s">
        <v>25</v>
      </c>
      <c r="C3">
        <f>1/6</f>
        <v>0.16666666666666666</v>
      </c>
      <c r="F3" t="s">
        <v>136</v>
      </c>
      <c r="G3">
        <v>0.1</v>
      </c>
      <c r="W3" t="s">
        <v>302</v>
      </c>
      <c r="X3" s="9">
        <f>X2-I11</f>
        <v>9.9999999999999978E-2</v>
      </c>
      <c r="AH3" t="s">
        <v>302</v>
      </c>
      <c r="AI3" s="9">
        <f>AI2-I11</f>
        <v>0.19999999999999996</v>
      </c>
    </row>
    <row r="4" spans="1:63" x14ac:dyDescent="0.25">
      <c r="B4" t="s">
        <v>310</v>
      </c>
      <c r="C4">
        <v>0.3</v>
      </c>
      <c r="F4" t="s">
        <v>137</v>
      </c>
      <c r="G4">
        <f>G3*3</f>
        <v>0.30000000000000004</v>
      </c>
    </row>
    <row r="5" spans="1:63" ht="15.75" thickBot="1" x14ac:dyDescent="0.3"/>
    <row r="6" spans="1:63" x14ac:dyDescent="0.25">
      <c r="B6" s="146"/>
      <c r="C6" s="147"/>
      <c r="D6" s="148"/>
      <c r="E6" s="147"/>
      <c r="F6" s="147"/>
      <c r="G6" s="147"/>
      <c r="H6" s="147"/>
      <c r="I6" s="149"/>
      <c r="J6" s="150" t="s">
        <v>237</v>
      </c>
      <c r="K6" s="147"/>
      <c r="L6" s="151"/>
      <c r="M6" s="152"/>
      <c r="N6" s="146"/>
      <c r="O6" s="33" t="s">
        <v>320</v>
      </c>
      <c r="P6" s="153"/>
      <c r="Q6" s="153"/>
      <c r="R6" s="153"/>
      <c r="S6" s="33"/>
      <c r="T6" s="33"/>
      <c r="U6" s="154"/>
      <c r="V6" s="153"/>
      <c r="W6" s="31"/>
      <c r="X6" s="153"/>
      <c r="Y6" s="153"/>
      <c r="Z6" s="153"/>
      <c r="AA6" s="153"/>
      <c r="AB6" s="33"/>
      <c r="AC6" s="33"/>
      <c r="AD6" s="154"/>
      <c r="AE6" s="153"/>
      <c r="AF6" s="153"/>
      <c r="AG6" s="153"/>
      <c r="AH6" s="31"/>
      <c r="AI6" s="153"/>
      <c r="AJ6" s="153"/>
      <c r="AK6" s="153"/>
      <c r="AL6" s="33"/>
      <c r="AM6" s="33"/>
      <c r="AN6" s="154"/>
      <c r="AO6" s="34"/>
      <c r="AP6" s="35"/>
      <c r="AQ6" s="146"/>
      <c r="AR6" s="31"/>
      <c r="AS6" s="153"/>
      <c r="AT6" s="154"/>
      <c r="AU6" s="27"/>
      <c r="AV6" s="27"/>
      <c r="AW6" s="27"/>
      <c r="AX6" s="155"/>
      <c r="AY6" s="27"/>
      <c r="AZ6" s="31"/>
      <c r="BA6" s="31"/>
      <c r="BB6" s="31"/>
      <c r="BC6" s="156"/>
      <c r="BD6" s="157"/>
      <c r="BE6" s="146"/>
      <c r="BF6" s="41"/>
      <c r="BG6" s="41"/>
      <c r="BH6" s="41"/>
      <c r="BI6" s="41"/>
      <c r="BJ6" s="41"/>
      <c r="BK6" s="42"/>
    </row>
    <row r="7" spans="1:63" x14ac:dyDescent="0.25">
      <c r="B7" s="158" t="s">
        <v>229</v>
      </c>
      <c r="C7" s="159" t="s">
        <v>231</v>
      </c>
      <c r="D7" s="160" t="s">
        <v>232</v>
      </c>
      <c r="E7" s="159" t="s">
        <v>233</v>
      </c>
      <c r="F7" s="159" t="s">
        <v>234</v>
      </c>
      <c r="G7" s="159" t="s">
        <v>321</v>
      </c>
      <c r="H7" s="159" t="s">
        <v>236</v>
      </c>
      <c r="I7" s="161" t="s">
        <v>322</v>
      </c>
      <c r="J7" s="162" t="s">
        <v>4</v>
      </c>
      <c r="K7" s="159" t="s">
        <v>10</v>
      </c>
      <c r="L7" s="163" t="s">
        <v>323</v>
      </c>
      <c r="M7" s="159"/>
      <c r="N7" s="158" t="s">
        <v>231</v>
      </c>
      <c r="O7" s="164" t="s">
        <v>324</v>
      </c>
      <c r="P7" s="165"/>
      <c r="Q7" s="165"/>
      <c r="R7" s="165"/>
      <c r="S7" s="164"/>
      <c r="T7" s="164"/>
      <c r="U7" s="166"/>
      <c r="V7" s="165"/>
      <c r="W7" s="167" t="s">
        <v>325</v>
      </c>
      <c r="X7" s="165"/>
      <c r="Y7" s="165"/>
      <c r="Z7" s="165"/>
      <c r="AA7" s="165"/>
      <c r="AB7" s="164"/>
      <c r="AC7" s="164"/>
      <c r="AD7" s="166"/>
      <c r="AE7" s="165"/>
      <c r="AF7" s="165"/>
      <c r="AG7" s="165"/>
      <c r="AH7" s="167" t="s">
        <v>326</v>
      </c>
      <c r="AI7" s="165"/>
      <c r="AJ7" s="165"/>
      <c r="AK7" s="165"/>
      <c r="AL7" s="164"/>
      <c r="AM7" s="164"/>
      <c r="AN7" s="166"/>
      <c r="AO7" s="89"/>
      <c r="AP7" s="35"/>
      <c r="AQ7" s="158" t="s">
        <v>231</v>
      </c>
      <c r="AR7" s="167" t="s">
        <v>240</v>
      </c>
      <c r="AS7" s="165"/>
      <c r="AT7" s="166"/>
      <c r="AU7" s="168" t="s">
        <v>241</v>
      </c>
      <c r="AV7" s="45"/>
      <c r="AW7" s="45"/>
      <c r="AX7" s="83"/>
      <c r="AY7" s="45"/>
      <c r="AZ7" s="167" t="s">
        <v>242</v>
      </c>
      <c r="BA7" s="157"/>
      <c r="BB7" s="157"/>
      <c r="BC7" s="169"/>
      <c r="BD7" s="157"/>
      <c r="BE7" s="158" t="s">
        <v>231</v>
      </c>
      <c r="BF7" s="170" t="s">
        <v>243</v>
      </c>
      <c r="BG7" s="171"/>
      <c r="BH7" s="171"/>
      <c r="BI7" s="171"/>
      <c r="BJ7" s="171"/>
      <c r="BK7" s="172"/>
    </row>
    <row r="8" spans="1:63" x14ac:dyDescent="0.25">
      <c r="B8" s="158" t="s">
        <v>244</v>
      </c>
      <c r="C8" s="159" t="s">
        <v>246</v>
      </c>
      <c r="D8" s="173"/>
      <c r="E8" s="159" t="s">
        <v>327</v>
      </c>
      <c r="F8" s="152"/>
      <c r="G8" s="152" t="s">
        <v>328</v>
      </c>
      <c r="H8" s="159" t="s">
        <v>329</v>
      </c>
      <c r="I8" s="161" t="s">
        <v>330</v>
      </c>
      <c r="J8" s="174" t="s">
        <v>275</v>
      </c>
      <c r="K8" s="152" t="s">
        <v>276</v>
      </c>
      <c r="L8" s="175" t="s">
        <v>331</v>
      </c>
      <c r="M8" s="152"/>
      <c r="N8" s="158" t="s">
        <v>246</v>
      </c>
      <c r="O8" s="54" t="s">
        <v>5</v>
      </c>
      <c r="P8" s="165" t="s">
        <v>253</v>
      </c>
      <c r="Q8" s="165" t="s">
        <v>254</v>
      </c>
      <c r="R8" s="165" t="s">
        <v>10</v>
      </c>
      <c r="S8" s="54" t="s">
        <v>255</v>
      </c>
      <c r="T8" s="54" t="s">
        <v>256</v>
      </c>
      <c r="U8" s="166" t="s">
        <v>257</v>
      </c>
      <c r="V8" s="165"/>
      <c r="W8" s="54" t="s">
        <v>5</v>
      </c>
      <c r="X8" s="165" t="s">
        <v>253</v>
      </c>
      <c r="Y8" s="165" t="s">
        <v>254</v>
      </c>
      <c r="Z8" s="165" t="s">
        <v>10</v>
      </c>
      <c r="AA8" s="165" t="s">
        <v>9</v>
      </c>
      <c r="AB8" s="54" t="s">
        <v>255</v>
      </c>
      <c r="AC8" s="54" t="s">
        <v>256</v>
      </c>
      <c r="AD8" s="166" t="s">
        <v>257</v>
      </c>
      <c r="AE8" s="165"/>
      <c r="AF8" s="165"/>
      <c r="AG8" s="165"/>
      <c r="AH8" s="54" t="s">
        <v>5</v>
      </c>
      <c r="AI8" s="165" t="s">
        <v>253</v>
      </c>
      <c r="AJ8" s="165" t="s">
        <v>254</v>
      </c>
      <c r="AK8" s="165" t="s">
        <v>10</v>
      </c>
      <c r="AL8" s="54" t="s">
        <v>255</v>
      </c>
      <c r="AM8" s="54" t="s">
        <v>256</v>
      </c>
      <c r="AN8" s="166" t="s">
        <v>257</v>
      </c>
      <c r="AO8" s="56" t="s">
        <v>258</v>
      </c>
      <c r="AP8" s="57"/>
      <c r="AQ8" s="158" t="s">
        <v>246</v>
      </c>
      <c r="AR8" s="52" t="s">
        <v>259</v>
      </c>
      <c r="AS8" s="165" t="s">
        <v>332</v>
      </c>
      <c r="AT8" s="166" t="s">
        <v>333</v>
      </c>
      <c r="AU8" s="45" t="s">
        <v>260</v>
      </c>
      <c r="AV8" s="45" t="s">
        <v>261</v>
      </c>
      <c r="AW8" s="45" t="s">
        <v>262</v>
      </c>
      <c r="AX8" s="176" t="s">
        <v>263</v>
      </c>
      <c r="AY8" s="197"/>
      <c r="AZ8" s="52" t="s">
        <v>264</v>
      </c>
      <c r="BA8" s="52" t="s">
        <v>265</v>
      </c>
      <c r="BB8" s="52" t="s">
        <v>266</v>
      </c>
      <c r="BC8" s="58" t="s">
        <v>267</v>
      </c>
      <c r="BD8" s="52"/>
      <c r="BE8" s="158" t="s">
        <v>246</v>
      </c>
      <c r="BF8" s="61" t="s">
        <v>268</v>
      </c>
      <c r="BG8" s="61" t="s">
        <v>269</v>
      </c>
      <c r="BH8" s="177" t="s">
        <v>334</v>
      </c>
      <c r="BI8" s="61" t="s">
        <v>311</v>
      </c>
      <c r="BJ8" s="61" t="s">
        <v>270</v>
      </c>
      <c r="BK8" s="178" t="s">
        <v>335</v>
      </c>
    </row>
    <row r="9" spans="1:63" ht="15.75" thickBot="1" x14ac:dyDescent="0.3">
      <c r="B9" s="179"/>
      <c r="C9" s="180"/>
      <c r="D9" s="181"/>
      <c r="E9" s="180" t="s">
        <v>273</v>
      </c>
      <c r="F9" s="180" t="s">
        <v>249</v>
      </c>
      <c r="G9" s="180" t="s">
        <v>336</v>
      </c>
      <c r="H9" s="180"/>
      <c r="I9" s="182" t="s">
        <v>275</v>
      </c>
      <c r="J9" s="179"/>
      <c r="K9" s="180"/>
      <c r="L9" s="183"/>
      <c r="M9" s="152"/>
      <c r="N9" s="179"/>
      <c r="O9" s="184" t="s">
        <v>275</v>
      </c>
      <c r="P9" s="185" t="s">
        <v>276</v>
      </c>
      <c r="Q9" s="185" t="s">
        <v>276</v>
      </c>
      <c r="R9" s="185" t="s">
        <v>276</v>
      </c>
      <c r="S9" s="184" t="s">
        <v>212</v>
      </c>
      <c r="T9" s="184" t="s">
        <v>275</v>
      </c>
      <c r="U9" s="186" t="s">
        <v>276</v>
      </c>
      <c r="V9" s="185"/>
      <c r="W9" s="184" t="s">
        <v>275</v>
      </c>
      <c r="X9" s="185" t="s">
        <v>276</v>
      </c>
      <c r="Y9" s="185" t="s">
        <v>276</v>
      </c>
      <c r="Z9" s="185" t="s">
        <v>276</v>
      </c>
      <c r="AA9" s="185" t="s">
        <v>276</v>
      </c>
      <c r="AB9" s="184" t="s">
        <v>212</v>
      </c>
      <c r="AC9" s="184" t="s">
        <v>275</v>
      </c>
      <c r="AD9" s="186" t="s">
        <v>276</v>
      </c>
      <c r="AE9" s="185"/>
      <c r="AF9" s="185"/>
      <c r="AG9" s="185"/>
      <c r="AH9" s="184" t="s">
        <v>275</v>
      </c>
      <c r="AI9" s="185" t="s">
        <v>276</v>
      </c>
      <c r="AJ9" s="185" t="s">
        <v>276</v>
      </c>
      <c r="AK9" s="185" t="s">
        <v>276</v>
      </c>
      <c r="AL9" s="184" t="s">
        <v>212</v>
      </c>
      <c r="AM9" s="184" t="s">
        <v>275</v>
      </c>
      <c r="AN9" s="186" t="s">
        <v>276</v>
      </c>
      <c r="AO9" s="187" t="s">
        <v>212</v>
      </c>
      <c r="AP9" s="76"/>
      <c r="AQ9" s="179"/>
      <c r="AR9" s="184" t="s">
        <v>275</v>
      </c>
      <c r="AS9" s="185" t="s">
        <v>275</v>
      </c>
      <c r="AT9" s="186" t="s">
        <v>275</v>
      </c>
      <c r="AU9" s="65" t="s">
        <v>279</v>
      </c>
      <c r="AV9" s="65" t="s">
        <v>279</v>
      </c>
      <c r="AW9" s="65" t="s">
        <v>279</v>
      </c>
      <c r="AX9" s="188" t="s">
        <v>279</v>
      </c>
      <c r="AY9" s="198"/>
      <c r="AZ9" s="184" t="s">
        <v>201</v>
      </c>
      <c r="BA9" s="184" t="s">
        <v>201</v>
      </c>
      <c r="BB9" s="184" t="s">
        <v>201</v>
      </c>
      <c r="BC9" s="189" t="s">
        <v>201</v>
      </c>
      <c r="BD9" s="52"/>
      <c r="BE9" s="179"/>
      <c r="BF9" s="190" t="s">
        <v>56</v>
      </c>
      <c r="BG9" s="190" t="s">
        <v>56</v>
      </c>
      <c r="BH9" s="191" t="s">
        <v>56</v>
      </c>
      <c r="BI9" s="190" t="s">
        <v>56</v>
      </c>
      <c r="BJ9" s="191" t="s">
        <v>56</v>
      </c>
      <c r="BK9" s="192" t="s">
        <v>56</v>
      </c>
    </row>
    <row r="10" spans="1:63" x14ac:dyDescent="0.25">
      <c r="B10" s="193" t="s">
        <v>337</v>
      </c>
      <c r="C10" s="152"/>
      <c r="D10" s="173"/>
      <c r="E10" s="152"/>
      <c r="F10" s="152"/>
      <c r="G10" s="152"/>
      <c r="H10" s="152"/>
      <c r="I10" s="194"/>
      <c r="J10" s="174"/>
      <c r="K10" s="152"/>
      <c r="L10" s="175"/>
      <c r="M10" s="152"/>
      <c r="N10" s="195"/>
      <c r="O10" s="196"/>
      <c r="P10" s="165"/>
      <c r="Q10" s="165"/>
      <c r="R10" s="165"/>
      <c r="S10" s="196"/>
      <c r="T10" s="196"/>
      <c r="U10" s="166"/>
      <c r="V10" s="165"/>
      <c r="W10" s="196"/>
      <c r="X10" s="165"/>
      <c r="Y10" s="165"/>
      <c r="Z10" s="165"/>
      <c r="AA10" s="165"/>
      <c r="AB10" s="196"/>
      <c r="AC10" s="196"/>
      <c r="AD10" s="166"/>
      <c r="AE10" s="165"/>
      <c r="AF10" s="165"/>
      <c r="AG10" s="165"/>
      <c r="AH10" s="196"/>
      <c r="AI10" s="165"/>
      <c r="AJ10" s="165"/>
      <c r="AK10" s="165"/>
      <c r="AL10" s="196"/>
      <c r="AM10" s="196"/>
      <c r="AN10" s="166"/>
      <c r="AO10" s="175"/>
      <c r="AP10" s="152"/>
      <c r="AQ10" s="195"/>
      <c r="AR10" s="152"/>
      <c r="AS10" s="165"/>
      <c r="AT10" s="166"/>
      <c r="AU10" s="152"/>
      <c r="AV10" s="152"/>
      <c r="AW10" s="152"/>
      <c r="AX10" s="175"/>
      <c r="AY10" s="152"/>
      <c r="AZ10" s="152"/>
      <c r="BA10" s="152"/>
      <c r="BB10" s="152"/>
      <c r="BC10" s="175"/>
      <c r="BD10" s="152"/>
      <c r="BE10" s="195"/>
      <c r="BF10" s="152"/>
      <c r="BG10" s="152"/>
      <c r="BH10" s="152"/>
      <c r="BI10" s="152"/>
      <c r="BJ10" s="152"/>
      <c r="BK10" s="175"/>
    </row>
    <row r="11" spans="1:63" x14ac:dyDescent="0.25">
      <c r="B11" s="199" t="s">
        <v>338</v>
      </c>
      <c r="C11" s="114">
        <v>425</v>
      </c>
      <c r="D11" s="114" t="s">
        <v>339</v>
      </c>
      <c r="E11" s="200">
        <v>0</v>
      </c>
      <c r="F11" s="108">
        <v>0</v>
      </c>
      <c r="G11" s="200" t="s">
        <v>340</v>
      </c>
      <c r="H11" s="201" t="s">
        <v>283</v>
      </c>
      <c r="I11" s="202">
        <v>0.5</v>
      </c>
      <c r="J11" s="203">
        <v>7.0000000000000007E-2</v>
      </c>
      <c r="K11" s="204">
        <v>1.474</v>
      </c>
      <c r="L11" s="205">
        <v>1021.3395830763537</v>
      </c>
      <c r="M11" s="206"/>
      <c r="N11" s="207">
        <v>425</v>
      </c>
      <c r="O11" s="204">
        <v>6.9780999999999996E-2</v>
      </c>
      <c r="P11" s="108">
        <v>1.2374000000000001</v>
      </c>
      <c r="Q11" s="108">
        <v>1.1692</v>
      </c>
      <c r="R11" s="108">
        <v>1.4221999999999999</v>
      </c>
      <c r="S11" s="204">
        <v>0.21</v>
      </c>
      <c r="T11" s="204">
        <v>0.13791999999999999</v>
      </c>
      <c r="U11" s="208">
        <v>1.1392</v>
      </c>
      <c r="V11" s="108"/>
      <c r="W11" s="204">
        <v>6.5839999999999996E-2</v>
      </c>
      <c r="X11" s="108">
        <v>1.2583</v>
      </c>
      <c r="Y11" s="108">
        <v>1.1884999999999999</v>
      </c>
      <c r="Z11" s="108">
        <v>1.5059</v>
      </c>
      <c r="AA11" s="108">
        <v>1.3735999999999999</v>
      </c>
      <c r="AB11" s="204">
        <v>0.22</v>
      </c>
      <c r="AC11" s="204">
        <v>0.13040000000000002</v>
      </c>
      <c r="AD11" s="208">
        <v>1.141</v>
      </c>
      <c r="AE11" s="108"/>
      <c r="AF11" s="108"/>
      <c r="AG11" s="108"/>
      <c r="AH11" s="204">
        <v>6.5776000000000001E-2</v>
      </c>
      <c r="AI11" s="108">
        <v>1.2483</v>
      </c>
      <c r="AJ11" s="108">
        <v>1.1787000000000001</v>
      </c>
      <c r="AK11" s="108">
        <v>1.5059</v>
      </c>
      <c r="AL11" s="204">
        <v>0.215</v>
      </c>
      <c r="AM11" s="204">
        <v>0.12866</v>
      </c>
      <c r="AN11" s="208">
        <v>1.1309999999999998</v>
      </c>
      <c r="AO11" s="209">
        <v>1240</v>
      </c>
      <c r="AP11" s="210"/>
      <c r="AQ11" s="207">
        <v>425</v>
      </c>
      <c r="AR11" s="102">
        <v>9.4297999999999993E-2</v>
      </c>
      <c r="AS11" s="108" t="s">
        <v>284</v>
      </c>
      <c r="AT11" s="208">
        <v>1.2903225806451613</v>
      </c>
      <c r="AU11" s="129">
        <v>0</v>
      </c>
      <c r="AV11" s="129">
        <v>0</v>
      </c>
      <c r="AW11" s="129">
        <v>0</v>
      </c>
      <c r="AX11" s="123">
        <v>0</v>
      </c>
      <c r="AY11" s="102"/>
      <c r="AZ11" s="102" t="s">
        <v>284</v>
      </c>
      <c r="BA11" s="102" t="s">
        <v>284</v>
      </c>
      <c r="BB11" s="102" t="s">
        <v>284</v>
      </c>
      <c r="BC11" s="123" t="s">
        <v>284</v>
      </c>
      <c r="BD11" s="102"/>
      <c r="BE11" s="207">
        <v>425</v>
      </c>
      <c r="BF11" s="102" t="s">
        <v>284</v>
      </c>
      <c r="BG11" s="102" t="s">
        <v>284</v>
      </c>
      <c r="BH11" s="129" t="s">
        <v>284</v>
      </c>
      <c r="BI11" s="102">
        <v>3.6678880000000002E-3</v>
      </c>
      <c r="BJ11" s="102">
        <v>7.9511600000000005E-3</v>
      </c>
      <c r="BK11" s="123">
        <v>9.9291799999999993E-3</v>
      </c>
    </row>
    <row r="12" spans="1:63" x14ac:dyDescent="0.25">
      <c r="B12" s="199" t="s">
        <v>338</v>
      </c>
      <c r="C12" s="114">
        <v>427</v>
      </c>
      <c r="D12" s="114" t="s">
        <v>341</v>
      </c>
      <c r="E12" s="200">
        <v>0</v>
      </c>
      <c r="F12" s="108">
        <v>0</v>
      </c>
      <c r="G12" s="200" t="s">
        <v>340</v>
      </c>
      <c r="H12" s="201" t="s">
        <v>287</v>
      </c>
      <c r="I12" s="202">
        <v>0.5</v>
      </c>
      <c r="J12" s="203">
        <v>7.0000000000000007E-2</v>
      </c>
      <c r="K12" s="204">
        <v>1.0449999999999999</v>
      </c>
      <c r="L12" s="205">
        <v>1002.1748586341887</v>
      </c>
      <c r="M12" s="206"/>
      <c r="N12" s="207">
        <v>427</v>
      </c>
      <c r="O12" s="204">
        <v>6.5240000000000006E-2</v>
      </c>
      <c r="P12" s="108">
        <v>0.92347999999999997</v>
      </c>
      <c r="Q12" s="108">
        <v>0.88334000000000001</v>
      </c>
      <c r="R12" s="108">
        <v>1.024</v>
      </c>
      <c r="S12" s="204">
        <v>0.23400000000000001</v>
      </c>
      <c r="T12" s="204">
        <v>0.12736</v>
      </c>
      <c r="U12" s="208">
        <v>0.83339999999999992</v>
      </c>
      <c r="V12" s="108"/>
      <c r="W12" s="204">
        <v>6.1383E-2</v>
      </c>
      <c r="X12" s="108">
        <v>0.91127000000000002</v>
      </c>
      <c r="Y12" s="108">
        <v>0.87619000000000002</v>
      </c>
      <c r="Z12" s="108">
        <v>1.024</v>
      </c>
      <c r="AA12" s="108">
        <v>0.98360000000000003</v>
      </c>
      <c r="AB12" s="204">
        <v>0.192</v>
      </c>
      <c r="AC12" s="204">
        <v>0.11799999999999999</v>
      </c>
      <c r="AD12" s="208">
        <v>0.85228000000000004</v>
      </c>
      <c r="AE12" s="108"/>
      <c r="AF12" s="108"/>
      <c r="AG12" s="108"/>
      <c r="AH12" s="204">
        <v>6.3342999999999997E-2</v>
      </c>
      <c r="AI12" s="108">
        <v>0.93359999999999999</v>
      </c>
      <c r="AJ12" s="108">
        <v>0.89700999999999997</v>
      </c>
      <c r="AK12" s="108">
        <v>1.024</v>
      </c>
      <c r="AL12" s="204">
        <v>0.20200000000000001</v>
      </c>
      <c r="AM12" s="204">
        <v>0.12287999999999999</v>
      </c>
      <c r="AN12" s="208">
        <v>0.86570000000000003</v>
      </c>
      <c r="AO12" s="209">
        <v>1210</v>
      </c>
      <c r="AP12" s="210"/>
      <c r="AQ12" s="207">
        <v>427</v>
      </c>
      <c r="AR12" s="102">
        <v>7.2273600000000007E-2</v>
      </c>
      <c r="AS12" s="108" t="s">
        <v>284</v>
      </c>
      <c r="AT12" s="208">
        <v>0.16528925619834711</v>
      </c>
      <c r="AU12" s="129">
        <v>0</v>
      </c>
      <c r="AV12" s="129">
        <v>0</v>
      </c>
      <c r="AW12" s="129">
        <v>0</v>
      </c>
      <c r="AX12" s="123">
        <v>0</v>
      </c>
      <c r="AY12" s="102"/>
      <c r="AZ12" s="102" t="s">
        <v>284</v>
      </c>
      <c r="BA12" s="102" t="s">
        <v>284</v>
      </c>
      <c r="BB12" s="102" t="s">
        <v>284</v>
      </c>
      <c r="BC12" s="123" t="s">
        <v>284</v>
      </c>
      <c r="BD12" s="102"/>
      <c r="BE12" s="207">
        <v>427</v>
      </c>
      <c r="BF12" s="102" t="s">
        <v>284</v>
      </c>
      <c r="BG12" s="102" t="s">
        <v>284</v>
      </c>
      <c r="BH12" s="129" t="s">
        <v>284</v>
      </c>
      <c r="BI12" s="102" t="s">
        <v>284</v>
      </c>
      <c r="BJ12" s="102" t="s">
        <v>284</v>
      </c>
      <c r="BK12" s="123" t="s">
        <v>284</v>
      </c>
    </row>
    <row r="13" spans="1:63" x14ac:dyDescent="0.25">
      <c r="B13" s="199" t="s">
        <v>338</v>
      </c>
      <c r="C13" s="114">
        <v>426</v>
      </c>
      <c r="D13" s="114" t="s">
        <v>342</v>
      </c>
      <c r="E13" s="200">
        <v>0</v>
      </c>
      <c r="F13" s="108">
        <v>0</v>
      </c>
      <c r="G13" s="200" t="s">
        <v>340</v>
      </c>
      <c r="H13" s="201" t="s">
        <v>290</v>
      </c>
      <c r="I13" s="202">
        <v>0.5</v>
      </c>
      <c r="J13" s="203">
        <v>0.1</v>
      </c>
      <c r="K13" s="204">
        <v>1.76</v>
      </c>
      <c r="L13" s="205">
        <v>1004.1322314049585</v>
      </c>
      <c r="M13" s="206"/>
      <c r="N13" s="207">
        <v>426</v>
      </c>
      <c r="O13" s="204">
        <v>0.10238</v>
      </c>
      <c r="P13" s="108">
        <v>1.4658</v>
      </c>
      <c r="Q13" s="108">
        <v>1.3735999999999999</v>
      </c>
      <c r="R13" s="108">
        <v>1.7067000000000001</v>
      </c>
      <c r="S13" s="204">
        <v>0.20100000000000001</v>
      </c>
      <c r="T13" s="204">
        <v>0.20064000000000001</v>
      </c>
      <c r="U13" s="208">
        <v>1.3686000000000003</v>
      </c>
      <c r="V13" s="108"/>
      <c r="W13" s="204">
        <v>9.9525000000000002E-2</v>
      </c>
      <c r="X13" s="108">
        <v>1.4932000000000001</v>
      </c>
      <c r="Y13" s="108">
        <v>1.3983000000000001</v>
      </c>
      <c r="Z13" s="108">
        <v>1.7067000000000001</v>
      </c>
      <c r="AA13" s="108">
        <v>1.6411</v>
      </c>
      <c r="AB13" s="204">
        <v>0.214</v>
      </c>
      <c r="AC13" s="204">
        <v>0.19145999999999996</v>
      </c>
      <c r="AD13" s="208">
        <v>1.3570000000000002</v>
      </c>
      <c r="AE13" s="108"/>
      <c r="AF13" s="108"/>
      <c r="AG13" s="108"/>
      <c r="AH13" s="204">
        <v>9.7042000000000003E-2</v>
      </c>
      <c r="AI13" s="108">
        <v>1.4732000000000001</v>
      </c>
      <c r="AJ13" s="108">
        <v>1.3771</v>
      </c>
      <c r="AK13" s="108">
        <v>1.7067000000000001</v>
      </c>
      <c r="AL13" s="204">
        <v>0.223</v>
      </c>
      <c r="AM13" s="204">
        <v>0.19369999999999998</v>
      </c>
      <c r="AN13" s="208">
        <v>1.3333999999999999</v>
      </c>
      <c r="AO13" s="209">
        <v>1259</v>
      </c>
      <c r="AP13" s="210"/>
      <c r="AQ13" s="207">
        <v>426</v>
      </c>
      <c r="AR13" s="102">
        <v>0.15732490000000002</v>
      </c>
      <c r="AS13" s="108">
        <v>7.9428117553613981E-2</v>
      </c>
      <c r="AT13" s="208">
        <v>68.784749801429712</v>
      </c>
      <c r="AU13" s="129">
        <v>0</v>
      </c>
      <c r="AV13" s="129">
        <v>0</v>
      </c>
      <c r="AW13" s="129">
        <v>0.16700000000000001</v>
      </c>
      <c r="AX13" s="123">
        <v>9.0999999999999998E-2</v>
      </c>
      <c r="AY13" s="102"/>
      <c r="AZ13" s="102" t="s">
        <v>284</v>
      </c>
      <c r="BA13" s="102" t="s">
        <v>284</v>
      </c>
      <c r="BB13" s="102">
        <v>0.54963923599999998</v>
      </c>
      <c r="BC13" s="123">
        <v>0.23611120000000002</v>
      </c>
      <c r="BD13" s="102"/>
      <c r="BE13" s="207">
        <v>426</v>
      </c>
      <c r="BF13" s="102" t="s">
        <v>284</v>
      </c>
      <c r="BG13" s="102" t="s">
        <v>284</v>
      </c>
      <c r="BH13" s="129" t="s">
        <v>284</v>
      </c>
      <c r="BI13" s="102">
        <v>1.1001219999999999E-2</v>
      </c>
      <c r="BJ13" s="102">
        <v>1.9956000000000002E-2</v>
      </c>
      <c r="BK13" s="123">
        <v>2.1076899999999999E-2</v>
      </c>
    </row>
    <row r="14" spans="1:63" x14ac:dyDescent="0.25">
      <c r="B14" s="199" t="s">
        <v>338</v>
      </c>
      <c r="C14" s="114">
        <v>428</v>
      </c>
      <c r="D14" s="114" t="s">
        <v>343</v>
      </c>
      <c r="E14" s="200">
        <v>0</v>
      </c>
      <c r="F14" s="108">
        <v>0</v>
      </c>
      <c r="G14" s="200" t="s">
        <v>340</v>
      </c>
      <c r="H14" s="201" t="s">
        <v>293</v>
      </c>
      <c r="I14" s="202">
        <v>0.5</v>
      </c>
      <c r="J14" s="203">
        <v>0.1</v>
      </c>
      <c r="K14" s="204">
        <v>1.2430000000000001</v>
      </c>
      <c r="L14" s="205">
        <v>1000.5119578731806</v>
      </c>
      <c r="M14" s="206"/>
      <c r="N14" s="207">
        <v>428</v>
      </c>
      <c r="O14" s="204">
        <v>9.9413000000000001E-2</v>
      </c>
      <c r="P14" s="108">
        <v>1.0895999999999999</v>
      </c>
      <c r="Q14" s="108">
        <v>1.0464</v>
      </c>
      <c r="R14" s="108">
        <v>1.2190000000000001</v>
      </c>
      <c r="S14" s="204">
        <v>0.19900000000000001</v>
      </c>
      <c r="T14" s="204">
        <v>0.18276000000000001</v>
      </c>
      <c r="U14" s="208">
        <v>1.0356000000000001</v>
      </c>
      <c r="V14" s="108"/>
      <c r="W14" s="204">
        <v>8.6790999999999993E-2</v>
      </c>
      <c r="X14" s="108">
        <v>1.0879000000000001</v>
      </c>
      <c r="Y14" s="108">
        <v>1.0431999999999999</v>
      </c>
      <c r="Z14" s="108">
        <v>1.2190000000000001</v>
      </c>
      <c r="AA14" s="108">
        <v>1.1858</v>
      </c>
      <c r="AB14" s="204">
        <v>0.20799999999999999</v>
      </c>
      <c r="AC14" s="204">
        <v>0.18109999999999998</v>
      </c>
      <c r="AD14" s="208">
        <v>1.0309999999999999</v>
      </c>
      <c r="AE14" s="108"/>
      <c r="AF14" s="108"/>
      <c r="AG14" s="108"/>
      <c r="AH14" s="204">
        <v>9.5135999999999998E-2</v>
      </c>
      <c r="AI14" s="108">
        <v>1.1025</v>
      </c>
      <c r="AJ14" s="108">
        <v>1.0589</v>
      </c>
      <c r="AK14" s="108">
        <v>1.28</v>
      </c>
      <c r="AL14" s="204">
        <v>0.20100000000000001</v>
      </c>
      <c r="AM14" s="204">
        <v>0.18811999999999998</v>
      </c>
      <c r="AN14" s="208">
        <v>1.0508000000000002</v>
      </c>
      <c r="AO14" s="209">
        <v>1157</v>
      </c>
      <c r="AP14" s="210"/>
      <c r="AQ14" s="207">
        <v>428</v>
      </c>
      <c r="AR14" s="102">
        <v>0.10397320000000002</v>
      </c>
      <c r="AS14" s="108" t="s">
        <v>284</v>
      </c>
      <c r="AT14" s="208">
        <v>2.3336214347450301</v>
      </c>
      <c r="AU14" s="129">
        <v>0</v>
      </c>
      <c r="AV14" s="129">
        <v>0</v>
      </c>
      <c r="AW14" s="129">
        <v>0</v>
      </c>
      <c r="AX14" s="123">
        <v>0</v>
      </c>
      <c r="AY14" s="102"/>
      <c r="AZ14" s="129" t="s">
        <v>284</v>
      </c>
      <c r="BA14" s="129" t="s">
        <v>284</v>
      </c>
      <c r="BB14" s="129">
        <v>0.12551732530000001</v>
      </c>
      <c r="BC14" s="123">
        <v>1.150803875E-2</v>
      </c>
      <c r="BD14" s="102"/>
      <c r="BE14" s="207">
        <v>428</v>
      </c>
      <c r="BF14" s="102" t="s">
        <v>284</v>
      </c>
      <c r="BG14" s="102" t="s">
        <v>284</v>
      </c>
      <c r="BH14" s="129" t="s">
        <v>284</v>
      </c>
      <c r="BI14" s="102">
        <v>5.0476200000000001E-3</v>
      </c>
      <c r="BJ14" s="102">
        <v>9.9365099999999991E-3</v>
      </c>
      <c r="BK14" s="123">
        <v>1.1299150000000001E-2</v>
      </c>
    </row>
    <row r="15" spans="1:63" x14ac:dyDescent="0.25">
      <c r="B15" s="199" t="s">
        <v>338</v>
      </c>
      <c r="C15" s="114">
        <v>429</v>
      </c>
      <c r="D15" s="114" t="s">
        <v>344</v>
      </c>
      <c r="E15" s="200">
        <v>0</v>
      </c>
      <c r="F15" s="108">
        <v>0</v>
      </c>
      <c r="G15" s="200" t="s">
        <v>340</v>
      </c>
      <c r="H15" s="201" t="s">
        <v>296</v>
      </c>
      <c r="I15" s="202">
        <v>0.5</v>
      </c>
      <c r="J15" s="203">
        <v>0.15</v>
      </c>
      <c r="K15" s="204">
        <v>2.1560000000000001</v>
      </c>
      <c r="L15" s="205">
        <v>1001.855287569573</v>
      </c>
      <c r="M15" s="206"/>
      <c r="N15" s="207">
        <v>429</v>
      </c>
      <c r="O15" s="204">
        <v>0.15218000000000001</v>
      </c>
      <c r="P15" s="108">
        <v>1.7393000000000001</v>
      </c>
      <c r="Q15" s="108">
        <v>1.6068</v>
      </c>
      <c r="R15" s="108">
        <v>2.1333000000000002</v>
      </c>
      <c r="S15" s="204">
        <v>0.20200000000000001</v>
      </c>
      <c r="T15" s="204">
        <v>0.31601999999999997</v>
      </c>
      <c r="U15" s="208">
        <v>1.6366000000000001</v>
      </c>
      <c r="V15" s="108"/>
      <c r="W15" s="204">
        <v>0.15376000000000001</v>
      </c>
      <c r="X15" s="108">
        <v>1.7416</v>
      </c>
      <c r="Y15" s="108">
        <v>1.6117999999999999</v>
      </c>
      <c r="Z15" s="108">
        <v>2.1333000000000002</v>
      </c>
      <c r="AA15" s="108">
        <v>1.9538</v>
      </c>
      <c r="AB15" s="204">
        <v>0.2</v>
      </c>
      <c r="AC15" s="204">
        <v>0.30741999999999992</v>
      </c>
      <c r="AD15" s="208">
        <v>1.7245999999999999</v>
      </c>
      <c r="AE15" s="108"/>
      <c r="AF15" s="108"/>
      <c r="AG15" s="108"/>
      <c r="AH15" s="204">
        <v>0.14452999999999999</v>
      </c>
      <c r="AI15" s="108">
        <v>1.6910000000000001</v>
      </c>
      <c r="AJ15" s="108">
        <v>1.5552999999999999</v>
      </c>
      <c r="AK15" s="108">
        <v>2.1333000000000002</v>
      </c>
      <c r="AL15" s="204">
        <v>0.217</v>
      </c>
      <c r="AM15" s="204">
        <v>0.29213999999999996</v>
      </c>
      <c r="AN15" s="208">
        <v>1.6143999999999998</v>
      </c>
      <c r="AO15" s="209">
        <v>1270</v>
      </c>
      <c r="AP15" s="210"/>
      <c r="AQ15" s="207">
        <v>429</v>
      </c>
      <c r="AR15" s="102">
        <v>0.24626010000000004</v>
      </c>
      <c r="AS15" s="108">
        <v>7.952755905511812</v>
      </c>
      <c r="AT15" s="208" t="s">
        <v>284</v>
      </c>
      <c r="AU15" s="129">
        <v>6.0299999999999999E-2</v>
      </c>
      <c r="AV15" s="129">
        <v>0.12590000000000001</v>
      </c>
      <c r="AW15" s="129">
        <v>0.4148</v>
      </c>
      <c r="AX15" s="123">
        <v>0.41399999999999998</v>
      </c>
      <c r="AY15" s="102"/>
      <c r="AZ15" s="102" t="s">
        <v>284</v>
      </c>
      <c r="BA15" s="102">
        <v>0.110096745</v>
      </c>
      <c r="BB15" s="102">
        <v>1.3772501110000002</v>
      </c>
      <c r="BC15" s="123">
        <v>0.79880937500000004</v>
      </c>
      <c r="BD15" s="102"/>
      <c r="BE15" s="207">
        <v>429</v>
      </c>
      <c r="BF15" s="102">
        <v>1.08547E-2</v>
      </c>
      <c r="BG15" s="102">
        <v>3.7191699999999999E-3</v>
      </c>
      <c r="BH15" s="129">
        <v>2.2505499999999998E-2</v>
      </c>
      <c r="BI15" s="102">
        <v>2.5557999999999997E-2</v>
      </c>
      <c r="BJ15" s="102">
        <v>4.0866899999999998E-2</v>
      </c>
      <c r="BK15" s="123">
        <v>4.3528700000000004E-2</v>
      </c>
    </row>
    <row r="16" spans="1:63" x14ac:dyDescent="0.25">
      <c r="B16" s="212" t="s">
        <v>338</v>
      </c>
      <c r="C16" s="213">
        <v>430</v>
      </c>
      <c r="D16" s="213" t="s">
        <v>345</v>
      </c>
      <c r="E16" s="214">
        <v>0</v>
      </c>
      <c r="F16" s="107">
        <v>0</v>
      </c>
      <c r="G16" s="214" t="s">
        <v>340</v>
      </c>
      <c r="H16" s="215" t="s">
        <v>299</v>
      </c>
      <c r="I16" s="216">
        <v>0.5</v>
      </c>
      <c r="J16" s="217">
        <v>0.15</v>
      </c>
      <c r="K16" s="218">
        <v>1.5289999999999999</v>
      </c>
      <c r="L16" s="219">
        <v>1027.4094773767761</v>
      </c>
      <c r="M16" s="206"/>
      <c r="N16" s="220">
        <v>430</v>
      </c>
      <c r="O16" s="218">
        <v>0.14244999999999999</v>
      </c>
      <c r="P16" s="107">
        <v>1.2943</v>
      </c>
      <c r="Q16" s="107">
        <v>1.2258</v>
      </c>
      <c r="R16" s="107">
        <v>1.5059</v>
      </c>
      <c r="S16" s="218">
        <v>0.214</v>
      </c>
      <c r="T16" s="218">
        <v>0.28456000000000004</v>
      </c>
      <c r="U16" s="221">
        <v>1.2529999999999999</v>
      </c>
      <c r="V16" s="107"/>
      <c r="W16" s="218">
        <v>0.13657</v>
      </c>
      <c r="X16" s="107">
        <v>1.3504</v>
      </c>
      <c r="Y16" s="107">
        <v>1.2843</v>
      </c>
      <c r="Z16" s="107">
        <v>1.5059</v>
      </c>
      <c r="AA16" s="107">
        <v>1.4722</v>
      </c>
      <c r="AB16" s="218">
        <v>0.20599999999999999</v>
      </c>
      <c r="AC16" s="218">
        <v>0.26532</v>
      </c>
      <c r="AD16" s="221">
        <v>1.302</v>
      </c>
      <c r="AE16" s="107"/>
      <c r="AF16" s="107"/>
      <c r="AG16" s="107"/>
      <c r="AH16" s="218">
        <v>0.13555</v>
      </c>
      <c r="AI16" s="107">
        <v>1.3285</v>
      </c>
      <c r="AJ16" s="107">
        <v>1.2622</v>
      </c>
      <c r="AK16" s="107">
        <v>1.6</v>
      </c>
      <c r="AL16" s="218">
        <v>0.223</v>
      </c>
      <c r="AM16" s="218">
        <v>0.24691999999999997</v>
      </c>
      <c r="AN16" s="221">
        <v>1.2625999999999999</v>
      </c>
      <c r="AO16" s="222">
        <v>1194</v>
      </c>
      <c r="AP16" s="210"/>
      <c r="AQ16" s="220">
        <v>430</v>
      </c>
      <c r="AR16" s="104">
        <v>0.17539569999999999</v>
      </c>
      <c r="AS16" s="107">
        <v>0.50251256281407031</v>
      </c>
      <c r="AT16" s="221">
        <v>23.53433835845896</v>
      </c>
      <c r="AU16" s="104">
        <v>0</v>
      </c>
      <c r="AV16" s="104">
        <v>0</v>
      </c>
      <c r="AW16" s="104">
        <v>0.31440000000000001</v>
      </c>
      <c r="AX16" s="223">
        <v>0.23849999999999999</v>
      </c>
      <c r="AY16" s="104"/>
      <c r="AZ16" s="104" t="s">
        <v>284</v>
      </c>
      <c r="BA16" s="104" t="s">
        <v>284</v>
      </c>
      <c r="BB16" s="104">
        <v>0.69177824999999993</v>
      </c>
      <c r="BC16" s="223">
        <v>0.37896836249999993</v>
      </c>
      <c r="BD16" s="129"/>
      <c r="BE16" s="220">
        <v>430</v>
      </c>
      <c r="BF16" s="104">
        <v>2.0634920000000001E-3</v>
      </c>
      <c r="BG16" s="104" t="s">
        <v>284</v>
      </c>
      <c r="BH16" s="104" t="s">
        <v>284</v>
      </c>
      <c r="BI16" s="104" t="s">
        <v>284</v>
      </c>
      <c r="BJ16" s="104" t="s">
        <v>284</v>
      </c>
      <c r="BK16" s="223">
        <v>2.7914500000000002E-2</v>
      </c>
    </row>
    <row r="17" spans="2:63" s="6" customFormat="1" x14ac:dyDescent="0.25">
      <c r="B17" s="199"/>
      <c r="C17" s="114"/>
      <c r="D17" s="114"/>
      <c r="E17" s="200"/>
      <c r="F17" s="108"/>
      <c r="G17" s="200"/>
      <c r="H17" s="201"/>
      <c r="I17" s="202"/>
      <c r="J17" s="203"/>
      <c r="K17" s="204"/>
      <c r="L17" s="205"/>
      <c r="M17" s="206"/>
      <c r="N17" s="207"/>
      <c r="O17" s="204"/>
      <c r="P17" s="108"/>
      <c r="Q17" s="108"/>
      <c r="R17" s="108"/>
      <c r="S17" s="204"/>
      <c r="T17" s="204"/>
      <c r="U17" s="208"/>
      <c r="V17" s="108"/>
      <c r="W17" s="204"/>
      <c r="X17" s="108"/>
      <c r="Y17" s="108"/>
      <c r="Z17" s="108"/>
      <c r="AA17" s="108"/>
      <c r="AB17" s="204"/>
      <c r="AC17" s="204"/>
      <c r="AD17" s="208"/>
      <c r="AE17" s="108"/>
      <c r="AF17" s="108"/>
      <c r="AG17" s="108"/>
      <c r="AH17" s="204"/>
      <c r="AI17" s="108"/>
      <c r="AJ17" s="108"/>
      <c r="AK17" s="108"/>
      <c r="AL17" s="204"/>
      <c r="AM17" s="204"/>
      <c r="AN17" s="208"/>
      <c r="AO17" s="209"/>
      <c r="AP17" s="210"/>
      <c r="AQ17" s="207"/>
      <c r="AR17" s="129"/>
      <c r="AS17" s="108"/>
      <c r="AT17" s="208"/>
      <c r="AU17" s="129"/>
      <c r="AV17" s="129"/>
      <c r="AW17" s="129"/>
      <c r="AX17" s="211"/>
      <c r="AY17" s="129"/>
      <c r="AZ17" s="129"/>
      <c r="BA17" s="129"/>
      <c r="BB17" s="129"/>
      <c r="BC17" s="211"/>
      <c r="BD17" s="129"/>
      <c r="BE17" s="207"/>
      <c r="BF17" s="129"/>
      <c r="BG17" s="129"/>
      <c r="BH17" s="129"/>
      <c r="BI17" s="129"/>
      <c r="BJ17" s="129"/>
      <c r="BK17" s="211"/>
    </row>
    <row r="18" spans="2:63" s="6" customFormat="1" x14ac:dyDescent="0.25">
      <c r="B18" s="199"/>
      <c r="C18" s="114"/>
      <c r="D18" s="114"/>
      <c r="E18" s="200"/>
      <c r="F18" s="108"/>
      <c r="G18" s="200"/>
      <c r="H18" s="201"/>
      <c r="I18" s="202"/>
      <c r="J18" s="203"/>
      <c r="K18" s="204"/>
      <c r="L18" s="205"/>
      <c r="M18" s="206"/>
      <c r="N18" s="207"/>
      <c r="O18" s="204"/>
      <c r="P18" s="108"/>
      <c r="Q18" s="108"/>
      <c r="R18" s="108"/>
      <c r="S18" s="204"/>
      <c r="T18" s="204"/>
      <c r="U18" s="208"/>
      <c r="V18" s="108"/>
      <c r="W18" t="s">
        <v>302</v>
      </c>
      <c r="X18" s="108">
        <f>X2-I20</f>
        <v>4.9999999999999933E-2</v>
      </c>
      <c r="Y18" s="108"/>
      <c r="Z18" s="108"/>
      <c r="AA18" s="108"/>
      <c r="AB18" s="204"/>
      <c r="AC18" s="204"/>
      <c r="AD18" s="208"/>
      <c r="AE18" s="108"/>
      <c r="AF18" s="108"/>
      <c r="AG18" s="108"/>
      <c r="AH18" t="s">
        <v>302</v>
      </c>
      <c r="AI18" s="108">
        <f>AI2-I20</f>
        <v>0.14999999999999991</v>
      </c>
      <c r="AJ18" s="108"/>
      <c r="AK18" s="108"/>
      <c r="AL18" s="204"/>
      <c r="AM18" s="204"/>
      <c r="AN18" s="208"/>
      <c r="AO18" s="209"/>
      <c r="AP18" s="210"/>
      <c r="AQ18" s="207"/>
      <c r="AR18" s="129"/>
      <c r="AS18" s="108"/>
      <c r="AT18" s="208"/>
      <c r="AU18" s="129"/>
      <c r="AV18" s="129"/>
      <c r="AW18" s="129"/>
      <c r="AX18" s="211"/>
      <c r="AY18" s="129"/>
      <c r="AZ18" s="129"/>
      <c r="BA18" s="129"/>
      <c r="BB18" s="129"/>
      <c r="BC18" s="211"/>
      <c r="BD18" s="129"/>
      <c r="BE18" s="207"/>
      <c r="BF18" s="129"/>
      <c r="BG18" s="129"/>
      <c r="BH18" s="129"/>
      <c r="BI18" s="129"/>
      <c r="BJ18" s="129"/>
      <c r="BK18" s="211"/>
    </row>
    <row r="19" spans="2:63" s="6" customFormat="1" x14ac:dyDescent="0.25">
      <c r="B19" s="199"/>
      <c r="C19" s="114"/>
      <c r="D19" s="114"/>
      <c r="E19" s="200"/>
      <c r="F19" s="108"/>
      <c r="G19" s="200"/>
      <c r="H19" s="201"/>
      <c r="I19" s="202"/>
      <c r="J19" s="203"/>
      <c r="K19" s="204"/>
      <c r="L19" s="205"/>
      <c r="M19" s="206"/>
      <c r="N19" s="207"/>
      <c r="O19" s="204"/>
      <c r="P19" s="108"/>
      <c r="Q19" s="108"/>
      <c r="R19" s="108"/>
      <c r="S19" s="204"/>
      <c r="T19" s="204"/>
      <c r="U19" s="208"/>
      <c r="V19" s="108"/>
      <c r="W19" s="204"/>
      <c r="X19" s="108"/>
      <c r="Y19" s="108"/>
      <c r="Z19" s="108"/>
      <c r="AA19" s="108"/>
      <c r="AB19" s="204"/>
      <c r="AC19" s="204"/>
      <c r="AD19" s="208"/>
      <c r="AE19" s="108"/>
      <c r="AF19" s="108"/>
      <c r="AG19" s="108"/>
      <c r="AH19" s="204"/>
      <c r="AI19" s="108"/>
      <c r="AJ19" s="108"/>
      <c r="AK19" s="108"/>
      <c r="AL19" s="204"/>
      <c r="AM19" s="204"/>
      <c r="AN19" s="208"/>
      <c r="AO19" s="209"/>
      <c r="AP19" s="210"/>
      <c r="AQ19" s="207"/>
      <c r="AR19" s="129"/>
      <c r="AS19" s="108"/>
      <c r="AT19" s="208"/>
      <c r="AU19" s="129"/>
      <c r="AV19" s="129"/>
      <c r="AW19" s="129"/>
      <c r="AX19" s="211"/>
      <c r="AY19" s="129"/>
      <c r="AZ19" s="129"/>
      <c r="BA19" s="129"/>
      <c r="BB19" s="129"/>
      <c r="BC19" s="211"/>
      <c r="BD19" s="129"/>
      <c r="BE19" s="207"/>
      <c r="BF19" s="129"/>
      <c r="BG19" s="129"/>
      <c r="BH19" s="129"/>
      <c r="BI19" s="129"/>
      <c r="BJ19" s="129"/>
      <c r="BK19" s="211"/>
    </row>
    <row r="20" spans="2:63" x14ac:dyDescent="0.25">
      <c r="B20" s="199" t="s">
        <v>346</v>
      </c>
      <c r="C20" s="114">
        <v>451</v>
      </c>
      <c r="D20" s="114" t="s">
        <v>347</v>
      </c>
      <c r="E20" s="200">
        <v>0</v>
      </c>
      <c r="F20" s="108">
        <v>0</v>
      </c>
      <c r="G20" s="200" t="s">
        <v>340</v>
      </c>
      <c r="H20" s="201" t="s">
        <v>283</v>
      </c>
      <c r="I20" s="202">
        <v>0.55000000000000004</v>
      </c>
      <c r="J20" s="203">
        <v>0.09</v>
      </c>
      <c r="K20" s="204">
        <v>1.6703187875358823</v>
      </c>
      <c r="L20" s="205">
        <v>1097.2320292409461</v>
      </c>
      <c r="M20" s="206"/>
      <c r="N20" s="207">
        <v>451</v>
      </c>
      <c r="O20" s="204">
        <v>9.2896000000000006E-2</v>
      </c>
      <c r="P20" s="108">
        <v>1.3959999999999999</v>
      </c>
      <c r="Q20" s="108">
        <v>1.3151999999999999</v>
      </c>
      <c r="R20" s="108">
        <v>1.7067000000000001</v>
      </c>
      <c r="S20" s="204">
        <v>0.2</v>
      </c>
      <c r="T20" s="204">
        <v>0.18786</v>
      </c>
      <c r="U20" s="208">
        <v>1.3</v>
      </c>
      <c r="V20" s="108"/>
      <c r="W20" s="204">
        <v>8.9608999999999994E-2</v>
      </c>
      <c r="X20" s="108">
        <v>1.4189000000000001</v>
      </c>
      <c r="Y20" s="108">
        <v>1.3345</v>
      </c>
      <c r="Z20" s="108">
        <v>1.7067000000000001</v>
      </c>
      <c r="AA20" s="108">
        <v>1.5471999999999999</v>
      </c>
      <c r="AB20" s="204">
        <v>0.191</v>
      </c>
      <c r="AC20" s="204">
        <v>0.17534</v>
      </c>
      <c r="AD20" s="208">
        <v>1.3028</v>
      </c>
      <c r="AE20" s="108"/>
      <c r="AF20" s="108"/>
      <c r="AG20" s="108"/>
      <c r="AH20" s="204">
        <v>8.7282999999999999E-2</v>
      </c>
      <c r="AI20" s="108">
        <v>1.4065000000000001</v>
      </c>
      <c r="AJ20" s="108">
        <v>1.3212999999999999</v>
      </c>
      <c r="AK20" s="108">
        <v>1.6</v>
      </c>
      <c r="AL20" s="204">
        <v>0.20200000000000001</v>
      </c>
      <c r="AM20" s="204">
        <v>0.16550000000000001</v>
      </c>
      <c r="AN20" s="208">
        <v>1.2784</v>
      </c>
      <c r="AO20" s="209">
        <v>1333</v>
      </c>
      <c r="AP20" s="210"/>
      <c r="AQ20" s="207">
        <v>451</v>
      </c>
      <c r="AR20" s="102">
        <v>0.14046650000000002</v>
      </c>
      <c r="AS20" s="108" t="s">
        <v>284</v>
      </c>
      <c r="AT20" s="208">
        <v>11.627906976744185</v>
      </c>
      <c r="AU20" s="129">
        <v>0</v>
      </c>
      <c r="AV20" s="129">
        <v>0</v>
      </c>
      <c r="AW20" s="129">
        <v>1.3411</v>
      </c>
      <c r="AX20" s="123">
        <v>1.667</v>
      </c>
      <c r="AY20" s="102"/>
      <c r="AZ20" s="102" t="s">
        <v>284</v>
      </c>
      <c r="BA20" s="102" t="s">
        <v>284</v>
      </c>
      <c r="BB20" s="102">
        <v>0.83506259999999999</v>
      </c>
      <c r="BC20" s="123">
        <v>0.50436587500000007</v>
      </c>
      <c r="BD20" s="102"/>
      <c r="BE20" s="207">
        <v>451</v>
      </c>
      <c r="BF20" s="102" t="s">
        <v>284</v>
      </c>
      <c r="BG20" s="102" t="s">
        <v>284</v>
      </c>
      <c r="BH20" s="129" t="s">
        <v>284</v>
      </c>
      <c r="BI20" s="102">
        <v>1.8500599999999999E-2</v>
      </c>
      <c r="BJ20" s="102">
        <v>3.1306500000000001E-2</v>
      </c>
      <c r="BK20" s="123">
        <v>3.79805E-2</v>
      </c>
    </row>
    <row r="21" spans="2:63" x14ac:dyDescent="0.25">
      <c r="B21" s="199" t="s">
        <v>346</v>
      </c>
      <c r="C21" s="114">
        <v>452</v>
      </c>
      <c r="D21" s="114" t="s">
        <v>348</v>
      </c>
      <c r="E21" s="200">
        <v>0</v>
      </c>
      <c r="F21" s="108">
        <v>0</v>
      </c>
      <c r="G21" s="200" t="s">
        <v>340</v>
      </c>
      <c r="H21" s="201" t="s">
        <v>287</v>
      </c>
      <c r="I21" s="202">
        <v>0.55000000000000004</v>
      </c>
      <c r="J21" s="203">
        <v>0.09</v>
      </c>
      <c r="K21" s="204">
        <v>1.1810937414099143</v>
      </c>
      <c r="L21" s="205">
        <v>1108.3717263019273</v>
      </c>
      <c r="M21" s="206"/>
      <c r="N21" s="207">
        <v>452</v>
      </c>
      <c r="O21" s="204">
        <v>9.1428999999999996E-2</v>
      </c>
      <c r="P21" s="108">
        <v>1.0244</v>
      </c>
      <c r="Q21" s="108">
        <v>0.97914999999999996</v>
      </c>
      <c r="R21" s="108">
        <v>1.1636</v>
      </c>
      <c r="S21" s="204">
        <v>0.192</v>
      </c>
      <c r="T21" s="204">
        <v>0.16242000000000001</v>
      </c>
      <c r="U21" s="208">
        <v>0.98639999999999994</v>
      </c>
      <c r="V21" s="108"/>
      <c r="W21" s="204">
        <v>8.0241000000000007E-2</v>
      </c>
      <c r="X21" s="108">
        <v>1.022</v>
      </c>
      <c r="Y21" s="108">
        <v>0.97785999999999995</v>
      </c>
      <c r="Z21" s="108">
        <v>1.2190000000000001</v>
      </c>
      <c r="AA21" s="108">
        <v>1.1054999999999999</v>
      </c>
      <c r="AB21" s="204">
        <v>0.185</v>
      </c>
      <c r="AC21" s="204">
        <v>0.15318000000000001</v>
      </c>
      <c r="AD21" s="208">
        <v>0.98938000000000004</v>
      </c>
      <c r="AE21" s="108"/>
      <c r="AF21" s="108"/>
      <c r="AG21" s="108"/>
      <c r="AH21" s="204">
        <v>8.5171999999999998E-2</v>
      </c>
      <c r="AI21" s="108">
        <v>1.0441</v>
      </c>
      <c r="AJ21" s="108">
        <v>1.002</v>
      </c>
      <c r="AK21" s="108">
        <v>1.2190000000000001</v>
      </c>
      <c r="AL21" s="204">
        <v>0.182</v>
      </c>
      <c r="AM21" s="204">
        <v>0.15109999999999998</v>
      </c>
      <c r="AN21" s="208">
        <v>1.0124</v>
      </c>
      <c r="AO21" s="209">
        <v>1242</v>
      </c>
      <c r="AP21" s="210"/>
      <c r="AQ21" s="207">
        <v>452</v>
      </c>
      <c r="AR21" s="102">
        <v>9.1856000000000007E-2</v>
      </c>
      <c r="AS21" s="108" t="s">
        <v>284</v>
      </c>
      <c r="AT21" s="208">
        <v>2.8985507246376807</v>
      </c>
      <c r="AU21" s="129">
        <v>0</v>
      </c>
      <c r="AV21" s="129">
        <v>0</v>
      </c>
      <c r="AW21" s="129">
        <v>0.23980000000000001</v>
      </c>
      <c r="AX21" s="123">
        <v>0.2059</v>
      </c>
      <c r="AY21" s="102"/>
      <c r="AZ21" s="102" t="s">
        <v>284</v>
      </c>
      <c r="BA21" s="102" t="s">
        <v>284</v>
      </c>
      <c r="BB21" s="102">
        <v>0.50264290799999989</v>
      </c>
      <c r="BC21" s="123">
        <v>0.26388895000000001</v>
      </c>
      <c r="BD21" s="102"/>
      <c r="BE21" s="207">
        <v>452</v>
      </c>
      <c r="BF21" s="102" t="s">
        <v>284</v>
      </c>
      <c r="BG21" s="102" t="s">
        <v>284</v>
      </c>
      <c r="BH21" s="129" t="s">
        <v>284</v>
      </c>
      <c r="BI21" s="102">
        <v>1.294994E-2</v>
      </c>
      <c r="BJ21" s="102">
        <v>1.77485E-2</v>
      </c>
      <c r="BK21" s="123">
        <v>3.0219799999999998E-2</v>
      </c>
    </row>
    <row r="22" spans="2:63" x14ac:dyDescent="0.25">
      <c r="B22" s="199" t="s">
        <v>346</v>
      </c>
      <c r="C22" s="114">
        <v>453</v>
      </c>
      <c r="D22" s="114" t="s">
        <v>349</v>
      </c>
      <c r="E22" s="200">
        <v>0</v>
      </c>
      <c r="F22" s="108">
        <v>0</v>
      </c>
      <c r="G22" s="200" t="s">
        <v>340</v>
      </c>
      <c r="H22" s="201" t="s">
        <v>290</v>
      </c>
      <c r="I22" s="202">
        <v>0.55000000000000004</v>
      </c>
      <c r="J22" s="203">
        <v>0.12</v>
      </c>
      <c r="K22" s="204">
        <v>1.9287180032326616</v>
      </c>
      <c r="L22" s="205">
        <v>1119.9148845915752</v>
      </c>
      <c r="M22" s="206"/>
      <c r="N22" s="207">
        <v>453</v>
      </c>
      <c r="O22" s="204">
        <v>0.12250999999999999</v>
      </c>
      <c r="P22" s="108">
        <v>1.5601</v>
      </c>
      <c r="Q22" s="108">
        <v>1.4470000000000001</v>
      </c>
      <c r="R22" s="108">
        <v>1.9692000000000001</v>
      </c>
      <c r="S22" s="204">
        <v>0.19600000000000001</v>
      </c>
      <c r="T22" s="204">
        <v>0.23335999999999996</v>
      </c>
      <c r="U22" s="208">
        <v>1.4486000000000001</v>
      </c>
      <c r="V22" s="108"/>
      <c r="W22" s="204">
        <v>0.12222</v>
      </c>
      <c r="X22" s="108">
        <v>1.6102000000000001</v>
      </c>
      <c r="Y22" s="108">
        <v>1.4986999999999999</v>
      </c>
      <c r="Z22" s="108">
        <v>1.8286</v>
      </c>
      <c r="AA22" s="108">
        <v>1.7765</v>
      </c>
      <c r="AB22" s="204">
        <v>0.191</v>
      </c>
      <c r="AC22" s="204">
        <v>0.23656000000000002</v>
      </c>
      <c r="AD22" s="208">
        <v>1.4931999999999999</v>
      </c>
      <c r="AE22" s="108"/>
      <c r="AF22" s="108"/>
      <c r="AG22" s="108"/>
      <c r="AH22" s="204">
        <v>0.11591</v>
      </c>
      <c r="AI22" s="108">
        <v>1.5809</v>
      </c>
      <c r="AJ22" s="108">
        <v>1.4708000000000001</v>
      </c>
      <c r="AK22" s="108">
        <v>1.8286</v>
      </c>
      <c r="AL22" s="204">
        <v>0.20100000000000001</v>
      </c>
      <c r="AM22" s="204">
        <v>0.21322000000000002</v>
      </c>
      <c r="AN22" s="208">
        <v>1.4574</v>
      </c>
      <c r="AO22" s="209">
        <v>1386</v>
      </c>
      <c r="AP22" s="210"/>
      <c r="AQ22" s="207">
        <v>453</v>
      </c>
      <c r="AR22" s="102">
        <v>0.18514050000000001</v>
      </c>
      <c r="AS22" s="108">
        <v>1.8037518037518039</v>
      </c>
      <c r="AT22" s="208">
        <v>0</v>
      </c>
      <c r="AU22" s="129">
        <v>3.1899999999999998E-2</v>
      </c>
      <c r="AV22" s="129">
        <v>8.5400000000000004E-2</v>
      </c>
      <c r="AW22" s="129">
        <v>3.5752000000000002</v>
      </c>
      <c r="AX22" s="123">
        <v>2.5777000000000001</v>
      </c>
      <c r="AY22" s="102"/>
      <c r="AZ22" s="102">
        <v>0.17220534240000002</v>
      </c>
      <c r="BA22" s="102" t="s">
        <v>284</v>
      </c>
      <c r="BB22" s="102">
        <v>1.219064658</v>
      </c>
      <c r="BC22" s="123">
        <v>0.74087325000000004</v>
      </c>
      <c r="BD22" s="102"/>
      <c r="BE22" s="207">
        <v>453</v>
      </c>
      <c r="BF22" s="102">
        <v>9.2869400000000005E-3</v>
      </c>
      <c r="BG22" s="102">
        <v>1.3599509999999999E-2</v>
      </c>
      <c r="BH22" s="129">
        <v>1.79805E-2</v>
      </c>
      <c r="BI22" s="102">
        <v>2.7352899999999999E-2</v>
      </c>
      <c r="BJ22" s="102">
        <v>3.46471E-2</v>
      </c>
      <c r="BK22" s="123">
        <v>5.5633700000000001E-2</v>
      </c>
    </row>
    <row r="23" spans="2:63" x14ac:dyDescent="0.25">
      <c r="B23" s="199" t="s">
        <v>346</v>
      </c>
      <c r="C23" s="114">
        <v>454</v>
      </c>
      <c r="D23" s="114" t="s">
        <v>350</v>
      </c>
      <c r="E23" s="200">
        <v>0</v>
      </c>
      <c r="F23" s="108">
        <v>0</v>
      </c>
      <c r="G23" s="200" t="s">
        <v>340</v>
      </c>
      <c r="H23" s="201" t="s">
        <v>293</v>
      </c>
      <c r="I23" s="202">
        <v>0.55000000000000004</v>
      </c>
      <c r="J23" s="203">
        <v>0.12</v>
      </c>
      <c r="K23" s="204">
        <v>1.3638095790823928</v>
      </c>
      <c r="L23" s="205">
        <v>1103.8597825859642</v>
      </c>
      <c r="M23" s="206"/>
      <c r="N23" s="207">
        <v>454</v>
      </c>
      <c r="O23" s="204">
        <v>0.11913</v>
      </c>
      <c r="P23" s="108">
        <v>1.1654</v>
      </c>
      <c r="Q23" s="108">
        <v>1.1088</v>
      </c>
      <c r="R23" s="108">
        <v>1.3473999999999999</v>
      </c>
      <c r="S23" s="204">
        <v>0.192</v>
      </c>
      <c r="T23" s="204">
        <v>0.2142</v>
      </c>
      <c r="U23" s="208">
        <v>1.1275999999999999</v>
      </c>
      <c r="V23" s="108"/>
      <c r="W23" s="204">
        <v>0.10975</v>
      </c>
      <c r="X23" s="108">
        <v>1.1944999999999999</v>
      </c>
      <c r="Y23" s="108">
        <v>1.139</v>
      </c>
      <c r="Z23" s="108">
        <v>1.3473999999999999</v>
      </c>
      <c r="AA23" s="108">
        <v>1.2924</v>
      </c>
      <c r="AB23" s="204">
        <v>0.186</v>
      </c>
      <c r="AC23" s="204">
        <v>0.20698</v>
      </c>
      <c r="AD23" s="208">
        <v>1.1459999999999997</v>
      </c>
      <c r="AE23" s="108"/>
      <c r="AF23" s="108"/>
      <c r="AG23" s="108"/>
      <c r="AH23" s="204">
        <v>0.11214</v>
      </c>
      <c r="AI23" s="108">
        <v>1.1879</v>
      </c>
      <c r="AJ23" s="108">
        <v>1.1352</v>
      </c>
      <c r="AK23" s="108">
        <v>1.28</v>
      </c>
      <c r="AL23" s="204">
        <v>0.19800000000000001</v>
      </c>
      <c r="AM23" s="204">
        <v>0.20326</v>
      </c>
      <c r="AN23" s="208">
        <v>1.1463999999999999</v>
      </c>
      <c r="AO23" s="209">
        <v>1253</v>
      </c>
      <c r="AP23" s="210"/>
      <c r="AQ23" s="207">
        <v>454</v>
      </c>
      <c r="AR23" s="102">
        <v>0.12985840000000001</v>
      </c>
      <c r="AS23" s="108" t="s">
        <v>284</v>
      </c>
      <c r="AT23" s="208">
        <v>48.284118116520354</v>
      </c>
      <c r="AU23" s="129">
        <v>0</v>
      </c>
      <c r="AV23" s="129">
        <v>0</v>
      </c>
      <c r="AW23" s="129">
        <v>1.0218</v>
      </c>
      <c r="AX23" s="123">
        <v>0.87280000000000002</v>
      </c>
      <c r="AY23" s="102"/>
      <c r="AZ23" s="129" t="s">
        <v>284</v>
      </c>
      <c r="BA23" s="129" t="s">
        <v>284</v>
      </c>
      <c r="BB23" s="129">
        <v>0.86257178700000003</v>
      </c>
      <c r="BC23" s="123">
        <v>0.54484137500000007</v>
      </c>
      <c r="BD23" s="102"/>
      <c r="BE23" s="207">
        <v>454</v>
      </c>
      <c r="BF23" s="102" t="s">
        <v>284</v>
      </c>
      <c r="BG23" s="102" t="s">
        <v>284</v>
      </c>
      <c r="BH23" s="129">
        <v>6.2906000000000004E-3</v>
      </c>
      <c r="BI23" s="102">
        <v>1.98266E-2</v>
      </c>
      <c r="BJ23" s="102">
        <v>2.5755800000000002E-2</v>
      </c>
      <c r="BK23" s="123">
        <v>4.2351699999999999E-2</v>
      </c>
    </row>
    <row r="24" spans="2:63" x14ac:dyDescent="0.25">
      <c r="B24" s="199" t="s">
        <v>346</v>
      </c>
      <c r="C24" s="114">
        <v>456</v>
      </c>
      <c r="D24" s="114" t="s">
        <v>351</v>
      </c>
      <c r="E24" s="200">
        <v>0</v>
      </c>
      <c r="F24" s="108">
        <v>0</v>
      </c>
      <c r="G24" s="200" t="s">
        <v>340</v>
      </c>
      <c r="H24" s="201" t="s">
        <v>296</v>
      </c>
      <c r="I24" s="202">
        <v>0.55000000000000004</v>
      </c>
      <c r="J24" s="203">
        <v>0.15</v>
      </c>
      <c r="K24" s="204">
        <v>2.1563722823279452</v>
      </c>
      <c r="L24" s="205">
        <v>1092.7443538737139</v>
      </c>
      <c r="M24" s="206"/>
      <c r="N24" s="207">
        <v>456</v>
      </c>
      <c r="O24" s="204">
        <v>0.15223999999999999</v>
      </c>
      <c r="P24" s="108">
        <v>1.7229000000000001</v>
      </c>
      <c r="Q24" s="108">
        <v>1.5880000000000001</v>
      </c>
      <c r="R24" s="108">
        <v>2.1333000000000002</v>
      </c>
      <c r="S24" s="204">
        <v>0.191</v>
      </c>
      <c r="T24" s="204">
        <v>0.29853999999999997</v>
      </c>
      <c r="U24" s="208">
        <v>1.6161999999999999</v>
      </c>
      <c r="V24" s="108"/>
      <c r="W24" s="204">
        <v>0.15658</v>
      </c>
      <c r="X24" s="108">
        <v>1.756</v>
      </c>
      <c r="Y24" s="108">
        <v>1.6295999999999999</v>
      </c>
      <c r="Z24" s="108">
        <v>2.1333000000000002</v>
      </c>
      <c r="AA24" s="108">
        <v>1.9499</v>
      </c>
      <c r="AB24" s="204">
        <v>0.192</v>
      </c>
      <c r="AC24" s="204">
        <v>0.32263999999999998</v>
      </c>
      <c r="AD24" s="208">
        <v>1.6978000000000002</v>
      </c>
      <c r="AE24" s="108"/>
      <c r="AF24" s="108"/>
      <c r="AG24" s="108"/>
      <c r="AH24" s="204">
        <v>0.14384</v>
      </c>
      <c r="AI24" s="108">
        <v>1.7048000000000001</v>
      </c>
      <c r="AJ24" s="108">
        <v>1.5734999999999999</v>
      </c>
      <c r="AK24" s="108">
        <v>2.1333000000000002</v>
      </c>
      <c r="AL24" s="204">
        <v>0.20100000000000001</v>
      </c>
      <c r="AM24" s="204">
        <v>0.29656000000000005</v>
      </c>
      <c r="AN24" s="208">
        <v>1.5967999999999998</v>
      </c>
      <c r="AO24" s="209">
        <v>1362</v>
      </c>
      <c r="AP24" s="210"/>
      <c r="AQ24" s="207">
        <v>456</v>
      </c>
      <c r="AR24" s="102">
        <v>0.25849300000000003</v>
      </c>
      <c r="AS24" s="108">
        <v>47.723935389133629</v>
      </c>
      <c r="AT24" s="208">
        <v>0</v>
      </c>
      <c r="AU24" s="129">
        <v>0.23849999999999999</v>
      </c>
      <c r="AV24" s="129">
        <v>0.85899999999999999</v>
      </c>
      <c r="AW24" s="129">
        <v>7.2736999999999998</v>
      </c>
      <c r="AX24" s="123">
        <v>5.5397999999999996</v>
      </c>
      <c r="AY24" s="102"/>
      <c r="AZ24" s="102">
        <v>0.52982588399999997</v>
      </c>
      <c r="BA24" s="102">
        <v>0.36884212199999999</v>
      </c>
      <c r="BB24" s="102">
        <v>1.6133841279999999</v>
      </c>
      <c r="BC24" s="123">
        <v>0.97103174999999997</v>
      </c>
      <c r="BD24" s="102"/>
      <c r="BE24" s="207">
        <v>456</v>
      </c>
      <c r="BF24" s="102">
        <v>2.2971900000000003E-2</v>
      </c>
      <c r="BG24" s="102">
        <v>3.2686199999999999E-2</v>
      </c>
      <c r="BH24" s="129">
        <v>3.4600699999999998E-2</v>
      </c>
      <c r="BI24" s="102">
        <v>3.8156299999999997E-2</v>
      </c>
      <c r="BJ24" s="102">
        <v>5.0847400000000001E-2</v>
      </c>
      <c r="BK24" s="123">
        <v>7.0849799999999991E-2</v>
      </c>
    </row>
    <row r="25" spans="2:63" x14ac:dyDescent="0.25">
      <c r="B25" s="212" t="s">
        <v>346</v>
      </c>
      <c r="C25" s="213">
        <v>457</v>
      </c>
      <c r="D25" s="213" t="s">
        <v>352</v>
      </c>
      <c r="E25" s="214">
        <v>0</v>
      </c>
      <c r="F25" s="107">
        <v>0</v>
      </c>
      <c r="G25" s="214" t="s">
        <v>340</v>
      </c>
      <c r="H25" s="215" t="s">
        <v>299</v>
      </c>
      <c r="I25" s="216">
        <v>0.55000000000000004</v>
      </c>
      <c r="J25" s="217">
        <v>0.15</v>
      </c>
      <c r="K25" s="218">
        <v>1.5247854635968026</v>
      </c>
      <c r="L25" s="219">
        <v>1116.1033617173778</v>
      </c>
      <c r="M25" s="206"/>
      <c r="N25" s="220">
        <v>457</v>
      </c>
      <c r="O25" s="218">
        <v>0.14674999999999999</v>
      </c>
      <c r="P25" s="107">
        <v>1.298</v>
      </c>
      <c r="Q25" s="107">
        <v>1.2282</v>
      </c>
      <c r="R25" s="107">
        <v>1.5059</v>
      </c>
      <c r="S25" s="218">
        <v>0.19700000000000001</v>
      </c>
      <c r="T25" s="218">
        <v>0.27145999999999998</v>
      </c>
      <c r="U25" s="221">
        <v>1.2572000000000001</v>
      </c>
      <c r="V25" s="107"/>
      <c r="W25" s="218">
        <v>0.14066999999999999</v>
      </c>
      <c r="X25" s="107">
        <v>1.3471</v>
      </c>
      <c r="Y25" s="107">
        <v>1.2827999999999999</v>
      </c>
      <c r="Z25" s="107">
        <v>1.5059</v>
      </c>
      <c r="AA25" s="107">
        <v>1.4588000000000001</v>
      </c>
      <c r="AB25" s="218">
        <v>0.188</v>
      </c>
      <c r="AC25" s="218">
        <v>0.26715999999999995</v>
      </c>
      <c r="AD25" s="221">
        <v>1.3009999999999999</v>
      </c>
      <c r="AE25" s="107"/>
      <c r="AF25" s="107"/>
      <c r="AG25" s="107"/>
      <c r="AH25" s="218">
        <v>0.13879</v>
      </c>
      <c r="AI25" s="107">
        <v>1.3263</v>
      </c>
      <c r="AJ25" s="107">
        <v>1.2604</v>
      </c>
      <c r="AK25" s="107">
        <v>1.5059</v>
      </c>
      <c r="AL25" s="218">
        <v>0.20499999999999999</v>
      </c>
      <c r="AM25" s="218">
        <v>0.25337999999999999</v>
      </c>
      <c r="AN25" s="221">
        <v>1.2786</v>
      </c>
      <c r="AO25" s="222">
        <v>1261</v>
      </c>
      <c r="AP25" s="210"/>
      <c r="AQ25" s="220">
        <v>457</v>
      </c>
      <c r="AR25" s="104">
        <v>0.17774489999999998</v>
      </c>
      <c r="AS25" s="107">
        <v>0.63441712926249005</v>
      </c>
      <c r="AT25" s="221">
        <v>128.86597938144331</v>
      </c>
      <c r="AU25" s="104">
        <v>2.4199999999999999E-2</v>
      </c>
      <c r="AV25" s="104">
        <v>2.5499999999999998E-2</v>
      </c>
      <c r="AW25" s="104">
        <v>2.9074</v>
      </c>
      <c r="AX25" s="223">
        <v>2.5375999999999999</v>
      </c>
      <c r="AY25" s="104"/>
      <c r="AZ25" s="104" t="s">
        <v>284</v>
      </c>
      <c r="BA25" s="104" t="s">
        <v>284</v>
      </c>
      <c r="BB25" s="104">
        <v>1.127362674</v>
      </c>
      <c r="BC25" s="223">
        <v>0.73293674999999991</v>
      </c>
      <c r="BD25" s="129"/>
      <c r="BE25" s="220">
        <v>457</v>
      </c>
      <c r="BF25" s="104">
        <v>4.42735E-3</v>
      </c>
      <c r="BG25" s="104">
        <v>1.118193E-2</v>
      </c>
      <c r="BH25" s="104">
        <v>1.45495E-2</v>
      </c>
      <c r="BI25" s="104">
        <v>2.5218600000000001E-2</v>
      </c>
      <c r="BJ25" s="104">
        <v>3.6290599999999999E-2</v>
      </c>
      <c r="BK25" s="223">
        <v>5.7545800000000001E-2</v>
      </c>
    </row>
    <row r="27" spans="2:63" x14ac:dyDescent="0.25">
      <c r="AY27" t="s">
        <v>317</v>
      </c>
      <c r="BB27" t="s">
        <v>213</v>
      </c>
      <c r="BC27" t="s">
        <v>207</v>
      </c>
      <c r="BE27" t="s">
        <v>110</v>
      </c>
      <c r="BI27" t="s">
        <v>213</v>
      </c>
      <c r="BJ27" t="s">
        <v>207</v>
      </c>
    </row>
    <row r="28" spans="2:63" x14ac:dyDescent="0.25">
      <c r="BB28" s="139">
        <v>1</v>
      </c>
      <c r="BC28" s="139">
        <v>2</v>
      </c>
      <c r="BD28" s="225"/>
      <c r="BE28" s="225"/>
      <c r="BF28" s="225"/>
      <c r="BG28" s="225"/>
      <c r="BH28" s="225"/>
      <c r="BI28" s="139">
        <v>3</v>
      </c>
      <c r="BJ28" s="139">
        <v>4</v>
      </c>
    </row>
    <row r="29" spans="2:63" x14ac:dyDescent="0.25">
      <c r="AZ29" t="s">
        <v>302</v>
      </c>
      <c r="BA29" s="9">
        <f>X3</f>
        <v>9.9999999999999978E-2</v>
      </c>
      <c r="BB29" t="e">
        <f t="shared" ref="BB29:BB34" si="0">BB11/SQRT(9.81*W11)</f>
        <v>#VALUE!</v>
      </c>
      <c r="BC29" t="e">
        <f t="shared" ref="BC29:BC34" si="1">BC11/SQRT(9.81*W11)</f>
        <v>#VALUE!</v>
      </c>
      <c r="BI29" s="8">
        <f t="shared" ref="BI29:BI34" si="2">BI11/W11</f>
        <v>5.5709113001215074E-2</v>
      </c>
      <c r="BJ29" s="8">
        <f t="shared" ref="BJ29:BJ34" si="3">BJ11/W11</f>
        <v>0.1207648845686513</v>
      </c>
    </row>
    <row r="30" spans="2:63" x14ac:dyDescent="0.25">
      <c r="BB30" t="e">
        <f t="shared" si="0"/>
        <v>#VALUE!</v>
      </c>
      <c r="BC30" t="e">
        <f t="shared" si="1"/>
        <v>#VALUE!</v>
      </c>
      <c r="BI30" t="e">
        <f t="shared" si="2"/>
        <v>#VALUE!</v>
      </c>
      <c r="BJ30" t="e">
        <f t="shared" si="3"/>
        <v>#VALUE!</v>
      </c>
    </row>
    <row r="31" spans="2:63" x14ac:dyDescent="0.25">
      <c r="BB31" s="8">
        <f t="shared" si="0"/>
        <v>0.55625910212709373</v>
      </c>
      <c r="BC31" s="8">
        <f t="shared" si="1"/>
        <v>0.23895492809059701</v>
      </c>
      <c r="BI31" s="8">
        <f t="shared" si="2"/>
        <v>0.11053725194674703</v>
      </c>
      <c r="BJ31" s="8">
        <f t="shared" si="3"/>
        <v>0.20051243406179353</v>
      </c>
    </row>
    <row r="32" spans="2:63" x14ac:dyDescent="0.25">
      <c r="BB32" s="8">
        <f t="shared" si="0"/>
        <v>0.13602910050090164</v>
      </c>
      <c r="BC32" s="8">
        <f t="shared" si="1"/>
        <v>1.2471809417150002E-2</v>
      </c>
      <c r="BI32" s="8">
        <f t="shared" si="2"/>
        <v>5.8158334389510437E-2</v>
      </c>
      <c r="BJ32" s="8">
        <f t="shared" si="3"/>
        <v>0.11448779251304858</v>
      </c>
    </row>
    <row r="33" spans="1:69" x14ac:dyDescent="0.25">
      <c r="BB33" s="8">
        <f t="shared" si="0"/>
        <v>1.1213898663465687</v>
      </c>
      <c r="BC33" s="8">
        <f t="shared" si="1"/>
        <v>0.65040963229055493</v>
      </c>
      <c r="BI33" s="8">
        <f t="shared" si="2"/>
        <v>0.16622008324661808</v>
      </c>
      <c r="BJ33" s="8">
        <f t="shared" si="3"/>
        <v>0.26578368886576481</v>
      </c>
    </row>
    <row r="34" spans="1:69" x14ac:dyDescent="0.25">
      <c r="BB34" s="8">
        <f t="shared" si="0"/>
        <v>0.59766076306797433</v>
      </c>
      <c r="BC34" s="8">
        <f t="shared" si="1"/>
        <v>0.32740913827569845</v>
      </c>
      <c r="BI34" t="e">
        <f t="shared" si="2"/>
        <v>#VALUE!</v>
      </c>
      <c r="BJ34" t="e">
        <f t="shared" si="3"/>
        <v>#VALUE!</v>
      </c>
    </row>
    <row r="37" spans="1:69" x14ac:dyDescent="0.25">
      <c r="BB37">
        <v>1</v>
      </c>
      <c r="BC37">
        <v>2</v>
      </c>
      <c r="BI37">
        <v>3</v>
      </c>
      <c r="BJ37">
        <v>4</v>
      </c>
    </row>
    <row r="38" spans="1:69" x14ac:dyDescent="0.25">
      <c r="AZ38" t="s">
        <v>302</v>
      </c>
      <c r="BA38" s="9">
        <f>X18</f>
        <v>4.9999999999999933E-2</v>
      </c>
      <c r="BB38" s="8">
        <f t="shared" ref="BB38" si="4">BB20/SQRT(9.81*W20)</f>
        <v>0.89065336744894974</v>
      </c>
      <c r="BC38" s="8">
        <f t="shared" ref="BC38:BC43" si="5">BC20/SQRT(9.81*W20)</f>
        <v>0.53794190399029496</v>
      </c>
      <c r="BD38" s="8"/>
      <c r="BE38" s="8"/>
      <c r="BF38" s="8"/>
      <c r="BG38" s="8"/>
      <c r="BH38" s="8"/>
      <c r="BI38" s="8">
        <f t="shared" ref="BI38:BI43" si="6">BI20/W20</f>
        <v>0.20645917262774946</v>
      </c>
      <c r="BJ38" s="8">
        <f t="shared" ref="BJ38:BJ43" si="7">BJ20/W20</f>
        <v>0.34936780903703873</v>
      </c>
    </row>
    <row r="39" spans="1:69" x14ac:dyDescent="0.25">
      <c r="BB39" s="8">
        <f>BB21/SQRT(9.81*W21)</f>
        <v>0.56653518792094271</v>
      </c>
      <c r="BC39" s="8">
        <f t="shared" si="5"/>
        <v>0.29743257787795208</v>
      </c>
      <c r="BD39" s="8"/>
      <c r="BE39" s="8"/>
      <c r="BF39" s="8"/>
      <c r="BG39" s="8"/>
      <c r="BH39" s="8"/>
      <c r="BI39" s="8">
        <f t="shared" si="6"/>
        <v>0.16138806844381301</v>
      </c>
      <c r="BJ39" s="8">
        <f t="shared" si="7"/>
        <v>0.22118991537991797</v>
      </c>
    </row>
    <row r="40" spans="1:69" x14ac:dyDescent="0.25">
      <c r="BB40" s="8">
        <f>BB22/SQRT(9.81*W22)</f>
        <v>1.1133227851941281</v>
      </c>
      <c r="BC40" s="8">
        <f t="shared" si="5"/>
        <v>0.6766097800907831</v>
      </c>
      <c r="BD40" s="8"/>
      <c r="BE40" s="8"/>
      <c r="BF40" s="8"/>
      <c r="BG40" s="8"/>
      <c r="BH40" s="8"/>
      <c r="BI40" s="8">
        <f t="shared" si="6"/>
        <v>0.22380052364588449</v>
      </c>
      <c r="BJ40" s="8">
        <f t="shared" si="7"/>
        <v>0.2834814269350352</v>
      </c>
    </row>
    <row r="41" spans="1:69" x14ac:dyDescent="0.25">
      <c r="BB41" s="8">
        <f>BB23/SQRT(9.81*W23)</f>
        <v>0.83130134083318186</v>
      </c>
      <c r="BC41" s="8">
        <f t="shared" si="5"/>
        <v>0.52508947360098912</v>
      </c>
      <c r="BD41" s="8"/>
      <c r="BE41" s="8"/>
      <c r="BF41" s="8"/>
      <c r="BG41" s="8"/>
      <c r="BH41" s="8"/>
      <c r="BI41" s="8">
        <f t="shared" si="6"/>
        <v>0.18065239179954443</v>
      </c>
      <c r="BJ41" s="8">
        <f t="shared" si="7"/>
        <v>0.23467699316628704</v>
      </c>
    </row>
    <row r="42" spans="1:69" x14ac:dyDescent="0.25">
      <c r="BB42" s="8">
        <f>BB24/SQRT(9.81*W24)</f>
        <v>1.3017726177955367</v>
      </c>
      <c r="BC42" s="8">
        <f t="shared" si="5"/>
        <v>0.78348517332140333</v>
      </c>
      <c r="BD42" s="8"/>
      <c r="BE42" s="8"/>
      <c r="BF42" s="8"/>
      <c r="BG42" s="8"/>
      <c r="BH42" s="8"/>
      <c r="BI42" s="8">
        <f t="shared" si="6"/>
        <v>0.24368565589475027</v>
      </c>
      <c r="BJ42" s="8">
        <f t="shared" si="7"/>
        <v>0.32473751436965131</v>
      </c>
    </row>
    <row r="43" spans="1:69" x14ac:dyDescent="0.25">
      <c r="BB43" s="8">
        <f>BB25/SQRT(9.81*W25)</f>
        <v>0.95968433135289255</v>
      </c>
      <c r="BC43" s="8">
        <f t="shared" si="5"/>
        <v>0.62392336651702207</v>
      </c>
      <c r="BD43" s="8"/>
      <c r="BE43" s="8"/>
      <c r="BF43" s="8"/>
      <c r="BG43" s="8"/>
      <c r="BH43" s="8"/>
      <c r="BI43" s="8">
        <f t="shared" si="6"/>
        <v>0.17927489869908297</v>
      </c>
      <c r="BJ43" s="8">
        <f t="shared" si="7"/>
        <v>0.25798393402999931</v>
      </c>
    </row>
    <row r="45" spans="1:69" s="7" customFormat="1" x14ac:dyDescent="0.25">
      <c r="A45" s="7" t="s">
        <v>318</v>
      </c>
      <c r="C45" s="132"/>
      <c r="D45" s="132"/>
      <c r="E45" s="132"/>
      <c r="F45" s="132"/>
      <c r="G45" s="132"/>
      <c r="H45" s="132"/>
      <c r="I45" s="132"/>
      <c r="J45" s="132"/>
      <c r="K45" s="132"/>
      <c r="L45" s="132"/>
      <c r="M45" s="132"/>
      <c r="N45" s="132"/>
      <c r="O45" s="132"/>
      <c r="P45" s="132"/>
      <c r="Q45" s="132"/>
      <c r="R45" s="132"/>
      <c r="S45" s="132"/>
      <c r="T45" s="132"/>
      <c r="U45" s="132"/>
      <c r="V45" s="132"/>
      <c r="W45" s="132"/>
      <c r="X45" s="132"/>
      <c r="Y45" s="132"/>
      <c r="AZ45" s="7" t="s">
        <v>314</v>
      </c>
      <c r="BB45" s="7" t="s">
        <v>315</v>
      </c>
      <c r="BF45" s="7" t="s">
        <v>314</v>
      </c>
      <c r="BI45" s="7" t="s">
        <v>315</v>
      </c>
    </row>
    <row r="46" spans="1:69" x14ac:dyDescent="0.25">
      <c r="W46" t="s">
        <v>303</v>
      </c>
      <c r="X46" s="8" t="s">
        <v>185</v>
      </c>
      <c r="Y46" t="s">
        <v>304</v>
      </c>
      <c r="Z46" s="8" t="s">
        <v>206</v>
      </c>
      <c r="AA46" t="s">
        <v>27</v>
      </c>
      <c r="AB46" s="8" t="s">
        <v>7</v>
      </c>
      <c r="AC46" t="s">
        <v>12</v>
      </c>
      <c r="AD46" s="8" t="s">
        <v>38</v>
      </c>
      <c r="AE46" s="8" t="s">
        <v>306</v>
      </c>
      <c r="AG46" s="8"/>
      <c r="BM46" t="s">
        <v>170</v>
      </c>
      <c r="BO46" t="s">
        <v>219</v>
      </c>
    </row>
    <row r="47" spans="1:69" x14ac:dyDescent="0.25">
      <c r="W47" s="8" t="s">
        <v>276</v>
      </c>
      <c r="X47" s="8"/>
      <c r="Z47" t="s">
        <v>275</v>
      </c>
      <c r="AB47" t="s">
        <v>276</v>
      </c>
      <c r="AC47" t="s">
        <v>305</v>
      </c>
      <c r="AE47" t="s">
        <v>307</v>
      </c>
      <c r="BM47" t="s">
        <v>217</v>
      </c>
      <c r="BN47">
        <v>1.1000000000000001</v>
      </c>
      <c r="BO47" t="s">
        <v>220</v>
      </c>
      <c r="BP47" t="s">
        <v>221</v>
      </c>
      <c r="BQ47">
        <v>0.18</v>
      </c>
    </row>
    <row r="48" spans="1:69" x14ac:dyDescent="0.25">
      <c r="W48" s="8"/>
      <c r="X48" s="8"/>
      <c r="BM48" t="s">
        <v>218</v>
      </c>
      <c r="BN48">
        <v>0.88</v>
      </c>
      <c r="BO48" t="s">
        <v>214</v>
      </c>
      <c r="BP48" t="s">
        <v>221</v>
      </c>
      <c r="BQ48">
        <v>1.49</v>
      </c>
    </row>
    <row r="49" spans="23:66" x14ac:dyDescent="0.25">
      <c r="W49" t="s">
        <v>302</v>
      </c>
      <c r="X49" s="9">
        <f>X3</f>
        <v>9.9999999999999978E-2</v>
      </c>
      <c r="AY49" t="s">
        <v>64</v>
      </c>
      <c r="BB49" t="s">
        <v>213</v>
      </c>
      <c r="BC49" t="s">
        <v>207</v>
      </c>
      <c r="BE49" t="s">
        <v>63</v>
      </c>
      <c r="BI49" t="s">
        <v>213</v>
      </c>
      <c r="BJ49" t="s">
        <v>207</v>
      </c>
    </row>
    <row r="50" spans="23:66" x14ac:dyDescent="0.25">
      <c r="X50" s="9"/>
      <c r="BB50">
        <v>1</v>
      </c>
      <c r="BC50">
        <v>2</v>
      </c>
      <c r="BI50">
        <v>3</v>
      </c>
      <c r="BJ50">
        <v>4</v>
      </c>
    </row>
    <row r="51" spans="23:66" x14ac:dyDescent="0.25">
      <c r="W51">
        <f t="shared" ref="W51:W56" si="8">9.81*(AA11^2)/2/PI()</f>
        <v>2.9458437198167715</v>
      </c>
      <c r="X51">
        <f t="shared" ref="X51:X56" si="9">W11/W51</f>
        <v>2.2350133361485714E-2</v>
      </c>
      <c r="Y51">
        <f>$C$3/SQRT(X51)</f>
        <v>1.1148301107511276</v>
      </c>
      <c r="Z51">
        <f t="shared" ref="Z51:Z56" si="10">1.65*Y51*W11</f>
        <v>0.12111068391155948</v>
      </c>
      <c r="AA51">
        <f>EXP(-((SQRT(-LN(0.02))*$X$3/Z51)^2))</f>
        <v>6.9454547871014474E-2</v>
      </c>
      <c r="AB51">
        <f t="shared" ref="AB51:AB56" si="11">Z11/1.15</f>
        <v>1.3094782608695654</v>
      </c>
      <c r="AC51">
        <f t="shared" ref="AC51:AC56" si="12">0.067*SQRT(9.81*(W11^3)/$C$3)*Y51*EXP(-4.75*$X$3/W11/Y51)</f>
        <v>1.4978054706163788E-5</v>
      </c>
      <c r="AD51">
        <f>0.84*AB51*AC51/AA51</f>
        <v>2.372096228166271E-4</v>
      </c>
      <c r="AE51">
        <f>AD51*(-LN(0.02/AA51))^(4/3)</f>
        <v>3.1768520781555096E-4</v>
      </c>
      <c r="AZ51" t="s">
        <v>302</v>
      </c>
      <c r="BA51" s="9">
        <f>X3</f>
        <v>9.9999999999999978E-2</v>
      </c>
      <c r="BB51">
        <f t="shared" ref="BB51:BB56" si="13">EXP($BN$52*$C$4/W51)*(1-$G$4)*BC51</f>
        <v>0.27087874424485786</v>
      </c>
      <c r="BC51">
        <f t="shared" ref="BC51:BC56" si="14">$BN$48*COS(ATAN($C$3))*SQRT(9.81*AE51/SIN(ATAN($C$3))/W11)</f>
        <v>0.46577007339706233</v>
      </c>
      <c r="BI51">
        <f t="shared" ref="BI51:BI56" si="15">EXP($BN$51*$C$4/W51)*(1+$G$3)*BJ51</f>
        <v>2.3829164027388793E-3</v>
      </c>
      <c r="BJ51">
        <f t="shared" ref="BJ51:BJ56" si="16">$BN$47*AE51*SIN(ATAN($C$3))/(Z51-$X$49)</f>
        <v>2.7213632363652517E-3</v>
      </c>
      <c r="BM51" t="s">
        <v>223</v>
      </c>
      <c r="BN51">
        <v>-2.2400000000000002</v>
      </c>
    </row>
    <row r="52" spans="23:66" x14ac:dyDescent="0.25">
      <c r="W52">
        <f t="shared" si="8"/>
        <v>1.5105189539380766</v>
      </c>
      <c r="X52">
        <f t="shared" si="9"/>
        <v>4.0637027320953686E-2</v>
      </c>
      <c r="Y52">
        <f t="shared" ref="Y52:Y56" si="17">$C$3/SQRT(X52)</f>
        <v>0.82677585320811753</v>
      </c>
      <c r="Z52">
        <f t="shared" si="10"/>
        <v>8.3737470625831895E-2</v>
      </c>
      <c r="AA52">
        <f t="shared" ref="AA52:AA56" si="18">EXP(-((SQRT(-LN(0.02))*$X$3/Z52)^2))</f>
        <v>3.7760798724656209E-3</v>
      </c>
      <c r="AB52">
        <f t="shared" si="11"/>
        <v>0.89043478260869569</v>
      </c>
      <c r="AC52">
        <f t="shared" si="12"/>
        <v>5.5669619751791107E-7</v>
      </c>
      <c r="AD52">
        <f t="shared" ref="AD52:AD56" si="19">0.84*AB52*AC52/AA52</f>
        <v>1.1027028200161248E-4</v>
      </c>
      <c r="AE52" t="e">
        <f t="shared" ref="AE52:AE56" si="20">AD52*(-LN(0.02/AA52))^(4/3)</f>
        <v>#NUM!</v>
      </c>
      <c r="BB52" t="e">
        <f t="shared" si="13"/>
        <v>#NUM!</v>
      </c>
      <c r="BC52" t="e">
        <f t="shared" si="14"/>
        <v>#NUM!</v>
      </c>
      <c r="BI52" t="e">
        <f t="shared" si="15"/>
        <v>#NUM!</v>
      </c>
      <c r="BJ52" t="e">
        <f t="shared" si="16"/>
        <v>#NUM!</v>
      </c>
      <c r="BM52" t="s">
        <v>224</v>
      </c>
      <c r="BN52">
        <v>-1.82</v>
      </c>
    </row>
    <row r="53" spans="23:66" x14ac:dyDescent="0.25">
      <c r="W53">
        <f t="shared" si="8"/>
        <v>4.2049344493962817</v>
      </c>
      <c r="X53">
        <f t="shared" si="9"/>
        <v>2.3668621044565671E-2</v>
      </c>
      <c r="Y53">
        <f t="shared" si="17"/>
        <v>1.0833337454699146</v>
      </c>
      <c r="Z53">
        <f t="shared" si="10"/>
        <v>0.17790100517952387</v>
      </c>
      <c r="AA53">
        <f t="shared" si="18"/>
        <v>0.29052247035168932</v>
      </c>
      <c r="AB53">
        <f t="shared" si="11"/>
        <v>1.4840869565217394</v>
      </c>
      <c r="AC53">
        <f t="shared" si="12"/>
        <v>2.1347339493763261E-4</v>
      </c>
      <c r="AD53">
        <f t="shared" si="19"/>
        <v>9.1601516299439766E-4</v>
      </c>
      <c r="AE53">
        <f t="shared" si="20"/>
        <v>3.4030868264698709E-3</v>
      </c>
      <c r="BB53">
        <f t="shared" si="13"/>
        <v>0.76224472505246332</v>
      </c>
      <c r="BC53">
        <f t="shared" si="14"/>
        <v>1.2399050161961698</v>
      </c>
      <c r="BI53">
        <f t="shared" si="15"/>
        <v>7.4064296481073707E-3</v>
      </c>
      <c r="BJ53">
        <f t="shared" si="16"/>
        <v>7.8999035938498129E-3</v>
      </c>
    </row>
    <row r="54" spans="23:66" x14ac:dyDescent="0.25">
      <c r="W54">
        <f t="shared" si="8"/>
        <v>2.1953917661218738</v>
      </c>
      <c r="X54">
        <f t="shared" si="9"/>
        <v>3.9533262964411578E-2</v>
      </c>
      <c r="Y54">
        <f t="shared" si="17"/>
        <v>0.83823814299288146</v>
      </c>
      <c r="Z54">
        <f t="shared" si="10"/>
        <v>0.12004001900301703</v>
      </c>
      <c r="AA54">
        <f t="shared" si="18"/>
        <v>6.6213456487234451E-2</v>
      </c>
      <c r="AB54">
        <f t="shared" si="11"/>
        <v>1.06</v>
      </c>
      <c r="AC54">
        <f t="shared" si="12"/>
        <v>1.608881964165506E-5</v>
      </c>
      <c r="AD54">
        <f t="shared" si="19"/>
        <v>2.163530763824651E-4</v>
      </c>
      <c r="AE54">
        <f t="shared" si="20"/>
        <v>2.7501847154627E-4</v>
      </c>
      <c r="BB54">
        <f t="shared" si="13"/>
        <v>0.20603897615761507</v>
      </c>
      <c r="BC54">
        <f t="shared" si="14"/>
        <v>0.37745186980093215</v>
      </c>
      <c r="BI54">
        <f t="shared" si="15"/>
        <v>2.0100764056590189E-3</v>
      </c>
      <c r="BJ54">
        <f t="shared" si="16"/>
        <v>2.4817358719187782E-3</v>
      </c>
    </row>
    <row r="55" spans="23:66" x14ac:dyDescent="0.25">
      <c r="W55">
        <f t="shared" si="8"/>
        <v>5.9600424029527446</v>
      </c>
      <c r="X55">
        <f t="shared" si="9"/>
        <v>2.5798474172570265E-2</v>
      </c>
      <c r="Y55">
        <f t="shared" si="17"/>
        <v>1.0376520280755817</v>
      </c>
      <c r="Z55">
        <f t="shared" si="10"/>
        <v>0.26325647013088738</v>
      </c>
      <c r="AA55">
        <f t="shared" si="18"/>
        <v>0.56865966350168862</v>
      </c>
      <c r="AB55">
        <f t="shared" si="11"/>
        <v>1.8550434782608698</v>
      </c>
      <c r="AC55">
        <f t="shared" si="12"/>
        <v>1.63813054511092E-3</v>
      </c>
      <c r="AD55">
        <f t="shared" si="19"/>
        <v>4.4887918145097797E-3</v>
      </c>
      <c r="AE55">
        <f t="shared" si="20"/>
        <v>2.2478407215276674E-2</v>
      </c>
      <c r="BB55">
        <f t="shared" si="13"/>
        <v>1.6375379074715961</v>
      </c>
      <c r="BC55">
        <f t="shared" si="14"/>
        <v>2.5637700944473427</v>
      </c>
      <c r="BI55">
        <f t="shared" si="15"/>
        <v>2.4468793600054772E-2</v>
      </c>
      <c r="BJ55">
        <f t="shared" si="16"/>
        <v>2.4899289549828008E-2</v>
      </c>
    </row>
    <row r="56" spans="23:66" x14ac:dyDescent="0.25">
      <c r="W56">
        <f t="shared" si="8"/>
        <v>3.3839408708994632</v>
      </c>
      <c r="X56">
        <f t="shared" si="9"/>
        <v>4.0358270197463353E-2</v>
      </c>
      <c r="Y56">
        <f t="shared" si="17"/>
        <v>0.82962623627518206</v>
      </c>
      <c r="Z56">
        <f t="shared" si="10"/>
        <v>0.18694839089536766</v>
      </c>
      <c r="AA56">
        <f t="shared" si="18"/>
        <v>0.32649864916587584</v>
      </c>
      <c r="AB56">
        <f t="shared" si="11"/>
        <v>1.3094782608695654</v>
      </c>
      <c r="AC56">
        <f t="shared" si="12"/>
        <v>3.252318523269094E-4</v>
      </c>
      <c r="AD56">
        <f t="shared" si="19"/>
        <v>1.0956939479537353E-3</v>
      </c>
      <c r="AE56">
        <f t="shared" si="20"/>
        <v>4.3091039378018968E-3</v>
      </c>
      <c r="BB56">
        <f t="shared" si="13"/>
        <v>0.70950964616925949</v>
      </c>
      <c r="BC56">
        <f t="shared" si="14"/>
        <v>1.191060508918482</v>
      </c>
      <c r="BI56">
        <f t="shared" si="15"/>
        <v>8.0828691068196828E-3</v>
      </c>
      <c r="BJ56">
        <f t="shared" si="16"/>
        <v>8.9622539060293417E-3</v>
      </c>
    </row>
    <row r="59" spans="23:66" x14ac:dyDescent="0.25">
      <c r="W59" t="str">
        <f>W18</f>
        <v>freeboard</v>
      </c>
      <c r="X59" s="9">
        <f>X18</f>
        <v>4.9999999999999933E-2</v>
      </c>
    </row>
    <row r="60" spans="23:66" x14ac:dyDescent="0.25">
      <c r="W60">
        <f t="shared" ref="W60:W65" si="21">9.81*(AA20^2)/2/PI()</f>
        <v>3.7375073250770181</v>
      </c>
      <c r="X60">
        <f t="shared" ref="X60:X65" si="22">W20/W60</f>
        <v>2.3975605184440259E-2</v>
      </c>
      <c r="Y60">
        <f t="shared" ref="Y60:Y65" si="23">$C$3/SQRT(X60)</f>
        <v>1.0763758878452188</v>
      </c>
      <c r="Z60">
        <f t="shared" ref="Z60:Z65" si="24">1.65*Y60*W20</f>
        <v>0.15914739544097162</v>
      </c>
      <c r="AA60">
        <f>EXP(-((SQRT(-LN(0.02))*$X$18/Z60)^2))</f>
        <v>0.6796768477267624</v>
      </c>
      <c r="AB60">
        <f t="shared" ref="AB60:AB65" si="25">Z20/1.15</f>
        <v>1.4840869565217394</v>
      </c>
      <c r="AC60">
        <f t="shared" ref="AC60:AC65" si="26">0.067*SQRT(9.81*(W20^3)/$C$3)*Y60*EXP(-4.75*$X$18/W20/Y60)</f>
        <v>1.2650149480313855E-3</v>
      </c>
      <c r="AD60">
        <f>0.84*AB60*AC60/AA60</f>
        <v>2.3202341524274426E-3</v>
      </c>
      <c r="AE60">
        <f>AD60*(-LN(0.02/AA60))^(4/3)</f>
        <v>1.2451529550055476E-2</v>
      </c>
      <c r="AZ60" t="s">
        <v>302</v>
      </c>
      <c r="BA60" s="9">
        <f>X18</f>
        <v>4.9999999999999933E-2</v>
      </c>
      <c r="BB60">
        <f t="shared" ref="BB60:BB65" si="27">EXP($BN$52*$C$4/W60)*(1-$G$4)*BC60</f>
        <v>1.5118438474249636</v>
      </c>
      <c r="BC60">
        <f t="shared" ref="BC60:BC65" si="28">$BN$48*COS(ATAN($C$3))*SQRT(9.81*AE60/SIN(ATAN($C$3))/W20)</f>
        <v>2.4995022475191946</v>
      </c>
      <c r="BI60">
        <f t="shared" ref="BI60:BI65" si="29">EXP($BN$51*$C$4/W60)*(1+$G$3)*BJ60</f>
        <v>3.4985322556480104E-2</v>
      </c>
      <c r="BJ60">
        <f t="shared" ref="BJ60:BJ65" si="30">$BN$47*AE60*SIN(ATAN($C$3))/(Z60-$X$49)</f>
        <v>3.8069651528818804E-2</v>
      </c>
    </row>
    <row r="61" spans="23:66" x14ac:dyDescent="0.25">
      <c r="W61">
        <f t="shared" si="21"/>
        <v>1.9081241705223075</v>
      </c>
      <c r="X61">
        <f t="shared" si="22"/>
        <v>4.2052294729873776E-2</v>
      </c>
      <c r="Y61">
        <f t="shared" si="23"/>
        <v>0.81274423913980898</v>
      </c>
      <c r="Z61">
        <f t="shared" si="24"/>
        <v>0.10760542731314873</v>
      </c>
      <c r="AA61">
        <f t="shared" ref="AA61:AA65" si="31">EXP(-((SQRT(-LN(0.02))*$X$18/Z61)^2))</f>
        <v>0.42971084735325094</v>
      </c>
      <c r="AB61">
        <f t="shared" si="25"/>
        <v>1.06</v>
      </c>
      <c r="AC61">
        <f t="shared" si="26"/>
        <v>2.4884536421837668E-4</v>
      </c>
      <c r="AD61">
        <f t="shared" ref="AD61:AD65" si="32">0.84*AB61*AC61/AA61</f>
        <v>5.1563025151630788E-4</v>
      </c>
      <c r="AE61">
        <f t="shared" ref="AE61:AE65" si="33">AD61*(-LN(0.02/AA61))^(4/3)</f>
        <v>2.2980627351462247E-3</v>
      </c>
      <c r="BB61">
        <f t="shared" si="27"/>
        <v>0.59666100884958229</v>
      </c>
      <c r="BC61">
        <f t="shared" si="28"/>
        <v>1.1347515096371894</v>
      </c>
      <c r="BI61">
        <f t="shared" si="29"/>
        <v>4.2264297974208387E-2</v>
      </c>
      <c r="BJ61">
        <f t="shared" si="30"/>
        <v>5.4642439925230851E-2</v>
      </c>
    </row>
    <row r="62" spans="23:66" x14ac:dyDescent="0.25">
      <c r="W62">
        <f t="shared" si="21"/>
        <v>4.927419781352488</v>
      </c>
      <c r="X62">
        <f t="shared" si="22"/>
        <v>2.4804056772782773E-2</v>
      </c>
      <c r="Y62">
        <f t="shared" si="23"/>
        <v>1.0582478413559568</v>
      </c>
      <c r="Z62">
        <f t="shared" si="24"/>
        <v>0.21340943443136631</v>
      </c>
      <c r="AA62">
        <f t="shared" si="31"/>
        <v>0.80675067745940698</v>
      </c>
      <c r="AB62">
        <f t="shared" si="25"/>
        <v>1.5900869565217393</v>
      </c>
      <c r="AC62">
        <f t="shared" si="26"/>
        <v>3.7051737624258434E-3</v>
      </c>
      <c r="AD62">
        <f t="shared" si="32"/>
        <v>6.1343620205687862E-3</v>
      </c>
      <c r="AE62">
        <f t="shared" si="33"/>
        <v>3.50708452614144E-2</v>
      </c>
      <c r="BB62">
        <f t="shared" si="27"/>
        <v>2.2505801886964485</v>
      </c>
      <c r="BC62">
        <f t="shared" si="28"/>
        <v>3.5918647248250055</v>
      </c>
      <c r="BI62">
        <f t="shared" si="29"/>
        <v>5.3672596863798418E-2</v>
      </c>
      <c r="BJ62">
        <f t="shared" si="30"/>
        <v>5.5922795323078194E-2</v>
      </c>
    </row>
    <row r="63" spans="23:66" x14ac:dyDescent="0.25">
      <c r="W63">
        <f t="shared" si="21"/>
        <v>2.6078525818547318</v>
      </c>
      <c r="X63">
        <f t="shared" si="22"/>
        <v>4.2084434052612231E-2</v>
      </c>
      <c r="Y63">
        <f t="shared" si="23"/>
        <v>0.81243383888169229</v>
      </c>
      <c r="Z63">
        <f t="shared" si="24"/>
        <v>0.14712161279848845</v>
      </c>
      <c r="AA63">
        <f t="shared" si="31"/>
        <v>0.63645349191346401</v>
      </c>
      <c r="AB63">
        <f t="shared" si="25"/>
        <v>1.1716521739130434</v>
      </c>
      <c r="AC63">
        <f t="shared" si="26"/>
        <v>1.0582479125886906E-3</v>
      </c>
      <c r="AD63">
        <f t="shared" si="32"/>
        <v>1.6364349096749608E-3</v>
      </c>
      <c r="AE63">
        <f t="shared" si="33"/>
        <v>8.5643978928974795E-3</v>
      </c>
      <c r="BB63">
        <f t="shared" si="27"/>
        <v>1.0634938140038876</v>
      </c>
      <c r="BC63">
        <f t="shared" si="28"/>
        <v>1.8731137362880625</v>
      </c>
      <c r="BI63">
        <f t="shared" si="29"/>
        <v>2.7941567915686024E-2</v>
      </c>
      <c r="BJ63">
        <f t="shared" si="30"/>
        <v>3.2867639338724192E-2</v>
      </c>
    </row>
    <row r="64" spans="23:66" x14ac:dyDescent="0.25">
      <c r="W64">
        <f t="shared" si="21"/>
        <v>5.9362723482753283</v>
      </c>
      <c r="X64">
        <f t="shared" si="22"/>
        <v>2.6376822155993459E-2</v>
      </c>
      <c r="Y64">
        <f t="shared" si="23"/>
        <v>1.0262130049002915</v>
      </c>
      <c r="Z64">
        <f t="shared" si="24"/>
        <v>0.26512931330702461</v>
      </c>
      <c r="AA64">
        <f t="shared" si="31"/>
        <v>0.87011347627636337</v>
      </c>
      <c r="AB64">
        <f t="shared" si="25"/>
        <v>1.8550434782608698</v>
      </c>
      <c r="AC64">
        <f t="shared" si="26"/>
        <v>7.4544723235242978E-3</v>
      </c>
      <c r="AD64">
        <f t="shared" si="32"/>
        <v>1.3349788667242436E-2</v>
      </c>
      <c r="AE64">
        <f t="shared" si="33"/>
        <v>7.841036176266386E-2</v>
      </c>
      <c r="BB64">
        <f t="shared" si="27"/>
        <v>3.0296297324580386</v>
      </c>
      <c r="BC64">
        <f t="shared" si="28"/>
        <v>4.7450039645709667</v>
      </c>
      <c r="BI64">
        <f t="shared" si="29"/>
        <v>8.4347192871528684E-2</v>
      </c>
      <c r="BJ64">
        <f t="shared" si="30"/>
        <v>8.5869929395681138E-2</v>
      </c>
    </row>
    <row r="65" spans="23:62" x14ac:dyDescent="0.25">
      <c r="W65">
        <f t="shared" si="21"/>
        <v>3.3226197964502129</v>
      </c>
      <c r="X65">
        <f t="shared" si="22"/>
        <v>4.2337073940956947E-2</v>
      </c>
      <c r="Y65">
        <f t="shared" si="23"/>
        <v>0.81000617565001654</v>
      </c>
      <c r="Z65">
        <f t="shared" si="24"/>
        <v>0.18800688840233487</v>
      </c>
      <c r="AA65">
        <f t="shared" si="31"/>
        <v>0.75828932657659032</v>
      </c>
      <c r="AB65">
        <f t="shared" si="25"/>
        <v>1.3094782608695654</v>
      </c>
      <c r="AC65">
        <f t="shared" si="26"/>
        <v>2.7324185440498932E-3</v>
      </c>
      <c r="AD65">
        <f t="shared" si="32"/>
        <v>3.9636003678363762E-3</v>
      </c>
      <c r="AE65">
        <f t="shared" si="33"/>
        <v>2.2155526917188809E-2</v>
      </c>
      <c r="BB65">
        <f t="shared" si="27"/>
        <v>1.5804818747695824</v>
      </c>
      <c r="BC65">
        <f t="shared" si="28"/>
        <v>2.6610822188752405</v>
      </c>
      <c r="BI65">
        <f t="shared" si="29"/>
        <v>4.0908527479560954E-2</v>
      </c>
      <c r="BJ65">
        <f t="shared" si="30"/>
        <v>4.5525763721199451E-2</v>
      </c>
    </row>
    <row r="67" spans="23:62" x14ac:dyDescent="0.25">
      <c r="AY67" t="s">
        <v>317</v>
      </c>
      <c r="BB67" t="s">
        <v>213</v>
      </c>
      <c r="BC67" t="s">
        <v>207</v>
      </c>
      <c r="BE67" t="s">
        <v>110</v>
      </c>
      <c r="BI67" t="s">
        <v>213</v>
      </c>
      <c r="BJ67" t="s">
        <v>207</v>
      </c>
    </row>
    <row r="68" spans="23:62" x14ac:dyDescent="0.25">
      <c r="BB68">
        <v>1</v>
      </c>
      <c r="BC68">
        <v>2</v>
      </c>
      <c r="BI68">
        <v>3</v>
      </c>
      <c r="BJ68">
        <v>4</v>
      </c>
    </row>
    <row r="69" spans="23:62" x14ac:dyDescent="0.25">
      <c r="AZ69" t="s">
        <v>302</v>
      </c>
      <c r="BA69" s="9">
        <f>X3</f>
        <v>9.9999999999999978E-2</v>
      </c>
      <c r="BB69" s="8">
        <f t="shared" ref="BB69:BB74" si="34">BB51/SQRT(9.81*W11)</f>
        <v>0.33705091669536924</v>
      </c>
      <c r="BC69" s="8">
        <f t="shared" ref="BC69:BC74" si="35">BC51/SQRT(9.81*W11)</f>
        <v>0.57955167595520707</v>
      </c>
      <c r="BD69" s="8"/>
      <c r="BE69" s="8"/>
      <c r="BF69" s="8"/>
      <c r="BG69" s="8"/>
      <c r="BH69" s="8"/>
      <c r="BI69" s="8">
        <f t="shared" ref="BI69:BI74" si="36">BI51/AH11</f>
        <v>3.6227748764577947E-2</v>
      </c>
      <c r="BJ69" s="8">
        <f t="shared" ref="BJ69:BJ74" si="37">BJ51/W11</f>
        <v>4.1332977466057894E-2</v>
      </c>
    </row>
    <row r="70" spans="23:62" x14ac:dyDescent="0.25">
      <c r="BB70" s="8" t="e">
        <f t="shared" si="34"/>
        <v>#NUM!</v>
      </c>
      <c r="BC70" s="8" t="e">
        <f t="shared" si="35"/>
        <v>#NUM!</v>
      </c>
      <c r="BD70" s="8"/>
      <c r="BE70" s="8"/>
      <c r="BF70" s="8"/>
      <c r="BG70" s="8"/>
      <c r="BH70" s="8"/>
      <c r="BI70" s="8" t="e">
        <f t="shared" si="36"/>
        <v>#NUM!</v>
      </c>
      <c r="BJ70" s="8" t="e">
        <f t="shared" si="37"/>
        <v>#NUM!</v>
      </c>
    </row>
    <row r="71" spans="23:62" x14ac:dyDescent="0.25">
      <c r="BB71" s="8">
        <f t="shared" si="34"/>
        <v>0.77142521600986413</v>
      </c>
      <c r="BC71" s="8">
        <f t="shared" si="35"/>
        <v>1.2548384574061977</v>
      </c>
      <c r="BD71" s="8"/>
      <c r="BE71" s="8"/>
      <c r="BF71" s="8"/>
      <c r="BG71" s="8"/>
      <c r="BH71" s="8"/>
      <c r="BI71" s="8">
        <f t="shared" si="36"/>
        <v>7.6321898230738969E-2</v>
      </c>
      <c r="BJ71" s="8">
        <f t="shared" si="37"/>
        <v>7.9376072281836851E-2</v>
      </c>
    </row>
    <row r="72" spans="23:62" x14ac:dyDescent="0.25">
      <c r="BB72" s="8">
        <f t="shared" si="34"/>
        <v>0.22329424665366968</v>
      </c>
      <c r="BC72" s="8">
        <f t="shared" si="35"/>
        <v>0.40906255936131097</v>
      </c>
      <c r="BD72" s="8"/>
      <c r="BE72" s="8"/>
      <c r="BF72" s="8"/>
      <c r="BG72" s="8"/>
      <c r="BH72" s="8"/>
      <c r="BI72" s="8">
        <f t="shared" si="36"/>
        <v>2.1128451959920733E-2</v>
      </c>
      <c r="BJ72" s="8">
        <f t="shared" si="37"/>
        <v>2.8594391952146862E-2</v>
      </c>
    </row>
    <row r="73" spans="23:62" x14ac:dyDescent="0.25">
      <c r="BB73" s="8">
        <f t="shared" si="34"/>
        <v>1.3333223940448189</v>
      </c>
      <c r="BC73" s="8">
        <f t="shared" si="35"/>
        <v>2.087482716896027</v>
      </c>
      <c r="BD73" s="8"/>
      <c r="BE73" s="8"/>
      <c r="BF73" s="8"/>
      <c r="BG73" s="8"/>
      <c r="BH73" s="8"/>
      <c r="BI73" s="8">
        <f t="shared" si="36"/>
        <v>0.16929906317065505</v>
      </c>
      <c r="BJ73" s="8">
        <f t="shared" si="37"/>
        <v>0.1619360662709938</v>
      </c>
    </row>
    <row r="74" spans="23:62" x14ac:dyDescent="0.25">
      <c r="BB74" s="8">
        <f t="shared" si="34"/>
        <v>0.61297977572091655</v>
      </c>
      <c r="BC74" s="8">
        <f t="shared" si="35"/>
        <v>1.0290149084917743</v>
      </c>
      <c r="BD74" s="8"/>
      <c r="BE74" s="8"/>
      <c r="BF74" s="8"/>
      <c r="BG74" s="8"/>
      <c r="BH74" s="8"/>
      <c r="BI74" s="8">
        <f t="shared" si="36"/>
        <v>5.9630166778455791E-2</v>
      </c>
      <c r="BJ74" s="8">
        <f t="shared" si="37"/>
        <v>6.5623884499006677E-2</v>
      </c>
    </row>
    <row r="77" spans="23:62" x14ac:dyDescent="0.25">
      <c r="BB77">
        <v>1</v>
      </c>
      <c r="BC77">
        <v>2</v>
      </c>
      <c r="BI77">
        <v>3</v>
      </c>
      <c r="BJ77">
        <v>4</v>
      </c>
    </row>
    <row r="78" spans="23:62" x14ac:dyDescent="0.25">
      <c r="AZ78" t="s">
        <v>302</v>
      </c>
      <c r="BA78" s="9">
        <f>X18</f>
        <v>4.9999999999999933E-2</v>
      </c>
      <c r="BB78" s="8">
        <f t="shared" ref="BB78:BB83" si="38">BB60/SQRT(9.81*W20)</f>
        <v>1.612488469446506</v>
      </c>
      <c r="BC78" s="8">
        <f t="shared" ref="BC78:BC83" si="39">BC60/SQRT(9.81*W20)</f>
        <v>2.6658960582107123</v>
      </c>
      <c r="BD78" s="8"/>
      <c r="BE78" s="8"/>
      <c r="BF78" s="8"/>
      <c r="BG78" s="8"/>
      <c r="BH78" s="8"/>
      <c r="BI78" s="8">
        <f t="shared" ref="BI78:BI83" si="40">BI60/AH20</f>
        <v>0.4008263070297779</v>
      </c>
      <c r="BJ78" s="8">
        <f t="shared" ref="BJ78:BJ83" si="41">BJ60/W20</f>
        <v>0.42484182982533902</v>
      </c>
    </row>
    <row r="79" spans="23:62" x14ac:dyDescent="0.25">
      <c r="BB79" s="8">
        <f t="shared" si="38"/>
        <v>0.6725041801916708</v>
      </c>
      <c r="BC79" s="8">
        <f t="shared" si="39"/>
        <v>1.2789927989113867</v>
      </c>
      <c r="BD79" s="8"/>
      <c r="BE79" s="8"/>
      <c r="BF79" s="8"/>
      <c r="BG79" s="8"/>
      <c r="BH79" s="8"/>
      <c r="BI79" s="8">
        <f t="shared" si="40"/>
        <v>0.49622291333077051</v>
      </c>
      <c r="BJ79" s="8">
        <f t="shared" si="41"/>
        <v>0.68097904967822986</v>
      </c>
    </row>
    <row r="80" spans="23:62" x14ac:dyDescent="0.25">
      <c r="BB80" s="8">
        <f t="shared" si="38"/>
        <v>2.0553644858288203</v>
      </c>
      <c r="BC80" s="8">
        <f t="shared" si="39"/>
        <v>3.2803057764329968</v>
      </c>
      <c r="BD80" s="8"/>
      <c r="BE80" s="8"/>
      <c r="BF80" s="8"/>
      <c r="BG80" s="8"/>
      <c r="BH80" s="8"/>
      <c r="BI80" s="8">
        <f t="shared" si="40"/>
        <v>0.4630540666361696</v>
      </c>
      <c r="BJ80" s="8">
        <f t="shared" si="41"/>
        <v>0.45755846279723611</v>
      </c>
    </row>
    <row r="81" spans="54:62" x14ac:dyDescent="0.25">
      <c r="BB81" s="8">
        <f t="shared" si="38"/>
        <v>1.0249394275043988</v>
      </c>
      <c r="BC81" s="8">
        <f t="shared" si="39"/>
        <v>1.8052085449315969</v>
      </c>
      <c r="BD81" s="8"/>
      <c r="BE81" s="8"/>
      <c r="BF81" s="8"/>
      <c r="BG81" s="8"/>
      <c r="BH81" s="8"/>
      <c r="BI81" s="8">
        <f t="shared" si="40"/>
        <v>0.24916682642844679</v>
      </c>
      <c r="BJ81" s="8">
        <f t="shared" si="41"/>
        <v>0.29947735160568739</v>
      </c>
    </row>
    <row r="82" spans="54:62" x14ac:dyDescent="0.25">
      <c r="BB82" s="8">
        <f t="shared" si="38"/>
        <v>2.4444823519257359</v>
      </c>
      <c r="BC82" s="8">
        <f t="shared" si="39"/>
        <v>3.8285465471058284</v>
      </c>
      <c r="BD82" s="8"/>
      <c r="BE82" s="8"/>
      <c r="BF82" s="8"/>
      <c r="BG82" s="8"/>
      <c r="BH82" s="8"/>
      <c r="BI82" s="8">
        <f t="shared" si="40"/>
        <v>0.58639594599227396</v>
      </c>
      <c r="BJ82" s="8">
        <f t="shared" si="41"/>
        <v>0.54840930767455065</v>
      </c>
    </row>
    <row r="83" spans="54:62" x14ac:dyDescent="0.25">
      <c r="BB83" s="8">
        <f t="shared" si="38"/>
        <v>1.3454088255574201</v>
      </c>
      <c r="BC83" s="8">
        <f t="shared" si="39"/>
        <v>2.2652860244478492</v>
      </c>
      <c r="BD83" s="8"/>
      <c r="BE83" s="8"/>
      <c r="BF83" s="8"/>
      <c r="BG83" s="8"/>
      <c r="BH83" s="8"/>
      <c r="BI83" s="8">
        <f t="shared" si="40"/>
        <v>0.29475126075049324</v>
      </c>
      <c r="BJ83" s="8">
        <f t="shared" si="41"/>
        <v>0.32363520097532844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vG_landward</vt:lpstr>
      <vt:lpstr>vG_crest</vt:lpstr>
      <vt:lpstr>Schuttrumpf</vt:lpstr>
      <vt:lpstr>FlowDike_1_3</vt:lpstr>
      <vt:lpstr>vG_waveconditions</vt:lpstr>
      <vt:lpstr>FlowDike_1_6</vt:lpstr>
    </vt:vector>
  </TitlesOfParts>
  <Company>TU Delft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 Hai Trung - CITG</dc:creator>
  <cp:lastModifiedBy>Le Hai Trung - CITG</cp:lastModifiedBy>
  <dcterms:created xsi:type="dcterms:W3CDTF">2012-02-22T08:23:01Z</dcterms:created>
  <dcterms:modified xsi:type="dcterms:W3CDTF">2014-04-10T15:43:41Z</dcterms:modified>
</cp:coreProperties>
</file>