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charts/chart3.xml" ContentType="application/vnd.openxmlformats-officedocument.drawingml.chart+xml"/>
  <Override PartName="/xl/drawings/drawing4.xml" ContentType="application/vnd.openxmlformats-officedocument.drawingml.chartshapes+xml"/>
  <Override PartName="/xl/charts/chart4.xml" ContentType="application/vnd.openxmlformats-officedocument.drawingml.chart+xml"/>
  <Override PartName="/xl/drawings/drawing5.xml" ContentType="application/vnd.openxmlformats-officedocument.drawingml.chartshapes+xml"/>
  <Override PartName="/xl/charts/chart5.xml" ContentType="application/vnd.openxmlformats-officedocument.drawingml.chart+xml"/>
  <Override PartName="/xl/drawings/drawing6.xml" ContentType="application/vnd.openxmlformats-officedocument.drawingml.chartshapes+xml"/>
  <Override PartName="/xl/charts/chart6.xml" ContentType="application/vnd.openxmlformats-officedocument.drawingml.chart+xml"/>
  <Override PartName="/xl/drawings/drawing7.xml" ContentType="application/vnd.openxmlformats-officedocument.drawingml.chartshapes+xml"/>
  <Override PartName="/xl/charts/chart7.xml" ContentType="application/vnd.openxmlformats-officedocument.drawingml.chart+xml"/>
  <Override PartName="/xl/drawings/drawing8.xml" ContentType="application/vnd.openxmlformats-officedocument.drawingml.chartshapes+xml"/>
  <Override PartName="/xl/charts/chart8.xml" ContentType="application/vnd.openxmlformats-officedocument.drawingml.chart+xml"/>
  <Override PartName="/xl/drawings/drawing9.xml" ContentType="application/vnd.openxmlformats-officedocument.drawingml.chartshapes+xml"/>
  <Override PartName="/xl/charts/chart9.xml" ContentType="application/vnd.openxmlformats-officedocument.drawingml.chart+xml"/>
  <Override PartName="/xl/drawings/drawing10.xml" ContentType="application/vnd.openxmlformats-officedocument.drawingml.chartshapes+xml"/>
  <Override PartName="/xl/charts/chart10.xml" ContentType="application/vnd.openxmlformats-officedocument.drawingml.chart+xml"/>
  <Override PartName="/xl/drawings/drawing11.xml" ContentType="application/vnd.openxmlformats-officedocument.drawingml.chartshapes+xml"/>
  <Override PartName="/xl/drawings/drawing12.xml" ContentType="application/vnd.openxmlformats-officedocument.drawing+xml"/>
  <Override PartName="/xl/charts/chart11.xml" ContentType="application/vnd.openxmlformats-officedocument.drawingml.chart+xml"/>
  <Override PartName="/xl/drawings/drawing13.xml" ContentType="application/vnd.openxmlformats-officedocument.drawingml.chartshapes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drawings/drawing14.xml" ContentType="application/vnd.openxmlformats-officedocument.drawingml.chartshapes+xml"/>
  <Override PartName="/xl/charts/chart18.xml" ContentType="application/vnd.openxmlformats-officedocument.drawingml.chart+xml"/>
  <Override PartName="/xl/drawings/drawing15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-45" yWindow="4545" windowWidth="19170" windowHeight="4590"/>
  </bookViews>
  <sheets>
    <sheet name="Table results Report" sheetId="3" r:id="rId1"/>
    <sheet name="First analysis" sheetId="6" r:id="rId2"/>
    <sheet name="Figures" sheetId="7" r:id="rId3"/>
    <sheet name="Summary" sheetId="8" r:id="rId4"/>
  </sheets>
  <definedNames>
    <definedName name="_xlnm.Print_Area" localSheetId="1">'First analysis'!$A$1:$F$12</definedName>
    <definedName name="_xlnm.Print_Area" localSheetId="3">Summary!$K$1:$W$138</definedName>
    <definedName name="_xlnm.Print_Area" localSheetId="0">'Table results Report'!$A$1:$L$163</definedName>
    <definedName name="solver_adj" localSheetId="1" hidden="1">'First analysis'!$AC$284</definedName>
    <definedName name="solver_cvg" localSheetId="1" hidden="1">0.0001</definedName>
    <definedName name="solver_drv" localSheetId="1" hidden="1">1</definedName>
    <definedName name="solver_est" localSheetId="1" hidden="1">1</definedName>
    <definedName name="solver_itr" localSheetId="1" hidden="1">100</definedName>
    <definedName name="solver_lin" localSheetId="1" hidden="1">2</definedName>
    <definedName name="solver_neg" localSheetId="1" hidden="1">2</definedName>
    <definedName name="solver_num" localSheetId="1" hidden="1">0</definedName>
    <definedName name="solver_nwt" localSheetId="1" hidden="1">1</definedName>
    <definedName name="solver_opt" localSheetId="1" hidden="1">'First analysis'!$AE$284</definedName>
    <definedName name="solver_pre" localSheetId="1" hidden="1">0.000001</definedName>
    <definedName name="solver_scl" localSheetId="1" hidden="1">2</definedName>
    <definedName name="solver_sho" localSheetId="1" hidden="1">2</definedName>
    <definedName name="solver_tim" localSheetId="1" hidden="1">100</definedName>
    <definedName name="solver_tol" localSheetId="1" hidden="1">0.05</definedName>
    <definedName name="solver_typ" localSheetId="1" hidden="1">3</definedName>
    <definedName name="solver_val" localSheetId="1" hidden="1">0</definedName>
  </definedNames>
  <calcPr calcId="145621"/>
</workbook>
</file>

<file path=xl/calcChain.xml><?xml version="1.0" encoding="utf-8"?>
<calcChain xmlns="http://schemas.openxmlformats.org/spreadsheetml/2006/main">
  <c r="G29" i="8" l="1"/>
  <c r="G36" i="8"/>
  <c r="B27" i="8" l="1"/>
  <c r="C27" i="8"/>
  <c r="D27" i="8"/>
  <c r="E27" i="8"/>
  <c r="A27" i="8"/>
  <c r="G27" i="8" s="1"/>
  <c r="AD284" i="6"/>
  <c r="AE284" i="6" s="1"/>
  <c r="AF284" i="6"/>
  <c r="AG284" i="6"/>
  <c r="AH284" i="6" s="1"/>
  <c r="AI284" i="6" s="1"/>
  <c r="AD8" i="6"/>
  <c r="AE8" i="6" s="1"/>
  <c r="AF8" i="6"/>
  <c r="AG8" i="6"/>
  <c r="AH8" i="6" s="1"/>
  <c r="AI8" i="6" s="1"/>
  <c r="AD9" i="6"/>
  <c r="AE9" i="6" s="1"/>
  <c r="AF9" i="6"/>
  <c r="AG9" i="6"/>
  <c r="AH9" i="6" s="1"/>
  <c r="AI9" i="6" s="1"/>
  <c r="AD10" i="6"/>
  <c r="AE10" i="6" s="1"/>
  <c r="AF10" i="6"/>
  <c r="AG10" i="6"/>
  <c r="AH10" i="6" s="1"/>
  <c r="AI10" i="6" s="1"/>
  <c r="AJ10" i="6"/>
  <c r="AK10" i="6" s="1"/>
  <c r="AD11" i="6"/>
  <c r="AE11" i="6" s="1"/>
  <c r="AF11" i="6"/>
  <c r="AG11" i="6"/>
  <c r="AH11" i="6" s="1"/>
  <c r="AI11" i="6" s="1"/>
  <c r="AD12" i="6"/>
  <c r="AE12" i="6" s="1"/>
  <c r="AF12" i="6"/>
  <c r="AG12" i="6"/>
  <c r="AH12" i="6" s="1"/>
  <c r="AI12" i="6" s="1"/>
  <c r="AD13" i="6"/>
  <c r="AE13" i="6" s="1"/>
  <c r="AF13" i="6"/>
  <c r="AG13" i="6"/>
  <c r="AH13" i="6" s="1"/>
  <c r="AI13" i="6" s="1"/>
  <c r="AD14" i="6"/>
  <c r="AE14" i="6" s="1"/>
  <c r="AF14" i="6"/>
  <c r="AG14" i="6"/>
  <c r="AH14" i="6" s="1"/>
  <c r="AI14" i="6" s="1"/>
  <c r="AD15" i="6"/>
  <c r="AE15" i="6"/>
  <c r="AF15" i="6"/>
  <c r="AG15" i="6"/>
  <c r="AH15" i="6" s="1"/>
  <c r="AI15" i="6" s="1"/>
  <c r="AD16" i="6"/>
  <c r="AE16" i="6" s="1"/>
  <c r="AF16" i="6"/>
  <c r="AG16" i="6"/>
  <c r="AH16" i="6" s="1"/>
  <c r="AI16" i="6" s="1"/>
  <c r="AJ16" i="6"/>
  <c r="AK16" i="6" s="1"/>
  <c r="AD17" i="6"/>
  <c r="AE17" i="6" s="1"/>
  <c r="AF17" i="6"/>
  <c r="AG17" i="6"/>
  <c r="AH17" i="6" s="1"/>
  <c r="AI17" i="6" s="1"/>
  <c r="AD18" i="6"/>
  <c r="AE18" i="6" s="1"/>
  <c r="AF18" i="6"/>
  <c r="AG18" i="6"/>
  <c r="AH18" i="6" s="1"/>
  <c r="AI18" i="6" s="1"/>
  <c r="AD19" i="6"/>
  <c r="AE19" i="6" s="1"/>
  <c r="AF19" i="6"/>
  <c r="AG19" i="6"/>
  <c r="AH19" i="6" s="1"/>
  <c r="AI19" i="6" s="1"/>
  <c r="AD20" i="6"/>
  <c r="AE20" i="6" s="1"/>
  <c r="AF20" i="6"/>
  <c r="AG20" i="6"/>
  <c r="AH20" i="6"/>
  <c r="AI20" i="6" s="1"/>
  <c r="AJ20" i="6"/>
  <c r="AK20" i="6" s="1"/>
  <c r="AD21" i="6"/>
  <c r="AE21" i="6"/>
  <c r="AF21" i="6"/>
  <c r="AG21" i="6"/>
  <c r="AH21" i="6" s="1"/>
  <c r="AI21" i="6" s="1"/>
  <c r="AD22" i="6"/>
  <c r="AE22" i="6" s="1"/>
  <c r="AF22" i="6"/>
  <c r="AG22" i="6"/>
  <c r="AH22" i="6" s="1"/>
  <c r="AI22" i="6" s="1"/>
  <c r="AD23" i="6"/>
  <c r="AE23" i="6" s="1"/>
  <c r="AF23" i="6"/>
  <c r="AG23" i="6"/>
  <c r="AH23" i="6" s="1"/>
  <c r="AI23" i="6" s="1"/>
  <c r="AD24" i="6"/>
  <c r="AE24" i="6" s="1"/>
  <c r="AF24" i="6"/>
  <c r="AG24" i="6"/>
  <c r="AH24" i="6" s="1"/>
  <c r="AI24" i="6" s="1"/>
  <c r="AD25" i="6"/>
  <c r="AE25" i="6" s="1"/>
  <c r="AF25" i="6"/>
  <c r="AG25" i="6"/>
  <c r="AH25" i="6" s="1"/>
  <c r="AI25" i="6" s="1"/>
  <c r="AD26" i="6"/>
  <c r="AE26" i="6" s="1"/>
  <c r="AF26" i="6"/>
  <c r="AG26" i="6"/>
  <c r="AH26" i="6" s="1"/>
  <c r="AI26" i="6" s="1"/>
  <c r="AJ26" i="6"/>
  <c r="AK26" i="6" s="1"/>
  <c r="AD27" i="6"/>
  <c r="AE27" i="6"/>
  <c r="AF27" i="6"/>
  <c r="AG27" i="6"/>
  <c r="AH27" i="6" s="1"/>
  <c r="AI27" i="6" s="1"/>
  <c r="AD28" i="6"/>
  <c r="AE28" i="6" s="1"/>
  <c r="AF28" i="6"/>
  <c r="AG28" i="6"/>
  <c r="AH28" i="6" s="1"/>
  <c r="AI28" i="6" s="1"/>
  <c r="AD29" i="6"/>
  <c r="AE29" i="6" s="1"/>
  <c r="AF29" i="6"/>
  <c r="AG29" i="6"/>
  <c r="AH29" i="6" s="1"/>
  <c r="AI29" i="6" s="1"/>
  <c r="AD30" i="6"/>
  <c r="AE30" i="6" s="1"/>
  <c r="AF30" i="6"/>
  <c r="AG30" i="6"/>
  <c r="AH30" i="6" s="1"/>
  <c r="AI30" i="6" s="1"/>
  <c r="AD31" i="6"/>
  <c r="AE31" i="6"/>
  <c r="AF31" i="6"/>
  <c r="AG31" i="6"/>
  <c r="AH31" i="6" s="1"/>
  <c r="AI31" i="6" s="1"/>
  <c r="AD32" i="6"/>
  <c r="AE32" i="6" s="1"/>
  <c r="AF32" i="6"/>
  <c r="AG32" i="6"/>
  <c r="AH32" i="6" s="1"/>
  <c r="AI32" i="6" s="1"/>
  <c r="AJ32" i="6"/>
  <c r="AK32" i="6" s="1"/>
  <c r="AD33" i="6"/>
  <c r="AE33" i="6" s="1"/>
  <c r="AF33" i="6"/>
  <c r="AG33" i="6"/>
  <c r="AH33" i="6" s="1"/>
  <c r="AI33" i="6" s="1"/>
  <c r="AD34" i="6"/>
  <c r="AE34" i="6" s="1"/>
  <c r="AF34" i="6"/>
  <c r="AG34" i="6"/>
  <c r="AH34" i="6" s="1"/>
  <c r="AI34" i="6" s="1"/>
  <c r="AJ34" i="6"/>
  <c r="AK34" i="6" s="1"/>
  <c r="AD35" i="6"/>
  <c r="AE35" i="6" s="1"/>
  <c r="AF35" i="6"/>
  <c r="AG35" i="6"/>
  <c r="AH35" i="6" s="1"/>
  <c r="AI35" i="6" s="1"/>
  <c r="AD36" i="6"/>
  <c r="AE36" i="6" s="1"/>
  <c r="AF36" i="6"/>
  <c r="AG36" i="6"/>
  <c r="AH36" i="6"/>
  <c r="AI36" i="6" s="1"/>
  <c r="AJ36" i="6"/>
  <c r="AK36" i="6" s="1"/>
  <c r="AD37" i="6"/>
  <c r="AE37" i="6"/>
  <c r="AF37" i="6"/>
  <c r="AG37" i="6"/>
  <c r="AH37" i="6" s="1"/>
  <c r="AI37" i="6" s="1"/>
  <c r="AD38" i="6"/>
  <c r="AE38" i="6" s="1"/>
  <c r="AF38" i="6"/>
  <c r="AG38" i="6"/>
  <c r="AH38" i="6" s="1"/>
  <c r="AI38" i="6" s="1"/>
  <c r="AD39" i="6"/>
  <c r="AE39" i="6" s="1"/>
  <c r="AF39" i="6"/>
  <c r="AG39" i="6"/>
  <c r="AH39" i="6" s="1"/>
  <c r="AI39" i="6" s="1"/>
  <c r="AD40" i="6"/>
  <c r="AE40" i="6" s="1"/>
  <c r="AF40" i="6"/>
  <c r="AG40" i="6"/>
  <c r="AH40" i="6" s="1"/>
  <c r="AI40" i="6" s="1"/>
  <c r="AD41" i="6"/>
  <c r="AE41" i="6" s="1"/>
  <c r="AF41" i="6"/>
  <c r="AG41" i="6"/>
  <c r="AH41" i="6" s="1"/>
  <c r="AI41" i="6" s="1"/>
  <c r="AD42" i="6"/>
  <c r="AE42" i="6" s="1"/>
  <c r="AF42" i="6"/>
  <c r="AG42" i="6"/>
  <c r="AH42" i="6" s="1"/>
  <c r="AI42" i="6" s="1"/>
  <c r="AJ42" i="6"/>
  <c r="AK42" i="6" s="1"/>
  <c r="AD43" i="6"/>
  <c r="AE43" i="6" s="1"/>
  <c r="AF43" i="6"/>
  <c r="AG43" i="6"/>
  <c r="AH43" i="6" s="1"/>
  <c r="AI43" i="6" s="1"/>
  <c r="AD44" i="6"/>
  <c r="AE44" i="6" s="1"/>
  <c r="AF44" i="6"/>
  <c r="AG44" i="6"/>
  <c r="AH44" i="6" s="1"/>
  <c r="AI44" i="6" s="1"/>
  <c r="AD45" i="6"/>
  <c r="AE45" i="6" s="1"/>
  <c r="AF45" i="6"/>
  <c r="AG45" i="6"/>
  <c r="AH45" i="6" s="1"/>
  <c r="AI45" i="6" s="1"/>
  <c r="AD46" i="6"/>
  <c r="AE46" i="6" s="1"/>
  <c r="AF46" i="6"/>
  <c r="AG46" i="6"/>
  <c r="AH46" i="6" s="1"/>
  <c r="AI46" i="6" s="1"/>
  <c r="AD47" i="6"/>
  <c r="AE47" i="6"/>
  <c r="AF47" i="6"/>
  <c r="AG47" i="6"/>
  <c r="AH47" i="6" s="1"/>
  <c r="AI47" i="6" s="1"/>
  <c r="AD48" i="6"/>
  <c r="AE48" i="6" s="1"/>
  <c r="AF48" i="6"/>
  <c r="AG48" i="6"/>
  <c r="AH48" i="6" s="1"/>
  <c r="AI48" i="6" s="1"/>
  <c r="AJ48" i="6"/>
  <c r="AK48" i="6" s="1"/>
  <c r="AD49" i="6"/>
  <c r="AE49" i="6" s="1"/>
  <c r="AF49" i="6"/>
  <c r="AG49" i="6"/>
  <c r="AH49" i="6" s="1"/>
  <c r="AI49" i="6" s="1"/>
  <c r="AD50" i="6"/>
  <c r="AE50" i="6" s="1"/>
  <c r="AF50" i="6"/>
  <c r="AG50" i="6"/>
  <c r="AH50" i="6" s="1"/>
  <c r="AI50" i="6" s="1"/>
  <c r="AD51" i="6"/>
  <c r="AE51" i="6" s="1"/>
  <c r="AF51" i="6"/>
  <c r="AG51" i="6"/>
  <c r="AH51" i="6" s="1"/>
  <c r="AI51" i="6" s="1"/>
  <c r="AD52" i="6"/>
  <c r="AE52" i="6" s="1"/>
  <c r="AF52" i="6"/>
  <c r="AG52" i="6"/>
  <c r="AH52" i="6"/>
  <c r="AI52" i="6" s="1"/>
  <c r="AJ52" i="6"/>
  <c r="AK52" i="6" s="1"/>
  <c r="AD53" i="6"/>
  <c r="AE53" i="6"/>
  <c r="AF53" i="6"/>
  <c r="AG53" i="6"/>
  <c r="AH53" i="6" s="1"/>
  <c r="AI53" i="6" s="1"/>
  <c r="AD54" i="6"/>
  <c r="AE54" i="6" s="1"/>
  <c r="AF54" i="6"/>
  <c r="AG54" i="6"/>
  <c r="AH54" i="6" s="1"/>
  <c r="AI54" i="6" s="1"/>
  <c r="AD55" i="6"/>
  <c r="AE55" i="6" s="1"/>
  <c r="AF55" i="6"/>
  <c r="AG55" i="6"/>
  <c r="AH55" i="6" s="1"/>
  <c r="AI55" i="6" s="1"/>
  <c r="AD56" i="6"/>
  <c r="AE56" i="6" s="1"/>
  <c r="AF56" i="6"/>
  <c r="AG56" i="6"/>
  <c r="AH56" i="6" s="1"/>
  <c r="AI56" i="6" s="1"/>
  <c r="AD57" i="6"/>
  <c r="AE57" i="6" s="1"/>
  <c r="AF57" i="6"/>
  <c r="AG57" i="6"/>
  <c r="AH57" i="6" s="1"/>
  <c r="AI57" i="6" s="1"/>
  <c r="AD58" i="6"/>
  <c r="AE58" i="6" s="1"/>
  <c r="AF58" i="6"/>
  <c r="AG58" i="6"/>
  <c r="AH58" i="6" s="1"/>
  <c r="AI58" i="6" s="1"/>
  <c r="AJ58" i="6"/>
  <c r="AK58" i="6" s="1"/>
  <c r="AD59" i="6"/>
  <c r="AE59" i="6" s="1"/>
  <c r="AF59" i="6"/>
  <c r="AG59" i="6"/>
  <c r="AH59" i="6" s="1"/>
  <c r="AI59" i="6" s="1"/>
  <c r="AD60" i="6"/>
  <c r="AE60" i="6" s="1"/>
  <c r="AF60" i="6"/>
  <c r="AG60" i="6"/>
  <c r="AH60" i="6" s="1"/>
  <c r="AI60" i="6" s="1"/>
  <c r="AD61" i="6"/>
  <c r="AE61" i="6" s="1"/>
  <c r="AF61" i="6"/>
  <c r="AG61" i="6"/>
  <c r="AH61" i="6" s="1"/>
  <c r="AI61" i="6" s="1"/>
  <c r="AD62" i="6"/>
  <c r="AE62" i="6" s="1"/>
  <c r="AF62" i="6"/>
  <c r="AG62" i="6"/>
  <c r="AH62" i="6" s="1"/>
  <c r="AI62" i="6" s="1"/>
  <c r="AD63" i="6"/>
  <c r="AE63" i="6"/>
  <c r="AF63" i="6"/>
  <c r="AG63" i="6"/>
  <c r="AH63" i="6" s="1"/>
  <c r="AI63" i="6" s="1"/>
  <c r="AD64" i="6"/>
  <c r="AE64" i="6" s="1"/>
  <c r="AF64" i="6"/>
  <c r="AG64" i="6"/>
  <c r="AH64" i="6" s="1"/>
  <c r="AI64" i="6" s="1"/>
  <c r="AJ64" i="6"/>
  <c r="AK64" i="6" s="1"/>
  <c r="AD65" i="6"/>
  <c r="AE65" i="6" s="1"/>
  <c r="AF65" i="6"/>
  <c r="AG65" i="6"/>
  <c r="AH65" i="6" s="1"/>
  <c r="AI65" i="6" s="1"/>
  <c r="AD66" i="6"/>
  <c r="AE66" i="6" s="1"/>
  <c r="AF66" i="6"/>
  <c r="AG66" i="6"/>
  <c r="AH66" i="6" s="1"/>
  <c r="AI66" i="6" s="1"/>
  <c r="AD67" i="6"/>
  <c r="AE67" i="6" s="1"/>
  <c r="AF67" i="6"/>
  <c r="AG67" i="6"/>
  <c r="AH67" i="6" s="1"/>
  <c r="AI67" i="6" s="1"/>
  <c r="AD68" i="6"/>
  <c r="AE68" i="6" s="1"/>
  <c r="AF68" i="6"/>
  <c r="AG68" i="6"/>
  <c r="AH68" i="6"/>
  <c r="AI68" i="6" s="1"/>
  <c r="AJ68" i="6"/>
  <c r="AK68" i="6" s="1"/>
  <c r="AD69" i="6"/>
  <c r="AE69" i="6"/>
  <c r="AF69" i="6"/>
  <c r="AG69" i="6"/>
  <c r="AH69" i="6" s="1"/>
  <c r="AI69" i="6" s="1"/>
  <c r="AD70" i="6"/>
  <c r="AE70" i="6" s="1"/>
  <c r="AF70" i="6"/>
  <c r="AG70" i="6"/>
  <c r="AH70" i="6" s="1"/>
  <c r="AI70" i="6" s="1"/>
  <c r="AD71" i="6"/>
  <c r="AE71" i="6" s="1"/>
  <c r="AF71" i="6"/>
  <c r="AG71" i="6"/>
  <c r="AH71" i="6" s="1"/>
  <c r="AI71" i="6" s="1"/>
  <c r="AD72" i="6"/>
  <c r="AE72" i="6" s="1"/>
  <c r="AF72" i="6"/>
  <c r="AG72" i="6"/>
  <c r="AH72" i="6" s="1"/>
  <c r="AI72" i="6" s="1"/>
  <c r="AD73" i="6"/>
  <c r="AE73" i="6" s="1"/>
  <c r="AF73" i="6"/>
  <c r="AG73" i="6"/>
  <c r="AH73" i="6" s="1"/>
  <c r="AI73" i="6" s="1"/>
  <c r="AD74" i="6"/>
  <c r="AE74" i="6" s="1"/>
  <c r="AF74" i="6"/>
  <c r="AG74" i="6"/>
  <c r="AH74" i="6" s="1"/>
  <c r="AI74" i="6" s="1"/>
  <c r="AJ74" i="6"/>
  <c r="AK74" i="6" s="1"/>
  <c r="AD75" i="6"/>
  <c r="AE75" i="6" s="1"/>
  <c r="AF75" i="6"/>
  <c r="AG75" i="6"/>
  <c r="AH75" i="6" s="1"/>
  <c r="AI75" i="6" s="1"/>
  <c r="AD76" i="6"/>
  <c r="AE76" i="6" s="1"/>
  <c r="AF76" i="6"/>
  <c r="AG76" i="6"/>
  <c r="AH76" i="6" s="1"/>
  <c r="AI76" i="6" s="1"/>
  <c r="AD77" i="6"/>
  <c r="AE77" i="6" s="1"/>
  <c r="AF77" i="6"/>
  <c r="AG77" i="6"/>
  <c r="AH77" i="6" s="1"/>
  <c r="AI77" i="6" s="1"/>
  <c r="AD78" i="6"/>
  <c r="AE78" i="6" s="1"/>
  <c r="AF78" i="6"/>
  <c r="AG78" i="6"/>
  <c r="AH78" i="6" s="1"/>
  <c r="AI78" i="6" s="1"/>
  <c r="AD83" i="6"/>
  <c r="AE83" i="6" s="1"/>
  <c r="AF83" i="6"/>
  <c r="AG83" i="6"/>
  <c r="AH83" i="6" s="1"/>
  <c r="AI83" i="6" s="1"/>
  <c r="AD84" i="6"/>
  <c r="AE84" i="6"/>
  <c r="AF84" i="6"/>
  <c r="AG84" i="6"/>
  <c r="AH84" i="6" s="1"/>
  <c r="AI84" i="6" s="1"/>
  <c r="AD85" i="6"/>
  <c r="AE85" i="6" s="1"/>
  <c r="AF85" i="6"/>
  <c r="AG85" i="6"/>
  <c r="AH85" i="6" s="1"/>
  <c r="AI85" i="6" s="1"/>
  <c r="AD86" i="6"/>
  <c r="AE86" i="6" s="1"/>
  <c r="AF86" i="6"/>
  <c r="AG86" i="6"/>
  <c r="AH86" i="6" s="1"/>
  <c r="AI86" i="6" s="1"/>
  <c r="AD87" i="6"/>
  <c r="AE87" i="6" s="1"/>
  <c r="AF87" i="6"/>
  <c r="AG87" i="6"/>
  <c r="AH87" i="6" s="1"/>
  <c r="AI87" i="6" s="1"/>
  <c r="AJ87" i="6"/>
  <c r="AK87" i="6" s="1"/>
  <c r="AD88" i="6"/>
  <c r="AE88" i="6"/>
  <c r="AF88" i="6"/>
  <c r="AG88" i="6"/>
  <c r="AH88" i="6" s="1"/>
  <c r="AI88" i="6" s="1"/>
  <c r="AD89" i="6"/>
  <c r="AE89" i="6" s="1"/>
  <c r="AF89" i="6"/>
  <c r="AG89" i="6"/>
  <c r="AH89" i="6" s="1"/>
  <c r="AI89" i="6" s="1"/>
  <c r="AD90" i="6"/>
  <c r="AE90" i="6" s="1"/>
  <c r="AF90" i="6"/>
  <c r="AG90" i="6"/>
  <c r="AH90" i="6" s="1"/>
  <c r="AI90" i="6" s="1"/>
  <c r="AD91" i="6"/>
  <c r="AE91" i="6" s="1"/>
  <c r="AF91" i="6"/>
  <c r="AG91" i="6"/>
  <c r="AH91" i="6" s="1"/>
  <c r="AI91" i="6" s="1"/>
  <c r="AD92" i="6"/>
  <c r="AE92" i="6" s="1"/>
  <c r="AF92" i="6"/>
  <c r="AG92" i="6"/>
  <c r="AH92" i="6" s="1"/>
  <c r="AI92" i="6" s="1"/>
  <c r="AD93" i="6"/>
  <c r="AE93" i="6" s="1"/>
  <c r="AF93" i="6"/>
  <c r="AG93" i="6"/>
  <c r="AH93" i="6" s="1"/>
  <c r="AI93" i="6" s="1"/>
  <c r="AD94" i="6"/>
  <c r="AE94" i="6"/>
  <c r="AF94" i="6"/>
  <c r="AG94" i="6"/>
  <c r="AH94" i="6" s="1"/>
  <c r="AI94" i="6" s="1"/>
  <c r="AD95" i="6"/>
  <c r="AE95" i="6" s="1"/>
  <c r="AF95" i="6"/>
  <c r="AG95" i="6"/>
  <c r="AH95" i="6" s="1"/>
  <c r="AI95" i="6" s="1"/>
  <c r="AD96" i="6"/>
  <c r="AE96" i="6" s="1"/>
  <c r="AF96" i="6"/>
  <c r="AG96" i="6"/>
  <c r="AH96" i="6" s="1"/>
  <c r="AI96" i="6" s="1"/>
  <c r="AD97" i="6"/>
  <c r="AE97" i="6" s="1"/>
  <c r="AF97" i="6"/>
  <c r="AG97" i="6"/>
  <c r="AH97" i="6" s="1"/>
  <c r="AI97" i="6" s="1"/>
  <c r="AJ97" i="6"/>
  <c r="AK97" i="6" s="1"/>
  <c r="AD98" i="6"/>
  <c r="AE98" i="6"/>
  <c r="AF98" i="6"/>
  <c r="AG98" i="6"/>
  <c r="AH98" i="6" s="1"/>
  <c r="AI98" i="6" s="1"/>
  <c r="AD99" i="6"/>
  <c r="AE99" i="6" s="1"/>
  <c r="AF99" i="6"/>
  <c r="AG99" i="6"/>
  <c r="AH99" i="6" s="1"/>
  <c r="AI99" i="6" s="1"/>
  <c r="AD100" i="6"/>
  <c r="AE100" i="6"/>
  <c r="AF100" i="6"/>
  <c r="AG100" i="6"/>
  <c r="AH100" i="6" s="1"/>
  <c r="AI100" i="6" s="1"/>
  <c r="AD101" i="6"/>
  <c r="AE101" i="6" s="1"/>
  <c r="AF101" i="6"/>
  <c r="AG101" i="6"/>
  <c r="AH101" i="6" s="1"/>
  <c r="AI101" i="6" s="1"/>
  <c r="AD102" i="6"/>
  <c r="AE102" i="6" s="1"/>
  <c r="AF102" i="6"/>
  <c r="AG102" i="6"/>
  <c r="AH102" i="6" s="1"/>
  <c r="AI102" i="6" s="1"/>
  <c r="AD103" i="6"/>
  <c r="AE103" i="6" s="1"/>
  <c r="AF103" i="6"/>
  <c r="AG103" i="6"/>
  <c r="AH103" i="6" s="1"/>
  <c r="AI103" i="6" s="1"/>
  <c r="AJ103" i="6"/>
  <c r="AK103" i="6" s="1"/>
  <c r="AD104" i="6"/>
  <c r="AE104" i="6"/>
  <c r="AF104" i="6"/>
  <c r="AG104" i="6"/>
  <c r="AH104" i="6" s="1"/>
  <c r="AI104" i="6" s="1"/>
  <c r="AD105" i="6"/>
  <c r="AE105" i="6" s="1"/>
  <c r="AF105" i="6"/>
  <c r="AG105" i="6"/>
  <c r="AH105" i="6" s="1"/>
  <c r="AI105" i="6" s="1"/>
  <c r="AD106" i="6"/>
  <c r="AE106" i="6"/>
  <c r="AF106" i="6"/>
  <c r="AG106" i="6"/>
  <c r="AH106" i="6" s="1"/>
  <c r="AI106" i="6" s="1"/>
  <c r="AD107" i="6"/>
  <c r="AE107" i="6" s="1"/>
  <c r="AF107" i="6"/>
  <c r="AG107" i="6"/>
  <c r="AH107" i="6" s="1"/>
  <c r="AI107" i="6" s="1"/>
  <c r="AD108" i="6"/>
  <c r="AE108" i="6" s="1"/>
  <c r="AF108" i="6"/>
  <c r="AG108" i="6"/>
  <c r="AH108" i="6" s="1"/>
  <c r="AI108" i="6" s="1"/>
  <c r="AD109" i="6"/>
  <c r="AE109" i="6" s="1"/>
  <c r="AF109" i="6"/>
  <c r="AG109" i="6"/>
  <c r="AH109" i="6" s="1"/>
  <c r="AI109" i="6" s="1"/>
  <c r="AD110" i="6"/>
  <c r="AE110" i="6" s="1"/>
  <c r="AF110" i="6"/>
  <c r="AG110" i="6"/>
  <c r="AH110" i="6" s="1"/>
  <c r="AI110" i="6" s="1"/>
  <c r="AD111" i="6"/>
  <c r="AE111" i="6" s="1"/>
  <c r="AF111" i="6"/>
  <c r="AG111" i="6"/>
  <c r="AH111" i="6" s="1"/>
  <c r="AI111" i="6" s="1"/>
  <c r="AD112" i="6"/>
  <c r="AE112" i="6"/>
  <c r="AF112" i="6"/>
  <c r="AG112" i="6"/>
  <c r="AH112" i="6" s="1"/>
  <c r="AI112" i="6" s="1"/>
  <c r="AD113" i="6"/>
  <c r="AE113" i="6" s="1"/>
  <c r="AF113" i="6"/>
  <c r="AG113" i="6"/>
  <c r="AH113" i="6" s="1"/>
  <c r="AI113" i="6" s="1"/>
  <c r="AD114" i="6"/>
  <c r="AE114" i="6"/>
  <c r="AF114" i="6"/>
  <c r="AG114" i="6"/>
  <c r="AH114" i="6" s="1"/>
  <c r="AI114" i="6" s="1"/>
  <c r="AD115" i="6"/>
  <c r="AE115" i="6" s="1"/>
  <c r="AF115" i="6"/>
  <c r="AG115" i="6"/>
  <c r="AH115" i="6" s="1"/>
  <c r="AI115" i="6" s="1"/>
  <c r="AD116" i="6"/>
  <c r="AE116" i="6" s="1"/>
  <c r="AF116" i="6"/>
  <c r="AG116" i="6"/>
  <c r="AH116" i="6" s="1"/>
  <c r="AI116" i="6" s="1"/>
  <c r="AD117" i="6"/>
  <c r="AE117" i="6" s="1"/>
  <c r="AF117" i="6"/>
  <c r="AG117" i="6"/>
  <c r="AH117" i="6" s="1"/>
  <c r="AI117" i="6" s="1"/>
  <c r="AJ117" i="6"/>
  <c r="AK117" i="6" s="1"/>
  <c r="AD118" i="6"/>
  <c r="AE118" i="6"/>
  <c r="AF118" i="6"/>
  <c r="AG118" i="6"/>
  <c r="AH118" i="6" s="1"/>
  <c r="AI118" i="6" s="1"/>
  <c r="AD119" i="6"/>
  <c r="AE119" i="6" s="1"/>
  <c r="AF119" i="6"/>
  <c r="AG119" i="6"/>
  <c r="AH119" i="6" s="1"/>
  <c r="AI119" i="6" s="1"/>
  <c r="AD120" i="6"/>
  <c r="AE120" i="6"/>
  <c r="AF120" i="6"/>
  <c r="AG120" i="6"/>
  <c r="AH120" i="6" s="1"/>
  <c r="AI120" i="6" s="1"/>
  <c r="AD121" i="6"/>
  <c r="AE121" i="6" s="1"/>
  <c r="AF121" i="6"/>
  <c r="AG121" i="6"/>
  <c r="AH121" i="6" s="1"/>
  <c r="AI121" i="6" s="1"/>
  <c r="AD122" i="6"/>
  <c r="AE122" i="6" s="1"/>
  <c r="AF122" i="6"/>
  <c r="AG122" i="6"/>
  <c r="AH122" i="6" s="1"/>
  <c r="AI122" i="6" s="1"/>
  <c r="AD123" i="6"/>
  <c r="AE123" i="6" s="1"/>
  <c r="AF123" i="6"/>
  <c r="AG123" i="6"/>
  <c r="AH123" i="6" s="1"/>
  <c r="AI123" i="6" s="1"/>
  <c r="AJ123" i="6"/>
  <c r="AK123" i="6" s="1"/>
  <c r="AD124" i="6"/>
  <c r="AE124" i="6"/>
  <c r="AF124" i="6"/>
  <c r="AG124" i="6"/>
  <c r="AH124" i="6" s="1"/>
  <c r="AI124" i="6" s="1"/>
  <c r="AD125" i="6"/>
  <c r="AE125" i="6" s="1"/>
  <c r="AF125" i="6"/>
  <c r="AG125" i="6"/>
  <c r="AH125" i="6" s="1"/>
  <c r="AI125" i="6" s="1"/>
  <c r="AD126" i="6"/>
  <c r="AE126" i="6" s="1"/>
  <c r="AF126" i="6"/>
  <c r="AG126" i="6"/>
  <c r="AH126" i="6" s="1"/>
  <c r="AI126" i="6" s="1"/>
  <c r="AD127" i="6"/>
  <c r="AE127" i="6" s="1"/>
  <c r="AF127" i="6"/>
  <c r="AG127" i="6"/>
  <c r="AH127" i="6" s="1"/>
  <c r="AI127" i="6" s="1"/>
  <c r="AD128" i="6"/>
  <c r="AE128" i="6" s="1"/>
  <c r="AF128" i="6"/>
  <c r="AG128" i="6"/>
  <c r="AH128" i="6" s="1"/>
  <c r="AI128" i="6" s="1"/>
  <c r="AD129" i="6"/>
  <c r="AE129" i="6" s="1"/>
  <c r="AF129" i="6"/>
  <c r="AG129" i="6"/>
  <c r="AH129" i="6" s="1"/>
  <c r="AI129" i="6" s="1"/>
  <c r="AD130" i="6"/>
  <c r="AE130" i="6"/>
  <c r="AF130" i="6"/>
  <c r="AG130" i="6"/>
  <c r="AH130" i="6" s="1"/>
  <c r="AI130" i="6" s="1"/>
  <c r="AD131" i="6"/>
  <c r="AE131" i="6" s="1"/>
  <c r="AF131" i="6"/>
  <c r="AG131" i="6"/>
  <c r="AH131" i="6" s="1"/>
  <c r="AI131" i="6" s="1"/>
  <c r="AD132" i="6"/>
  <c r="AE132" i="6"/>
  <c r="AF132" i="6"/>
  <c r="AG132" i="6"/>
  <c r="AH132" i="6" s="1"/>
  <c r="AI132" i="6" s="1"/>
  <c r="AD133" i="6"/>
  <c r="AE133" i="6" s="1"/>
  <c r="AF133" i="6"/>
  <c r="AG133" i="6"/>
  <c r="AH133" i="6" s="1"/>
  <c r="AI133" i="6" s="1"/>
  <c r="AD134" i="6"/>
  <c r="AE134" i="6" s="1"/>
  <c r="AF134" i="6"/>
  <c r="AG134" i="6"/>
  <c r="AH134" i="6" s="1"/>
  <c r="AI134" i="6" s="1"/>
  <c r="AD135" i="6"/>
  <c r="AE135" i="6" s="1"/>
  <c r="AF135" i="6"/>
  <c r="AG135" i="6"/>
  <c r="AH135" i="6" s="1"/>
  <c r="AI135" i="6" s="1"/>
  <c r="AD136" i="6"/>
  <c r="AE136" i="6" s="1"/>
  <c r="AF136" i="6"/>
  <c r="AG136" i="6"/>
  <c r="AH136" i="6" s="1"/>
  <c r="AI136" i="6" s="1"/>
  <c r="AD137" i="6"/>
  <c r="AE137" i="6" s="1"/>
  <c r="AF137" i="6"/>
  <c r="AG137" i="6"/>
  <c r="AH137" i="6" s="1"/>
  <c r="AI137" i="6" s="1"/>
  <c r="AD138" i="6"/>
  <c r="AE138" i="6"/>
  <c r="AF138" i="6"/>
  <c r="AG138" i="6"/>
  <c r="AH138" i="6" s="1"/>
  <c r="AI138" i="6" s="1"/>
  <c r="AD139" i="6"/>
  <c r="AE139" i="6" s="1"/>
  <c r="AF139" i="6"/>
  <c r="AG139" i="6"/>
  <c r="AH139" i="6" s="1"/>
  <c r="AI139" i="6" s="1"/>
  <c r="AD140" i="6"/>
  <c r="AE140" i="6"/>
  <c r="AF140" i="6"/>
  <c r="AG140" i="6"/>
  <c r="AH140" i="6" s="1"/>
  <c r="AI140" i="6" s="1"/>
  <c r="AD141" i="6"/>
  <c r="AE141" i="6" s="1"/>
  <c r="AF141" i="6"/>
  <c r="AG141" i="6"/>
  <c r="AH141" i="6" s="1"/>
  <c r="AI141" i="6" s="1"/>
  <c r="AD142" i="6"/>
  <c r="AE142" i="6" s="1"/>
  <c r="AF142" i="6"/>
  <c r="AG142" i="6"/>
  <c r="AH142" i="6" s="1"/>
  <c r="AI142" i="6" s="1"/>
  <c r="AD143" i="6"/>
  <c r="AE143" i="6" s="1"/>
  <c r="AF143" i="6"/>
  <c r="AG143" i="6"/>
  <c r="AH143" i="6" s="1"/>
  <c r="AI143" i="6" s="1"/>
  <c r="AJ143" i="6"/>
  <c r="AK143" i="6" s="1"/>
  <c r="AD144" i="6"/>
  <c r="AE144" i="6"/>
  <c r="AF144" i="6"/>
  <c r="AG144" i="6"/>
  <c r="AH144" i="6" s="1"/>
  <c r="AI144" i="6" s="1"/>
  <c r="AD145" i="6"/>
  <c r="AE145" i="6" s="1"/>
  <c r="AF145" i="6"/>
  <c r="AG145" i="6"/>
  <c r="AH145" i="6" s="1"/>
  <c r="AI145" i="6" s="1"/>
  <c r="AD146" i="6"/>
  <c r="AE146" i="6" s="1"/>
  <c r="AF146" i="6"/>
  <c r="AG146" i="6"/>
  <c r="AD147" i="6"/>
  <c r="AE147" i="6" s="1"/>
  <c r="AF147" i="6"/>
  <c r="AG147" i="6"/>
  <c r="AH147" i="6" s="1"/>
  <c r="AI147" i="6" s="1"/>
  <c r="AD148" i="6"/>
  <c r="AE148" i="6"/>
  <c r="AF148" i="6"/>
  <c r="AG148" i="6"/>
  <c r="AD149" i="6"/>
  <c r="AE149" i="6" s="1"/>
  <c r="AF149" i="6"/>
  <c r="AG149" i="6"/>
  <c r="AH149" i="6" s="1"/>
  <c r="AI149" i="6" s="1"/>
  <c r="AD150" i="6"/>
  <c r="AE150" i="6" s="1"/>
  <c r="AF150" i="6"/>
  <c r="AG150" i="6"/>
  <c r="AD151" i="6"/>
  <c r="AE151" i="6" s="1"/>
  <c r="AF151" i="6"/>
  <c r="AG151" i="6"/>
  <c r="AH151" i="6" s="1"/>
  <c r="AI151" i="6" s="1"/>
  <c r="AD152" i="6"/>
  <c r="AE152" i="6"/>
  <c r="AF152" i="6"/>
  <c r="AG152" i="6"/>
  <c r="AD153" i="6"/>
  <c r="AE153" i="6" s="1"/>
  <c r="AF153" i="6"/>
  <c r="AG153" i="6"/>
  <c r="AH153" i="6" s="1"/>
  <c r="AI153" i="6" s="1"/>
  <c r="AD154" i="6"/>
  <c r="AE154" i="6"/>
  <c r="AF154" i="6"/>
  <c r="AG154" i="6"/>
  <c r="AD155" i="6"/>
  <c r="AE155" i="6" s="1"/>
  <c r="AF155" i="6"/>
  <c r="AG155" i="6"/>
  <c r="AH155" i="6" s="1"/>
  <c r="AI155" i="6" s="1"/>
  <c r="AD156" i="6"/>
  <c r="AE156" i="6" s="1"/>
  <c r="AF156" i="6"/>
  <c r="AG156" i="6"/>
  <c r="AH156" i="6" s="1"/>
  <c r="AI156" i="6" s="1"/>
  <c r="AD157" i="6"/>
  <c r="AE157" i="6" s="1"/>
  <c r="AF157" i="6"/>
  <c r="AG157" i="6"/>
  <c r="AH157" i="6" s="1"/>
  <c r="AI157" i="6" s="1"/>
  <c r="AD158" i="6"/>
  <c r="AE158" i="6" s="1"/>
  <c r="AF158" i="6"/>
  <c r="AG158" i="6"/>
  <c r="AH158" i="6" s="1"/>
  <c r="AI158" i="6" s="1"/>
  <c r="AD159" i="6"/>
  <c r="AE159" i="6" s="1"/>
  <c r="AF159" i="6"/>
  <c r="AG159" i="6"/>
  <c r="AH159" i="6" s="1"/>
  <c r="AI159" i="6" s="1"/>
  <c r="AD160" i="6"/>
  <c r="AE160" i="6"/>
  <c r="AF160" i="6"/>
  <c r="AG160" i="6"/>
  <c r="AH160" i="6" s="1"/>
  <c r="AI160" i="6" s="1"/>
  <c r="AD161" i="6"/>
  <c r="AE161" i="6" s="1"/>
  <c r="AF161" i="6"/>
  <c r="AG161" i="6"/>
  <c r="AD162" i="6"/>
  <c r="AE162" i="6" s="1"/>
  <c r="AF162" i="6"/>
  <c r="AG162" i="6"/>
  <c r="AH162" i="6" s="1"/>
  <c r="AI162" i="6" s="1"/>
  <c r="AD163" i="6"/>
  <c r="AE163" i="6" s="1"/>
  <c r="AF163" i="6"/>
  <c r="AG163" i="6"/>
  <c r="AH163" i="6" s="1"/>
  <c r="AI163" i="6" s="1"/>
  <c r="AJ163" i="6"/>
  <c r="AK163" i="6" s="1"/>
  <c r="AD164" i="6"/>
  <c r="AE164" i="6"/>
  <c r="AF164" i="6"/>
  <c r="AG164" i="6"/>
  <c r="AH164" i="6" s="1"/>
  <c r="AI164" i="6" s="1"/>
  <c r="AD165" i="6"/>
  <c r="AE165" i="6" s="1"/>
  <c r="AF165" i="6"/>
  <c r="AG165" i="6"/>
  <c r="AH165" i="6" s="1"/>
  <c r="AI165" i="6" s="1"/>
  <c r="AD166" i="6"/>
  <c r="AE166" i="6"/>
  <c r="AF166" i="6"/>
  <c r="AG166" i="6"/>
  <c r="AH166" i="6" s="1"/>
  <c r="AI166" i="6" s="1"/>
  <c r="AD167" i="6"/>
  <c r="AE167" i="6" s="1"/>
  <c r="AF167" i="6"/>
  <c r="AG167" i="6"/>
  <c r="AH167" i="6" s="1"/>
  <c r="AI167" i="6" s="1"/>
  <c r="AD168" i="6"/>
  <c r="AE168" i="6" s="1"/>
  <c r="AF168" i="6"/>
  <c r="AG168" i="6"/>
  <c r="AH168" i="6" s="1"/>
  <c r="AI168" i="6" s="1"/>
  <c r="AD169" i="6"/>
  <c r="AE169" i="6" s="1"/>
  <c r="AF169" i="6"/>
  <c r="AG169" i="6"/>
  <c r="AH169" i="6" s="1"/>
  <c r="AI169" i="6" s="1"/>
  <c r="AJ169" i="6"/>
  <c r="AK169" i="6" s="1"/>
  <c r="AD170" i="6"/>
  <c r="AE170" i="6"/>
  <c r="AF170" i="6"/>
  <c r="AG170" i="6"/>
  <c r="AH170" i="6" s="1"/>
  <c r="AI170" i="6" s="1"/>
  <c r="AD171" i="6"/>
  <c r="AE171" i="6" s="1"/>
  <c r="AF171" i="6"/>
  <c r="AG171" i="6"/>
  <c r="AH171" i="6" s="1"/>
  <c r="AI171" i="6" s="1"/>
  <c r="AD172" i="6"/>
  <c r="AE172" i="6"/>
  <c r="AF172" i="6"/>
  <c r="AG172" i="6"/>
  <c r="AH172" i="6" s="1"/>
  <c r="AI172" i="6" s="1"/>
  <c r="AD173" i="6"/>
  <c r="AE173" i="6" s="1"/>
  <c r="AF173" i="6"/>
  <c r="AG173" i="6"/>
  <c r="AH173" i="6" s="1"/>
  <c r="AI173" i="6" s="1"/>
  <c r="AD174" i="6"/>
  <c r="AE174" i="6" s="1"/>
  <c r="AF174" i="6"/>
  <c r="AG174" i="6"/>
  <c r="AH174" i="6" s="1"/>
  <c r="AI174" i="6" s="1"/>
  <c r="AD175" i="6"/>
  <c r="AE175" i="6" s="1"/>
  <c r="AF175" i="6"/>
  <c r="AG175" i="6"/>
  <c r="AH175" i="6" s="1"/>
  <c r="AI175" i="6" s="1"/>
  <c r="AD176" i="6"/>
  <c r="AE176" i="6" s="1"/>
  <c r="AF176" i="6"/>
  <c r="AG176" i="6"/>
  <c r="AH176" i="6" s="1"/>
  <c r="AI176" i="6" s="1"/>
  <c r="AD177" i="6"/>
  <c r="AE177" i="6" s="1"/>
  <c r="AF177" i="6"/>
  <c r="AG177" i="6"/>
  <c r="AH177" i="6" s="1"/>
  <c r="AI177" i="6" s="1"/>
  <c r="AD178" i="6"/>
  <c r="AE178" i="6"/>
  <c r="AF178" i="6"/>
  <c r="AG178" i="6"/>
  <c r="AH178" i="6" s="1"/>
  <c r="AI178" i="6" s="1"/>
  <c r="AD179" i="6"/>
  <c r="AE179" i="6" s="1"/>
  <c r="AF179" i="6"/>
  <c r="AG179" i="6"/>
  <c r="AH179" i="6" s="1"/>
  <c r="AI179" i="6" s="1"/>
  <c r="AD180" i="6"/>
  <c r="AE180" i="6" s="1"/>
  <c r="AF180" i="6"/>
  <c r="AG180" i="6"/>
  <c r="AH180" i="6" s="1"/>
  <c r="AI180" i="6" s="1"/>
  <c r="AD181" i="6"/>
  <c r="AE181" i="6" s="1"/>
  <c r="AF181" i="6"/>
  <c r="AG181" i="6"/>
  <c r="AH181" i="6" s="1"/>
  <c r="AI181" i="6" s="1"/>
  <c r="AD182" i="6"/>
  <c r="AE182" i="6"/>
  <c r="AF182" i="6"/>
  <c r="AG182" i="6"/>
  <c r="AH182" i="6" s="1"/>
  <c r="AI182" i="6" s="1"/>
  <c r="AD183" i="6"/>
  <c r="AE183" i="6" s="1"/>
  <c r="AF183" i="6"/>
  <c r="AG183" i="6"/>
  <c r="AH183" i="6" s="1"/>
  <c r="AI183" i="6" s="1"/>
  <c r="AD184" i="6"/>
  <c r="AE184" i="6" s="1"/>
  <c r="AF184" i="6"/>
  <c r="AG184" i="6"/>
  <c r="AH184" i="6" s="1"/>
  <c r="AI184" i="6" s="1"/>
  <c r="AD185" i="6"/>
  <c r="AE185" i="6" s="1"/>
  <c r="AF185" i="6"/>
  <c r="AG185" i="6"/>
  <c r="AH185" i="6" s="1"/>
  <c r="AI185" i="6" s="1"/>
  <c r="AD186" i="6"/>
  <c r="AE186" i="6" s="1"/>
  <c r="AF186" i="6"/>
  <c r="AG186" i="6"/>
  <c r="AH186" i="6" s="1"/>
  <c r="AI186" i="6" s="1"/>
  <c r="AD187" i="6"/>
  <c r="AE187" i="6" s="1"/>
  <c r="AF187" i="6"/>
  <c r="AG187" i="6"/>
  <c r="AH187" i="6" s="1"/>
  <c r="AI187" i="6" s="1"/>
  <c r="AD188" i="6"/>
  <c r="AE188" i="6"/>
  <c r="AF188" i="6"/>
  <c r="AG188" i="6"/>
  <c r="AH188" i="6" s="1"/>
  <c r="AI188" i="6" s="1"/>
  <c r="AD189" i="6"/>
  <c r="AE189" i="6" s="1"/>
  <c r="AF189" i="6"/>
  <c r="AG189" i="6"/>
  <c r="AH189" i="6" s="1"/>
  <c r="AI189" i="6" s="1"/>
  <c r="AD190" i="6"/>
  <c r="AE190" i="6" s="1"/>
  <c r="AF190" i="6"/>
  <c r="AG190" i="6"/>
  <c r="AH190" i="6" s="1"/>
  <c r="AI190" i="6" s="1"/>
  <c r="AD191" i="6"/>
  <c r="AE191" i="6" s="1"/>
  <c r="AF191" i="6"/>
  <c r="AG191" i="6"/>
  <c r="AH191" i="6" s="1"/>
  <c r="AI191" i="6" s="1"/>
  <c r="AJ191" i="6"/>
  <c r="AK191" i="6" s="1"/>
  <c r="AD192" i="6"/>
  <c r="AE192" i="6" s="1"/>
  <c r="AF192" i="6"/>
  <c r="AG192" i="6"/>
  <c r="AH192" i="6" s="1"/>
  <c r="AI192" i="6" s="1"/>
  <c r="AD193" i="6"/>
  <c r="AE193" i="6" s="1"/>
  <c r="AF193" i="6"/>
  <c r="AG193" i="6"/>
  <c r="AH193" i="6" s="1"/>
  <c r="AI193" i="6" s="1"/>
  <c r="AJ193" i="6"/>
  <c r="AK193" i="6" s="1"/>
  <c r="AD194" i="6"/>
  <c r="AE194" i="6" s="1"/>
  <c r="AF194" i="6"/>
  <c r="AG194" i="6"/>
  <c r="AH194" i="6" s="1"/>
  <c r="AI194" i="6" s="1"/>
  <c r="AD195" i="6"/>
  <c r="AE195" i="6" s="1"/>
  <c r="AF195" i="6"/>
  <c r="AG195" i="6"/>
  <c r="AH195" i="6" s="1"/>
  <c r="AI195" i="6" s="1"/>
  <c r="AD196" i="6"/>
  <c r="AE196" i="6"/>
  <c r="AF196" i="6"/>
  <c r="AG196" i="6"/>
  <c r="AH196" i="6" s="1"/>
  <c r="AI196" i="6" s="1"/>
  <c r="AD197" i="6"/>
  <c r="AE197" i="6" s="1"/>
  <c r="AF197" i="6"/>
  <c r="AG197" i="6"/>
  <c r="AH197" i="6" s="1"/>
  <c r="AI197" i="6" s="1"/>
  <c r="AD198" i="6"/>
  <c r="AE198" i="6" s="1"/>
  <c r="AF198" i="6"/>
  <c r="AG198" i="6"/>
  <c r="AH198" i="6" s="1"/>
  <c r="AI198" i="6" s="1"/>
  <c r="AD199" i="6"/>
  <c r="AE199" i="6" s="1"/>
  <c r="AF199" i="6"/>
  <c r="AG199" i="6"/>
  <c r="AH199" i="6" s="1"/>
  <c r="AI199" i="6" s="1"/>
  <c r="AD200" i="6"/>
  <c r="AE200" i="6"/>
  <c r="AF200" i="6"/>
  <c r="AG200" i="6"/>
  <c r="AH200" i="6" s="1"/>
  <c r="AI200" i="6" s="1"/>
  <c r="AD201" i="6"/>
  <c r="AE201" i="6" s="1"/>
  <c r="AF201" i="6"/>
  <c r="AG201" i="6"/>
  <c r="AH201" i="6" s="1"/>
  <c r="AI201" i="6" s="1"/>
  <c r="AD202" i="6"/>
  <c r="AE202" i="6" s="1"/>
  <c r="AF202" i="6"/>
  <c r="AG202" i="6"/>
  <c r="AH202" i="6" s="1"/>
  <c r="AI202" i="6" s="1"/>
  <c r="AD203" i="6"/>
  <c r="AE203" i="6" s="1"/>
  <c r="AF203" i="6"/>
  <c r="AG203" i="6"/>
  <c r="AH203" i="6" s="1"/>
  <c r="AI203" i="6" s="1"/>
  <c r="AD204" i="6"/>
  <c r="AE204" i="6"/>
  <c r="AF204" i="6"/>
  <c r="AG204" i="6"/>
  <c r="AH204" i="6" s="1"/>
  <c r="AI204" i="6" s="1"/>
  <c r="AD205" i="6"/>
  <c r="AE205" i="6" s="1"/>
  <c r="AF205" i="6"/>
  <c r="AG205" i="6"/>
  <c r="AH205" i="6" s="1"/>
  <c r="AI205" i="6" s="1"/>
  <c r="AD206" i="6"/>
  <c r="AE206" i="6" s="1"/>
  <c r="AF206" i="6"/>
  <c r="AG206" i="6"/>
  <c r="AH206" i="6" s="1"/>
  <c r="AI206" i="6" s="1"/>
  <c r="AD207" i="6"/>
  <c r="AE207" i="6" s="1"/>
  <c r="AF207" i="6"/>
  <c r="AG207" i="6"/>
  <c r="AH207" i="6" s="1"/>
  <c r="AI207" i="6" s="1"/>
  <c r="AD208" i="6"/>
  <c r="AE208" i="6"/>
  <c r="AF208" i="6"/>
  <c r="AG208" i="6"/>
  <c r="AH208" i="6" s="1"/>
  <c r="AI208" i="6" s="1"/>
  <c r="AD209" i="6"/>
  <c r="AE209" i="6" s="1"/>
  <c r="AF209" i="6"/>
  <c r="AG209" i="6"/>
  <c r="AH209" i="6" s="1"/>
  <c r="AI209" i="6" s="1"/>
  <c r="AD210" i="6"/>
  <c r="AE210" i="6" s="1"/>
  <c r="AF210" i="6"/>
  <c r="AG210" i="6"/>
  <c r="AH210" i="6" s="1"/>
  <c r="AI210" i="6" s="1"/>
  <c r="AD211" i="6"/>
  <c r="AE211" i="6" s="1"/>
  <c r="AF211" i="6"/>
  <c r="AG211" i="6"/>
  <c r="AH211" i="6" s="1"/>
  <c r="AI211" i="6" s="1"/>
  <c r="AD212" i="6"/>
  <c r="AE212" i="6"/>
  <c r="AF212" i="6"/>
  <c r="AG212" i="6"/>
  <c r="AH212" i="6" s="1"/>
  <c r="AI212" i="6" s="1"/>
  <c r="AD213" i="6"/>
  <c r="AE213" i="6" s="1"/>
  <c r="AF213" i="6"/>
  <c r="AG213" i="6"/>
  <c r="AH213" i="6" s="1"/>
  <c r="AI213" i="6" s="1"/>
  <c r="AD214" i="6"/>
  <c r="AE214" i="6"/>
  <c r="AF214" i="6"/>
  <c r="AG214" i="6"/>
  <c r="AH214" i="6" s="1"/>
  <c r="AI214" i="6" s="1"/>
  <c r="AD215" i="6"/>
  <c r="AE215" i="6" s="1"/>
  <c r="AF215" i="6"/>
  <c r="AG215" i="6"/>
  <c r="AH215" i="6" s="1"/>
  <c r="AI215" i="6" s="1"/>
  <c r="AD216" i="6"/>
  <c r="AE216" i="6" s="1"/>
  <c r="AF216" i="6"/>
  <c r="AG216" i="6"/>
  <c r="AH216" i="6" s="1"/>
  <c r="AI216" i="6" s="1"/>
  <c r="AD217" i="6"/>
  <c r="AE217" i="6" s="1"/>
  <c r="AF217" i="6"/>
  <c r="AG217" i="6"/>
  <c r="AH217" i="6" s="1"/>
  <c r="AI217" i="6" s="1"/>
  <c r="AD218" i="6"/>
  <c r="AE218" i="6"/>
  <c r="AF218" i="6"/>
  <c r="AG218" i="6"/>
  <c r="AH218" i="6" s="1"/>
  <c r="AI218" i="6" s="1"/>
  <c r="AD219" i="6"/>
  <c r="AE219" i="6" s="1"/>
  <c r="AF219" i="6"/>
  <c r="AG219" i="6"/>
  <c r="AH219" i="6" s="1"/>
  <c r="AI219" i="6" s="1"/>
  <c r="AD220" i="6"/>
  <c r="AE220" i="6" s="1"/>
  <c r="AF220" i="6"/>
  <c r="AG220" i="6"/>
  <c r="AH220" i="6" s="1"/>
  <c r="AI220" i="6" s="1"/>
  <c r="AD221" i="6"/>
  <c r="AE221" i="6" s="1"/>
  <c r="AF221" i="6"/>
  <c r="AG221" i="6"/>
  <c r="AH221" i="6" s="1"/>
  <c r="AI221" i="6" s="1"/>
  <c r="AD222" i="6"/>
  <c r="AE222" i="6"/>
  <c r="AF222" i="6"/>
  <c r="AG222" i="6"/>
  <c r="AH222" i="6" s="1"/>
  <c r="AI222" i="6" s="1"/>
  <c r="AD223" i="6"/>
  <c r="AE223" i="6" s="1"/>
  <c r="AF223" i="6"/>
  <c r="AG223" i="6"/>
  <c r="AH223" i="6" s="1"/>
  <c r="AI223" i="6" s="1"/>
  <c r="AD224" i="6"/>
  <c r="AE224" i="6" s="1"/>
  <c r="AF224" i="6"/>
  <c r="AG224" i="6"/>
  <c r="AH224" i="6" s="1"/>
  <c r="AI224" i="6" s="1"/>
  <c r="AD225" i="6"/>
  <c r="AE225" i="6" s="1"/>
  <c r="AF225" i="6"/>
  <c r="AG225" i="6"/>
  <c r="AH225" i="6" s="1"/>
  <c r="AI225" i="6" s="1"/>
  <c r="AD226" i="6"/>
  <c r="AE226" i="6"/>
  <c r="AF226" i="6"/>
  <c r="AG226" i="6"/>
  <c r="AH226" i="6" s="1"/>
  <c r="AI226" i="6" s="1"/>
  <c r="AD227" i="6"/>
  <c r="AE227" i="6" s="1"/>
  <c r="AF227" i="6"/>
  <c r="AG227" i="6"/>
  <c r="AH227" i="6" s="1"/>
  <c r="AI227" i="6" s="1"/>
  <c r="AD228" i="6"/>
  <c r="AE228" i="6" s="1"/>
  <c r="AF228" i="6"/>
  <c r="AG228" i="6"/>
  <c r="AH228" i="6" s="1"/>
  <c r="AI228" i="6" s="1"/>
  <c r="AD229" i="6"/>
  <c r="AE229" i="6" s="1"/>
  <c r="AF229" i="6"/>
  <c r="AG229" i="6"/>
  <c r="AH229" i="6" s="1"/>
  <c r="AI229" i="6" s="1"/>
  <c r="AD230" i="6"/>
  <c r="AE230" i="6"/>
  <c r="AF230" i="6"/>
  <c r="AG230" i="6"/>
  <c r="AH230" i="6" s="1"/>
  <c r="AI230" i="6" s="1"/>
  <c r="AD231" i="6"/>
  <c r="AE231" i="6" s="1"/>
  <c r="AF231" i="6"/>
  <c r="AG231" i="6"/>
  <c r="AH231" i="6" s="1"/>
  <c r="AI231" i="6" s="1"/>
  <c r="AD232" i="6"/>
  <c r="AE232" i="6" s="1"/>
  <c r="AF232" i="6"/>
  <c r="AG232" i="6"/>
  <c r="AD233" i="6"/>
  <c r="AE233" i="6" s="1"/>
  <c r="AF233" i="6"/>
  <c r="AG233" i="6"/>
  <c r="AH233" i="6" s="1"/>
  <c r="AI233" i="6" s="1"/>
  <c r="AD234" i="6"/>
  <c r="AE234" i="6"/>
  <c r="AF234" i="6"/>
  <c r="AG234" i="6"/>
  <c r="AD235" i="6"/>
  <c r="AE235" i="6" s="1"/>
  <c r="AF235" i="6"/>
  <c r="AG235" i="6"/>
  <c r="AH235" i="6" s="1"/>
  <c r="AI235" i="6" s="1"/>
  <c r="AD236" i="6"/>
  <c r="AE236" i="6" s="1"/>
  <c r="AF236" i="6"/>
  <c r="AG236" i="6"/>
  <c r="AD237" i="6"/>
  <c r="AE237" i="6" s="1"/>
  <c r="AF237" i="6"/>
  <c r="AG237" i="6"/>
  <c r="AH237" i="6" s="1"/>
  <c r="AI237" i="6" s="1"/>
  <c r="AD238" i="6"/>
  <c r="AE238" i="6"/>
  <c r="AF238" i="6"/>
  <c r="AG238" i="6"/>
  <c r="AD239" i="6"/>
  <c r="AE239" i="6" s="1"/>
  <c r="AF239" i="6"/>
  <c r="AG239" i="6"/>
  <c r="AH239" i="6" s="1"/>
  <c r="AI239" i="6" s="1"/>
  <c r="AD240" i="6"/>
  <c r="AE240" i="6" s="1"/>
  <c r="AF240" i="6"/>
  <c r="AG240" i="6"/>
  <c r="AD241" i="6"/>
  <c r="AE241" i="6" s="1"/>
  <c r="AF241" i="6"/>
  <c r="AG241" i="6"/>
  <c r="AH241" i="6" s="1"/>
  <c r="AI241" i="6" s="1"/>
  <c r="AD242" i="6"/>
  <c r="AE242" i="6"/>
  <c r="AF242" i="6"/>
  <c r="AG242" i="6"/>
  <c r="AD243" i="6"/>
  <c r="AE243" i="6" s="1"/>
  <c r="AF243" i="6"/>
  <c r="AG243" i="6"/>
  <c r="AH243" i="6" s="1"/>
  <c r="AI243" i="6" s="1"/>
  <c r="AD244" i="6"/>
  <c r="AE244" i="6" s="1"/>
  <c r="AF244" i="6"/>
  <c r="AG244" i="6"/>
  <c r="AD245" i="6"/>
  <c r="AE245" i="6" s="1"/>
  <c r="AF245" i="6"/>
  <c r="AG245" i="6"/>
  <c r="AH245" i="6" s="1"/>
  <c r="AI245" i="6" s="1"/>
  <c r="AD246" i="6"/>
  <c r="AE246" i="6"/>
  <c r="AF246" i="6"/>
  <c r="AG246" i="6"/>
  <c r="AD247" i="6"/>
  <c r="AE247" i="6" s="1"/>
  <c r="AF247" i="6"/>
  <c r="AG247" i="6"/>
  <c r="AH247" i="6" s="1"/>
  <c r="AI247" i="6" s="1"/>
  <c r="AD248" i="6"/>
  <c r="AE248" i="6" s="1"/>
  <c r="AF248" i="6"/>
  <c r="AG248" i="6"/>
  <c r="AD249" i="6"/>
  <c r="AE249" i="6" s="1"/>
  <c r="AF249" i="6"/>
  <c r="AG249" i="6"/>
  <c r="AH249" i="6" s="1"/>
  <c r="AI249" i="6" s="1"/>
  <c r="AD250" i="6"/>
  <c r="AE250" i="6"/>
  <c r="AF250" i="6"/>
  <c r="AG250" i="6"/>
  <c r="AD251" i="6"/>
  <c r="AE251" i="6" s="1"/>
  <c r="AF251" i="6"/>
  <c r="AG251" i="6"/>
  <c r="AH251" i="6" s="1"/>
  <c r="AI251" i="6" s="1"/>
  <c r="AD252" i="6"/>
  <c r="AE252" i="6" s="1"/>
  <c r="AF252" i="6"/>
  <c r="AG252" i="6"/>
  <c r="AD253" i="6"/>
  <c r="AE253" i="6" s="1"/>
  <c r="AF253" i="6"/>
  <c r="AG253" i="6"/>
  <c r="AH253" i="6" s="1"/>
  <c r="AI253" i="6" s="1"/>
  <c r="AD254" i="6"/>
  <c r="AE254" i="6"/>
  <c r="AF254" i="6"/>
  <c r="AG254" i="6"/>
  <c r="AD255" i="6"/>
  <c r="AE255" i="6" s="1"/>
  <c r="AF255" i="6"/>
  <c r="AG255" i="6"/>
  <c r="AH255" i="6" s="1"/>
  <c r="AI255" i="6" s="1"/>
  <c r="AD256" i="6"/>
  <c r="AE256" i="6" s="1"/>
  <c r="AF256" i="6"/>
  <c r="AG256" i="6"/>
  <c r="AH256" i="6" s="1"/>
  <c r="AI256" i="6" s="1"/>
  <c r="AD257" i="6"/>
  <c r="AE257" i="6" s="1"/>
  <c r="AF257" i="6"/>
  <c r="AG257" i="6"/>
  <c r="AH257" i="6" s="1"/>
  <c r="AI257" i="6" s="1"/>
  <c r="AD258" i="6"/>
  <c r="AE258" i="6" s="1"/>
  <c r="AF258" i="6"/>
  <c r="AG258" i="6"/>
  <c r="AH258" i="6" s="1"/>
  <c r="AI258" i="6" s="1"/>
  <c r="AD259" i="6"/>
  <c r="AE259" i="6"/>
  <c r="AF259" i="6"/>
  <c r="AG259" i="6"/>
  <c r="AH259" i="6" s="1"/>
  <c r="AI259" i="6" s="1"/>
  <c r="AD260" i="6"/>
  <c r="AE260" i="6" s="1"/>
  <c r="AF260" i="6"/>
  <c r="AG260" i="6"/>
  <c r="AH260" i="6" s="1"/>
  <c r="AI260" i="6" s="1"/>
  <c r="AD261" i="6"/>
  <c r="AE261" i="6" s="1"/>
  <c r="AF261" i="6"/>
  <c r="AG261" i="6"/>
  <c r="AH261" i="6" s="1"/>
  <c r="AI261" i="6" s="1"/>
  <c r="AD262" i="6"/>
  <c r="AE262" i="6" s="1"/>
  <c r="AF262" i="6"/>
  <c r="AG262" i="6"/>
  <c r="AH262" i="6" s="1"/>
  <c r="AI262" i="6" s="1"/>
  <c r="AD263" i="6"/>
  <c r="AE263" i="6"/>
  <c r="AF263" i="6"/>
  <c r="AG263" i="6"/>
  <c r="AH263" i="6" s="1"/>
  <c r="AI263" i="6" s="1"/>
  <c r="AD264" i="6"/>
  <c r="AE264" i="6" s="1"/>
  <c r="AF264" i="6"/>
  <c r="AG264" i="6"/>
  <c r="AH264" i="6" s="1"/>
  <c r="AI264" i="6" s="1"/>
  <c r="AD265" i="6"/>
  <c r="AE265" i="6" s="1"/>
  <c r="AF265" i="6"/>
  <c r="AG265" i="6"/>
  <c r="AH265" i="6" s="1"/>
  <c r="AI265" i="6" s="1"/>
  <c r="AD266" i="6"/>
  <c r="AE266" i="6" s="1"/>
  <c r="AF266" i="6"/>
  <c r="AG266" i="6"/>
  <c r="AH266" i="6" s="1"/>
  <c r="AI266" i="6" s="1"/>
  <c r="AD267" i="6"/>
  <c r="AE267" i="6"/>
  <c r="AF267" i="6"/>
  <c r="AG267" i="6"/>
  <c r="AH267" i="6" s="1"/>
  <c r="AI267" i="6" s="1"/>
  <c r="AD268" i="6"/>
  <c r="AE268" i="6" s="1"/>
  <c r="AF268" i="6"/>
  <c r="AG268" i="6"/>
  <c r="AH268" i="6" s="1"/>
  <c r="AI268" i="6" s="1"/>
  <c r="AD269" i="6"/>
  <c r="AE269" i="6" s="1"/>
  <c r="AF269" i="6"/>
  <c r="AG269" i="6"/>
  <c r="AH269" i="6" s="1"/>
  <c r="AI269" i="6" s="1"/>
  <c r="AD270" i="6"/>
  <c r="AE270" i="6" s="1"/>
  <c r="AF270" i="6"/>
  <c r="AG270" i="6"/>
  <c r="AH270" i="6" s="1"/>
  <c r="AI270" i="6" s="1"/>
  <c r="AD271" i="6"/>
  <c r="AE271" i="6"/>
  <c r="AF271" i="6"/>
  <c r="AG271" i="6"/>
  <c r="AH271" i="6" s="1"/>
  <c r="AI271" i="6" s="1"/>
  <c r="AD272" i="6"/>
  <c r="AE272" i="6" s="1"/>
  <c r="AF272" i="6"/>
  <c r="AG272" i="6"/>
  <c r="AH272" i="6" s="1"/>
  <c r="AI272" i="6" s="1"/>
  <c r="AD273" i="6"/>
  <c r="AE273" i="6" s="1"/>
  <c r="AF273" i="6"/>
  <c r="AG273" i="6"/>
  <c r="AH273" i="6" s="1"/>
  <c r="AI273" i="6" s="1"/>
  <c r="AD274" i="6"/>
  <c r="AE274" i="6" s="1"/>
  <c r="AF274" i="6"/>
  <c r="AG274" i="6"/>
  <c r="AH274" i="6" s="1"/>
  <c r="AI274" i="6" s="1"/>
  <c r="AD275" i="6"/>
  <c r="AE275" i="6"/>
  <c r="AF275" i="6"/>
  <c r="AG275" i="6"/>
  <c r="AH275" i="6" s="1"/>
  <c r="AI275" i="6" s="1"/>
  <c r="AD276" i="6"/>
  <c r="AE276" i="6" s="1"/>
  <c r="AF276" i="6"/>
  <c r="AG276" i="6"/>
  <c r="AH276" i="6" s="1"/>
  <c r="AI276" i="6" s="1"/>
  <c r="AD277" i="6"/>
  <c r="AE277" i="6" s="1"/>
  <c r="AF277" i="6"/>
  <c r="AG277" i="6"/>
  <c r="AH277" i="6" s="1"/>
  <c r="AI277" i="6" s="1"/>
  <c r="AD278" i="6"/>
  <c r="AE278" i="6" s="1"/>
  <c r="AF278" i="6"/>
  <c r="AG278" i="6"/>
  <c r="AH278" i="6" s="1"/>
  <c r="AI278" i="6" s="1"/>
  <c r="AD279" i="6"/>
  <c r="AE279" i="6"/>
  <c r="AF279" i="6"/>
  <c r="AG279" i="6"/>
  <c r="AH279" i="6" s="1"/>
  <c r="AI279" i="6" s="1"/>
  <c r="AD280" i="6"/>
  <c r="AE280" i="6" s="1"/>
  <c r="AF280" i="6"/>
  <c r="AG280" i="6"/>
  <c r="AH280" i="6" s="1"/>
  <c r="AI280" i="6" s="1"/>
  <c r="AD281" i="6"/>
  <c r="AE281" i="6" s="1"/>
  <c r="AF281" i="6"/>
  <c r="AG281" i="6"/>
  <c r="AH281" i="6" s="1"/>
  <c r="AI281" i="6" s="1"/>
  <c r="AD282" i="6"/>
  <c r="AE282" i="6" s="1"/>
  <c r="AF282" i="6"/>
  <c r="AG282" i="6"/>
  <c r="AJ282" i="6" s="1"/>
  <c r="AK282" i="6" s="1"/>
  <c r="AD283" i="6"/>
  <c r="AE283" i="6"/>
  <c r="AF283" i="6"/>
  <c r="AG283" i="6"/>
  <c r="AH283" i="6" s="1"/>
  <c r="AI283" i="6" s="1"/>
  <c r="AD7" i="6"/>
  <c r="AE7" i="6" s="1"/>
  <c r="AG7" i="6"/>
  <c r="AJ7" i="6" s="1"/>
  <c r="AK7" i="6" s="1"/>
  <c r="AF7" i="6"/>
  <c r="AA7" i="6"/>
  <c r="B25" i="8"/>
  <c r="C25" i="8"/>
  <c r="D25" i="8"/>
  <c r="E25" i="8"/>
  <c r="B26" i="8"/>
  <c r="C26" i="8"/>
  <c r="D26" i="8"/>
  <c r="E26" i="8"/>
  <c r="B28" i="8"/>
  <c r="C28" i="8"/>
  <c r="D28" i="8"/>
  <c r="E28" i="8"/>
  <c r="B30" i="8"/>
  <c r="C30" i="8"/>
  <c r="D30" i="8"/>
  <c r="E30" i="8"/>
  <c r="B31" i="8"/>
  <c r="C31" i="8"/>
  <c r="D31" i="8"/>
  <c r="E31" i="8"/>
  <c r="B32" i="8"/>
  <c r="C32" i="8"/>
  <c r="D32" i="8"/>
  <c r="E32" i="8"/>
  <c r="B33" i="8"/>
  <c r="C33" i="8"/>
  <c r="D33" i="8"/>
  <c r="E33" i="8"/>
  <c r="B34" i="8"/>
  <c r="C34" i="8"/>
  <c r="D34" i="8"/>
  <c r="E34" i="8"/>
  <c r="B35" i="8"/>
  <c r="C35" i="8"/>
  <c r="D35" i="8"/>
  <c r="E35" i="8"/>
  <c r="B37" i="8"/>
  <c r="C37" i="8"/>
  <c r="D37" i="8"/>
  <c r="E37" i="8"/>
  <c r="B38" i="8"/>
  <c r="C38" i="8"/>
  <c r="D38" i="8"/>
  <c r="E38" i="8"/>
  <c r="B39" i="8"/>
  <c r="C39" i="8"/>
  <c r="D39" i="8"/>
  <c r="E39" i="8"/>
  <c r="B40" i="8"/>
  <c r="C40" i="8"/>
  <c r="D40" i="8"/>
  <c r="E40" i="8"/>
  <c r="A40" i="8"/>
  <c r="G40" i="8" s="1"/>
  <c r="A39" i="8"/>
  <c r="G39" i="8" s="1"/>
  <c r="A38" i="8"/>
  <c r="G38" i="8" s="1"/>
  <c r="A37" i="8"/>
  <c r="G37" i="8" s="1"/>
  <c r="A35" i="8"/>
  <c r="G35" i="8" s="1"/>
  <c r="A34" i="8"/>
  <c r="G34" i="8" s="1"/>
  <c r="A33" i="8"/>
  <c r="G33" i="8" s="1"/>
  <c r="A32" i="8"/>
  <c r="G32" i="8" s="1"/>
  <c r="A31" i="8"/>
  <c r="G31" i="8" s="1"/>
  <c r="A30" i="8"/>
  <c r="G30" i="8" s="1"/>
  <c r="A28" i="8"/>
  <c r="G28" i="8" s="1"/>
  <c r="A26" i="8"/>
  <c r="G26" i="8" s="1"/>
  <c r="A25" i="8"/>
  <c r="G25" i="8" s="1"/>
  <c r="AH161" i="6" l="1"/>
  <c r="AI161" i="6" s="1"/>
  <c r="AJ161" i="6"/>
  <c r="AK161" i="6" s="1"/>
  <c r="AJ213" i="6"/>
  <c r="AK213" i="6" s="1"/>
  <c r="AJ149" i="6"/>
  <c r="AK149" i="6" s="1"/>
  <c r="AJ145" i="6"/>
  <c r="AK145" i="6" s="1"/>
  <c r="AJ76" i="6"/>
  <c r="AK76" i="6" s="1"/>
  <c r="AJ70" i="6"/>
  <c r="AK70" i="6" s="1"/>
  <c r="AJ60" i="6"/>
  <c r="AK60" i="6" s="1"/>
  <c r="AJ54" i="6"/>
  <c r="AK54" i="6" s="1"/>
  <c r="AJ44" i="6"/>
  <c r="AK44" i="6" s="1"/>
  <c r="AJ38" i="6"/>
  <c r="AK38" i="6" s="1"/>
  <c r="AJ28" i="6"/>
  <c r="AK28" i="6" s="1"/>
  <c r="AJ22" i="6"/>
  <c r="AK22" i="6" s="1"/>
  <c r="AJ12" i="6"/>
  <c r="AK12" i="6" s="1"/>
  <c r="AJ125" i="6"/>
  <c r="AK125" i="6" s="1"/>
  <c r="AJ95" i="6"/>
  <c r="AK95" i="6" s="1"/>
  <c r="AJ89" i="6"/>
  <c r="AK89" i="6" s="1"/>
  <c r="AJ72" i="6"/>
  <c r="AK72" i="6" s="1"/>
  <c r="AJ66" i="6"/>
  <c r="AK66" i="6" s="1"/>
  <c r="AJ56" i="6"/>
  <c r="AK56" i="6" s="1"/>
  <c r="AJ50" i="6"/>
  <c r="AK50" i="6" s="1"/>
  <c r="AJ40" i="6"/>
  <c r="AK40" i="6" s="1"/>
  <c r="AJ24" i="6"/>
  <c r="AK24" i="6" s="1"/>
  <c r="AJ18" i="6"/>
  <c r="AK18" i="6" s="1"/>
  <c r="AJ8" i="6"/>
  <c r="AK8" i="6" s="1"/>
  <c r="AJ78" i="6"/>
  <c r="AK78" i="6" s="1"/>
  <c r="AJ62" i="6"/>
  <c r="AK62" i="6" s="1"/>
  <c r="AJ46" i="6"/>
  <c r="AK46" i="6" s="1"/>
  <c r="AJ30" i="6"/>
  <c r="AK30" i="6" s="1"/>
  <c r="AJ14" i="6"/>
  <c r="AK14" i="6" s="1"/>
  <c r="AJ284" i="6"/>
  <c r="AK284" i="6" s="1"/>
  <c r="AH282" i="6"/>
  <c r="AI282" i="6" s="1"/>
  <c r="AJ278" i="6"/>
  <c r="AK278" i="6" s="1"/>
  <c r="AJ276" i="6"/>
  <c r="AK276" i="6" s="1"/>
  <c r="AJ274" i="6"/>
  <c r="AK274" i="6" s="1"/>
  <c r="AJ270" i="6"/>
  <c r="AK270" i="6" s="1"/>
  <c r="AJ268" i="6"/>
  <c r="AK268" i="6" s="1"/>
  <c r="AJ266" i="6"/>
  <c r="AK266" i="6" s="1"/>
  <c r="AJ262" i="6"/>
  <c r="AK262" i="6" s="1"/>
  <c r="AJ260" i="6"/>
  <c r="AK260" i="6" s="1"/>
  <c r="AJ258" i="6"/>
  <c r="AK258" i="6" s="1"/>
  <c r="AJ253" i="6"/>
  <c r="AK253" i="6" s="1"/>
  <c r="AJ251" i="6"/>
  <c r="AK251" i="6" s="1"/>
  <c r="AJ249" i="6"/>
  <c r="AK249" i="6" s="1"/>
  <c r="AJ247" i="6"/>
  <c r="AK247" i="6" s="1"/>
  <c r="AJ245" i="6"/>
  <c r="AK245" i="6" s="1"/>
  <c r="AJ241" i="6"/>
  <c r="AK241" i="6" s="1"/>
  <c r="AJ239" i="6"/>
  <c r="AK239" i="6" s="1"/>
  <c r="AJ237" i="6"/>
  <c r="AK237" i="6" s="1"/>
  <c r="AJ235" i="6"/>
  <c r="AK235" i="6" s="1"/>
  <c r="AJ233" i="6"/>
  <c r="AK233" i="6" s="1"/>
  <c r="AJ231" i="6"/>
  <c r="AK231" i="6" s="1"/>
  <c r="AJ229" i="6"/>
  <c r="AK229" i="6" s="1"/>
  <c r="AJ225" i="6"/>
  <c r="AK225" i="6" s="1"/>
  <c r="AJ223" i="6"/>
  <c r="AK223" i="6" s="1"/>
  <c r="AJ221" i="6"/>
  <c r="AK221" i="6" s="1"/>
  <c r="AJ217" i="6"/>
  <c r="AK217" i="6" s="1"/>
  <c r="AJ215" i="6"/>
  <c r="AK215" i="6" s="1"/>
  <c r="AJ209" i="6"/>
  <c r="AK209" i="6" s="1"/>
  <c r="AJ207" i="6"/>
  <c r="AK207" i="6" s="1"/>
  <c r="AJ205" i="6"/>
  <c r="AK205" i="6" s="1"/>
  <c r="AJ201" i="6"/>
  <c r="AK201" i="6" s="1"/>
  <c r="AJ199" i="6"/>
  <c r="AK199" i="6" s="1"/>
  <c r="AJ197" i="6"/>
  <c r="AK197" i="6" s="1"/>
  <c r="AJ189" i="6"/>
  <c r="AK189" i="6" s="1"/>
  <c r="AJ187" i="6"/>
  <c r="AK187" i="6" s="1"/>
  <c r="AJ185" i="6"/>
  <c r="AK185" i="6" s="1"/>
  <c r="AJ181" i="6"/>
  <c r="AK181" i="6" s="1"/>
  <c r="AJ179" i="6"/>
  <c r="AK179" i="6" s="1"/>
  <c r="AJ177" i="6"/>
  <c r="AK177" i="6" s="1"/>
  <c r="AJ173" i="6"/>
  <c r="AK173" i="6" s="1"/>
  <c r="AJ171" i="6"/>
  <c r="AK171" i="6" s="1"/>
  <c r="AJ165" i="6"/>
  <c r="AK165" i="6" s="1"/>
  <c r="AJ157" i="6"/>
  <c r="AK157" i="6" s="1"/>
  <c r="AJ155" i="6"/>
  <c r="AK155" i="6" s="1"/>
  <c r="AJ153" i="6"/>
  <c r="AK153" i="6" s="1"/>
  <c r="AJ151" i="6"/>
  <c r="AK151" i="6" s="1"/>
  <c r="AJ141" i="6"/>
  <c r="AK141" i="6" s="1"/>
  <c r="AJ139" i="6"/>
  <c r="AK139" i="6" s="1"/>
  <c r="AJ137" i="6"/>
  <c r="AK137" i="6" s="1"/>
  <c r="AJ133" i="6"/>
  <c r="AK133" i="6" s="1"/>
  <c r="AJ131" i="6"/>
  <c r="AK131" i="6" s="1"/>
  <c r="AJ129" i="6"/>
  <c r="AK129" i="6" s="1"/>
  <c r="AJ127" i="6"/>
  <c r="AK127" i="6" s="1"/>
  <c r="AJ121" i="6"/>
  <c r="AK121" i="6" s="1"/>
  <c r="AJ119" i="6"/>
  <c r="AK119" i="6" s="1"/>
  <c r="AJ115" i="6"/>
  <c r="AK115" i="6" s="1"/>
  <c r="AJ113" i="6"/>
  <c r="AK113" i="6" s="1"/>
  <c r="AJ111" i="6"/>
  <c r="AK111" i="6" s="1"/>
  <c r="AJ109" i="6"/>
  <c r="AK109" i="6" s="1"/>
  <c r="AJ107" i="6"/>
  <c r="AK107" i="6" s="1"/>
  <c r="AJ105" i="6"/>
  <c r="AK105" i="6" s="1"/>
  <c r="AJ101" i="6"/>
  <c r="AK101" i="6" s="1"/>
  <c r="AJ99" i="6"/>
  <c r="AK99" i="6" s="1"/>
  <c r="AJ93" i="6"/>
  <c r="AK93" i="6" s="1"/>
  <c r="AJ91" i="6"/>
  <c r="AK91" i="6" s="1"/>
  <c r="AJ85" i="6"/>
  <c r="AK85" i="6" s="1"/>
  <c r="AJ83" i="6"/>
  <c r="AK83" i="6" s="1"/>
  <c r="AJ280" i="6"/>
  <c r="AK280" i="6" s="1"/>
  <c r="AJ272" i="6"/>
  <c r="AK272" i="6" s="1"/>
  <c r="AJ264" i="6"/>
  <c r="AK264" i="6" s="1"/>
  <c r="AJ219" i="6"/>
  <c r="AK219" i="6" s="1"/>
  <c r="AJ211" i="6"/>
  <c r="AK211" i="6" s="1"/>
  <c r="AJ203" i="6"/>
  <c r="AK203" i="6" s="1"/>
  <c r="AJ183" i="6"/>
  <c r="AK183" i="6" s="1"/>
  <c r="AJ167" i="6"/>
  <c r="AK167" i="6" s="1"/>
  <c r="AJ159" i="6"/>
  <c r="AK159" i="6" s="1"/>
  <c r="AJ147" i="6"/>
  <c r="AK147" i="6" s="1"/>
  <c r="AJ135" i="6"/>
  <c r="AK135" i="6" s="1"/>
  <c r="AJ256" i="6"/>
  <c r="AK256" i="6" s="1"/>
  <c r="AJ243" i="6"/>
  <c r="AK243" i="6" s="1"/>
  <c r="AJ227" i="6"/>
  <c r="AK227" i="6" s="1"/>
  <c r="AJ195" i="6"/>
  <c r="AK195" i="6" s="1"/>
  <c r="AJ175" i="6"/>
  <c r="AK175" i="6" s="1"/>
  <c r="AH252" i="6"/>
  <c r="AI252" i="6" s="1"/>
  <c r="AJ252" i="6"/>
  <c r="AK252" i="6" s="1"/>
  <c r="AH248" i="6"/>
  <c r="AI248" i="6" s="1"/>
  <c r="AJ248" i="6"/>
  <c r="AK248" i="6" s="1"/>
  <c r="AH244" i="6"/>
  <c r="AI244" i="6" s="1"/>
  <c r="AJ244" i="6"/>
  <c r="AK244" i="6" s="1"/>
  <c r="AH240" i="6"/>
  <c r="AI240" i="6" s="1"/>
  <c r="AJ240" i="6"/>
  <c r="AK240" i="6" s="1"/>
  <c r="AH236" i="6"/>
  <c r="AI236" i="6" s="1"/>
  <c r="AJ236" i="6"/>
  <c r="AK236" i="6" s="1"/>
  <c r="AH232" i="6"/>
  <c r="AI232" i="6" s="1"/>
  <c r="AJ232" i="6"/>
  <c r="AK232" i="6" s="1"/>
  <c r="AJ283" i="6"/>
  <c r="AK283" i="6" s="1"/>
  <c r="AJ281" i="6"/>
  <c r="AK281" i="6" s="1"/>
  <c r="AJ279" i="6"/>
  <c r="AK279" i="6" s="1"/>
  <c r="AJ277" i="6"/>
  <c r="AK277" i="6" s="1"/>
  <c r="AJ275" i="6"/>
  <c r="AK275" i="6" s="1"/>
  <c r="AJ273" i="6"/>
  <c r="AK273" i="6" s="1"/>
  <c r="AJ271" i="6"/>
  <c r="AK271" i="6" s="1"/>
  <c r="AJ269" i="6"/>
  <c r="AK269" i="6" s="1"/>
  <c r="AJ267" i="6"/>
  <c r="AK267" i="6" s="1"/>
  <c r="AJ265" i="6"/>
  <c r="AK265" i="6" s="1"/>
  <c r="AJ263" i="6"/>
  <c r="AK263" i="6" s="1"/>
  <c r="AJ261" i="6"/>
  <c r="AK261" i="6" s="1"/>
  <c r="AJ259" i="6"/>
  <c r="AK259" i="6" s="1"/>
  <c r="AJ257" i="6"/>
  <c r="AK257" i="6" s="1"/>
  <c r="AL270" i="6" s="1"/>
  <c r="AJ255" i="6"/>
  <c r="AK255" i="6" s="1"/>
  <c r="AH254" i="6"/>
  <c r="AI254" i="6" s="1"/>
  <c r="AJ254" i="6"/>
  <c r="AK254" i="6" s="1"/>
  <c r="AH250" i="6"/>
  <c r="AI250" i="6" s="1"/>
  <c r="AJ250" i="6"/>
  <c r="AK250" i="6" s="1"/>
  <c r="AH246" i="6"/>
  <c r="AI246" i="6" s="1"/>
  <c r="AJ246" i="6"/>
  <c r="AK246" i="6" s="1"/>
  <c r="AH242" i="6"/>
  <c r="AI242" i="6" s="1"/>
  <c r="AJ242" i="6"/>
  <c r="AK242" i="6" s="1"/>
  <c r="AH238" i="6"/>
  <c r="AI238" i="6" s="1"/>
  <c r="AJ238" i="6"/>
  <c r="AK238" i="6" s="1"/>
  <c r="AH234" i="6"/>
  <c r="AI234" i="6" s="1"/>
  <c r="AJ234" i="6"/>
  <c r="AK234" i="6" s="1"/>
  <c r="AH152" i="6"/>
  <c r="AI152" i="6" s="1"/>
  <c r="AJ152" i="6"/>
  <c r="AK152" i="6" s="1"/>
  <c r="AH148" i="6"/>
  <c r="AI148" i="6" s="1"/>
  <c r="AJ148" i="6"/>
  <c r="AK148" i="6" s="1"/>
  <c r="AJ230" i="6"/>
  <c r="AK230" i="6" s="1"/>
  <c r="AJ228" i="6"/>
  <c r="AK228" i="6" s="1"/>
  <c r="AJ226" i="6"/>
  <c r="AK226" i="6" s="1"/>
  <c r="AL242" i="6" s="1"/>
  <c r="AJ224" i="6"/>
  <c r="AK224" i="6" s="1"/>
  <c r="AJ222" i="6"/>
  <c r="AK222" i="6" s="1"/>
  <c r="AJ220" i="6"/>
  <c r="AK220" i="6" s="1"/>
  <c r="AJ218" i="6"/>
  <c r="AK218" i="6" s="1"/>
  <c r="AJ216" i="6"/>
  <c r="AK216" i="6" s="1"/>
  <c r="AJ214" i="6"/>
  <c r="AK214" i="6" s="1"/>
  <c r="AJ212" i="6"/>
  <c r="AK212" i="6" s="1"/>
  <c r="AJ210" i="6"/>
  <c r="AK210" i="6" s="1"/>
  <c r="AJ208" i="6"/>
  <c r="AK208" i="6" s="1"/>
  <c r="AJ206" i="6"/>
  <c r="AK206" i="6" s="1"/>
  <c r="AJ204" i="6"/>
  <c r="AK204" i="6" s="1"/>
  <c r="AJ202" i="6"/>
  <c r="AK202" i="6" s="1"/>
  <c r="AJ200" i="6"/>
  <c r="AK200" i="6" s="1"/>
  <c r="AJ198" i="6"/>
  <c r="AK198" i="6" s="1"/>
  <c r="AJ196" i="6"/>
  <c r="AK196" i="6" s="1"/>
  <c r="AJ194" i="6"/>
  <c r="AK194" i="6" s="1"/>
  <c r="AL208" i="6" s="1"/>
  <c r="AJ192" i="6"/>
  <c r="AK192" i="6" s="1"/>
  <c r="AJ190" i="6"/>
  <c r="AK190" i="6" s="1"/>
  <c r="AJ188" i="6"/>
  <c r="AK188" i="6" s="1"/>
  <c r="AJ186" i="6"/>
  <c r="AK186" i="6" s="1"/>
  <c r="AJ184" i="6"/>
  <c r="AK184" i="6" s="1"/>
  <c r="AJ182" i="6"/>
  <c r="AK182" i="6" s="1"/>
  <c r="AJ180" i="6"/>
  <c r="AK180" i="6" s="1"/>
  <c r="AJ178" i="6"/>
  <c r="AK178" i="6" s="1"/>
  <c r="AJ176" i="6"/>
  <c r="AK176" i="6" s="1"/>
  <c r="AJ174" i="6"/>
  <c r="AK174" i="6" s="1"/>
  <c r="AJ172" i="6"/>
  <c r="AK172" i="6" s="1"/>
  <c r="AJ170" i="6"/>
  <c r="AK170" i="6" s="1"/>
  <c r="AJ168" i="6"/>
  <c r="AK168" i="6" s="1"/>
  <c r="AJ166" i="6"/>
  <c r="AK166" i="6" s="1"/>
  <c r="AJ164" i="6"/>
  <c r="AK164" i="6" s="1"/>
  <c r="AJ162" i="6"/>
  <c r="AK162" i="6" s="1"/>
  <c r="AJ160" i="6"/>
  <c r="AK160" i="6" s="1"/>
  <c r="AJ158" i="6"/>
  <c r="AK158" i="6" s="1"/>
  <c r="AJ156" i="6"/>
  <c r="AK156" i="6" s="1"/>
  <c r="AH154" i="6"/>
  <c r="AI154" i="6" s="1"/>
  <c r="AJ154" i="6"/>
  <c r="AK154" i="6" s="1"/>
  <c r="AH150" i="6"/>
  <c r="AI150" i="6" s="1"/>
  <c r="AJ150" i="6"/>
  <c r="AK150" i="6" s="1"/>
  <c r="AH146" i="6"/>
  <c r="AI146" i="6" s="1"/>
  <c r="AJ146" i="6"/>
  <c r="AK146" i="6" s="1"/>
  <c r="AJ77" i="6"/>
  <c r="AK77" i="6" s="1"/>
  <c r="AJ75" i="6"/>
  <c r="AK75" i="6" s="1"/>
  <c r="AJ73" i="6"/>
  <c r="AK73" i="6" s="1"/>
  <c r="AJ71" i="6"/>
  <c r="AK71" i="6" s="1"/>
  <c r="AJ69" i="6"/>
  <c r="AK69" i="6" s="1"/>
  <c r="AJ67" i="6"/>
  <c r="AK67" i="6" s="1"/>
  <c r="AJ65" i="6"/>
  <c r="AK65" i="6" s="1"/>
  <c r="AJ63" i="6"/>
  <c r="AK63" i="6" s="1"/>
  <c r="AJ61" i="6"/>
  <c r="AK61" i="6" s="1"/>
  <c r="AJ59" i="6"/>
  <c r="AK59" i="6" s="1"/>
  <c r="AJ57" i="6"/>
  <c r="AK57" i="6" s="1"/>
  <c r="AJ55" i="6"/>
  <c r="AK55" i="6" s="1"/>
  <c r="AJ53" i="6"/>
  <c r="AK53" i="6" s="1"/>
  <c r="AJ51" i="6"/>
  <c r="AK51" i="6" s="1"/>
  <c r="AJ49" i="6"/>
  <c r="AK49" i="6" s="1"/>
  <c r="AJ47" i="6"/>
  <c r="AK47" i="6" s="1"/>
  <c r="AJ45" i="6"/>
  <c r="AK45" i="6" s="1"/>
  <c r="AJ43" i="6"/>
  <c r="AK43" i="6" s="1"/>
  <c r="AJ41" i="6"/>
  <c r="AK41" i="6" s="1"/>
  <c r="AJ39" i="6"/>
  <c r="AK39" i="6" s="1"/>
  <c r="AJ37" i="6"/>
  <c r="AK37" i="6" s="1"/>
  <c r="AJ35" i="6"/>
  <c r="AK35" i="6" s="1"/>
  <c r="AJ33" i="6"/>
  <c r="AK33" i="6" s="1"/>
  <c r="AJ31" i="6"/>
  <c r="AK31" i="6" s="1"/>
  <c r="AJ29" i="6"/>
  <c r="AK29" i="6" s="1"/>
  <c r="AJ27" i="6"/>
  <c r="AK27" i="6" s="1"/>
  <c r="AJ25" i="6"/>
  <c r="AK25" i="6" s="1"/>
  <c r="AJ23" i="6"/>
  <c r="AK23" i="6" s="1"/>
  <c r="AJ21" i="6"/>
  <c r="AK21" i="6" s="1"/>
  <c r="AJ19" i="6"/>
  <c r="AK19" i="6" s="1"/>
  <c r="AJ17" i="6"/>
  <c r="AK17" i="6" s="1"/>
  <c r="AJ15" i="6"/>
  <c r="AK15" i="6" s="1"/>
  <c r="AJ13" i="6"/>
  <c r="AK13" i="6" s="1"/>
  <c r="AJ11" i="6"/>
  <c r="AK11" i="6" s="1"/>
  <c r="AJ9" i="6"/>
  <c r="AK9" i="6" s="1"/>
  <c r="AJ144" i="6"/>
  <c r="AK144" i="6" s="1"/>
  <c r="AL156" i="6" s="1"/>
  <c r="AJ142" i="6"/>
  <c r="AK142" i="6" s="1"/>
  <c r="AJ140" i="6"/>
  <c r="AK140" i="6" s="1"/>
  <c r="AJ138" i="6"/>
  <c r="AK138" i="6" s="1"/>
  <c r="AJ136" i="6"/>
  <c r="AK136" i="6" s="1"/>
  <c r="AJ134" i="6"/>
  <c r="AK134" i="6" s="1"/>
  <c r="AJ132" i="6"/>
  <c r="AK132" i="6" s="1"/>
  <c r="AJ130" i="6"/>
  <c r="AK130" i="6" s="1"/>
  <c r="AJ128" i="6"/>
  <c r="AK128" i="6" s="1"/>
  <c r="AJ126" i="6"/>
  <c r="AK126" i="6" s="1"/>
  <c r="AJ124" i="6"/>
  <c r="AK124" i="6" s="1"/>
  <c r="AJ122" i="6"/>
  <c r="AK122" i="6" s="1"/>
  <c r="AJ120" i="6"/>
  <c r="AK120" i="6" s="1"/>
  <c r="AJ118" i="6"/>
  <c r="AK118" i="6" s="1"/>
  <c r="AJ116" i="6"/>
  <c r="AK116" i="6" s="1"/>
  <c r="AJ114" i="6"/>
  <c r="AK114" i="6" s="1"/>
  <c r="AJ112" i="6"/>
  <c r="AK112" i="6" s="1"/>
  <c r="AJ110" i="6"/>
  <c r="AK110" i="6" s="1"/>
  <c r="AJ108" i="6"/>
  <c r="AK108" i="6" s="1"/>
  <c r="AJ106" i="6"/>
  <c r="AK106" i="6" s="1"/>
  <c r="AJ104" i="6"/>
  <c r="AK104" i="6" s="1"/>
  <c r="AJ102" i="6"/>
  <c r="AK102" i="6" s="1"/>
  <c r="AJ100" i="6"/>
  <c r="AK100" i="6" s="1"/>
  <c r="AJ98" i="6"/>
  <c r="AK98" i="6" s="1"/>
  <c r="AJ96" i="6"/>
  <c r="AK96" i="6" s="1"/>
  <c r="AJ94" i="6"/>
  <c r="AK94" i="6" s="1"/>
  <c r="AJ92" i="6"/>
  <c r="AK92" i="6" s="1"/>
  <c r="AJ90" i="6"/>
  <c r="AK90" i="6" s="1"/>
  <c r="AJ88" i="6"/>
  <c r="AK88" i="6" s="1"/>
  <c r="AJ86" i="6"/>
  <c r="AK86" i="6" s="1"/>
  <c r="AJ84" i="6"/>
  <c r="AK84" i="6" s="1"/>
  <c r="AH7" i="6"/>
  <c r="AI7" i="6" s="1"/>
  <c r="AL100" i="6" l="1"/>
  <c r="AL136" i="6"/>
  <c r="AL170" i="6"/>
  <c r="AL284" i="6"/>
  <c r="AL118" i="6"/>
  <c r="AL142" i="6"/>
  <c r="AL184" i="6"/>
  <c r="AL256" i="6"/>
  <c r="AL192" i="6"/>
  <c r="AL225" i="6"/>
  <c r="F20" i="8"/>
  <c r="F40" i="8" s="1"/>
  <c r="F19" i="8"/>
  <c r="F35" i="8" s="1"/>
  <c r="AY37" i="8"/>
  <c r="AW37" i="8"/>
  <c r="J8" i="8"/>
  <c r="J9" i="8"/>
  <c r="J10" i="8"/>
  <c r="J11" i="8"/>
  <c r="J12" i="8"/>
  <c r="J13" i="8"/>
  <c r="J14" i="8"/>
  <c r="J15" i="8"/>
  <c r="J16" i="8"/>
  <c r="J17" i="8"/>
  <c r="J18" i="8"/>
  <c r="J19" i="8"/>
  <c r="J20" i="8"/>
  <c r="J21" i="8"/>
  <c r="J22" i="8"/>
  <c r="J23" i="8"/>
  <c r="J24" i="8"/>
  <c r="J25" i="8"/>
  <c r="J26" i="8"/>
  <c r="J27" i="8"/>
  <c r="J28" i="8"/>
  <c r="J29" i="8"/>
  <c r="J30" i="8"/>
  <c r="J31" i="8"/>
  <c r="J32" i="8"/>
  <c r="J33" i="8"/>
  <c r="J7" i="8"/>
  <c r="R84" i="6"/>
  <c r="AB84" i="6" s="1"/>
  <c r="S84" i="6"/>
  <c r="T84" i="6" s="1"/>
  <c r="V84" i="6"/>
  <c r="X84" i="6"/>
  <c r="R85" i="6"/>
  <c r="AB85" i="6" s="1"/>
  <c r="S85" i="6"/>
  <c r="T85" i="6"/>
  <c r="V85" i="6"/>
  <c r="X85" i="6"/>
  <c r="R86" i="6"/>
  <c r="AB86" i="6" s="1"/>
  <c r="S86" i="6"/>
  <c r="T86" i="6" s="1"/>
  <c r="V86" i="6"/>
  <c r="X86" i="6"/>
  <c r="R87" i="6"/>
  <c r="AB87" i="6" s="1"/>
  <c r="S87" i="6"/>
  <c r="T87" i="6" s="1"/>
  <c r="V87" i="6"/>
  <c r="X87" i="6"/>
  <c r="R88" i="6"/>
  <c r="AB88" i="6" s="1"/>
  <c r="S88" i="6"/>
  <c r="T88" i="6" s="1"/>
  <c r="V88" i="6"/>
  <c r="X88" i="6"/>
  <c r="R89" i="6"/>
  <c r="AB89" i="6" s="1"/>
  <c r="S89" i="6"/>
  <c r="T89" i="6"/>
  <c r="V89" i="6"/>
  <c r="X89" i="6"/>
  <c r="R90" i="6"/>
  <c r="AB90" i="6" s="1"/>
  <c r="S90" i="6"/>
  <c r="T90" i="6" s="1"/>
  <c r="V90" i="6"/>
  <c r="X90" i="6"/>
  <c r="R91" i="6"/>
  <c r="AB91" i="6" s="1"/>
  <c r="S91" i="6"/>
  <c r="T91" i="6" s="1"/>
  <c r="V91" i="6"/>
  <c r="X91" i="6"/>
  <c r="R92" i="6"/>
  <c r="AB92" i="6" s="1"/>
  <c r="S92" i="6"/>
  <c r="T92" i="6" s="1"/>
  <c r="V92" i="6"/>
  <c r="X92" i="6"/>
  <c r="R93" i="6"/>
  <c r="AB93" i="6" s="1"/>
  <c r="S93" i="6"/>
  <c r="T93" i="6"/>
  <c r="V93" i="6"/>
  <c r="X93" i="6"/>
  <c r="R94" i="6"/>
  <c r="AB94" i="6" s="1"/>
  <c r="S94" i="6"/>
  <c r="T94" i="6" s="1"/>
  <c r="V94" i="6"/>
  <c r="X94" i="6"/>
  <c r="R95" i="6"/>
  <c r="AB95" i="6" s="1"/>
  <c r="S95" i="6"/>
  <c r="T95" i="6" s="1"/>
  <c r="U95" i="6" s="1"/>
  <c r="V95" i="6"/>
  <c r="X95" i="6"/>
  <c r="R96" i="6"/>
  <c r="AB96" i="6" s="1"/>
  <c r="S96" i="6"/>
  <c r="T96" i="6"/>
  <c r="U96" i="6" s="1"/>
  <c r="V96" i="6"/>
  <c r="X96" i="6"/>
  <c r="R97" i="6"/>
  <c r="AB97" i="6" s="1"/>
  <c r="S97" i="6"/>
  <c r="T97" i="6" s="1"/>
  <c r="U97" i="6" s="1"/>
  <c r="V97" i="6"/>
  <c r="X97" i="6"/>
  <c r="R98" i="6"/>
  <c r="AB98" i="6" s="1"/>
  <c r="S98" i="6"/>
  <c r="T98" i="6"/>
  <c r="U98" i="6" s="1"/>
  <c r="V98" i="6"/>
  <c r="X98" i="6"/>
  <c r="R99" i="6"/>
  <c r="AB99" i="6" s="1"/>
  <c r="S99" i="6"/>
  <c r="T99" i="6" s="1"/>
  <c r="U99" i="6" s="1"/>
  <c r="V99" i="6"/>
  <c r="X99" i="6"/>
  <c r="R100" i="6"/>
  <c r="AB100" i="6" s="1"/>
  <c r="S100" i="6"/>
  <c r="T100" i="6"/>
  <c r="U100" i="6" s="1"/>
  <c r="V100" i="6"/>
  <c r="X100" i="6"/>
  <c r="R101" i="6"/>
  <c r="AB101" i="6" s="1"/>
  <c r="S101" i="6"/>
  <c r="T101" i="6" s="1"/>
  <c r="V101" i="6"/>
  <c r="X101" i="6"/>
  <c r="R102" i="6"/>
  <c r="AB102" i="6" s="1"/>
  <c r="S102" i="6"/>
  <c r="T102" i="6" s="1"/>
  <c r="V102" i="6"/>
  <c r="X102" i="6"/>
  <c r="R103" i="6"/>
  <c r="AB103" i="6" s="1"/>
  <c r="S103" i="6"/>
  <c r="T103" i="6"/>
  <c r="V103" i="6"/>
  <c r="X103" i="6"/>
  <c r="R104" i="6"/>
  <c r="AB104" i="6" s="1"/>
  <c r="S104" i="6"/>
  <c r="T104" i="6" s="1"/>
  <c r="V104" i="6"/>
  <c r="X104" i="6"/>
  <c r="R105" i="6"/>
  <c r="AB105" i="6" s="1"/>
  <c r="S105" i="6"/>
  <c r="T105" i="6" s="1"/>
  <c r="V105" i="6"/>
  <c r="X105" i="6"/>
  <c r="R106" i="6"/>
  <c r="AB106" i="6" s="1"/>
  <c r="S106" i="6"/>
  <c r="T106" i="6" s="1"/>
  <c r="V106" i="6"/>
  <c r="X106" i="6"/>
  <c r="R107" i="6"/>
  <c r="AB107" i="6" s="1"/>
  <c r="S107" i="6"/>
  <c r="T107" i="6"/>
  <c r="V107" i="6"/>
  <c r="X107" i="6"/>
  <c r="R108" i="6"/>
  <c r="AB108" i="6" s="1"/>
  <c r="S108" i="6"/>
  <c r="T108" i="6" s="1"/>
  <c r="V108" i="6"/>
  <c r="X108" i="6"/>
  <c r="R109" i="6"/>
  <c r="AB109" i="6" s="1"/>
  <c r="S109" i="6"/>
  <c r="T109" i="6" s="1"/>
  <c r="V109" i="6"/>
  <c r="X109" i="6"/>
  <c r="R110" i="6"/>
  <c r="AB110" i="6" s="1"/>
  <c r="S110" i="6"/>
  <c r="T110" i="6" s="1"/>
  <c r="V110" i="6"/>
  <c r="X110" i="6"/>
  <c r="R111" i="6"/>
  <c r="AB111" i="6" s="1"/>
  <c r="S111" i="6"/>
  <c r="T111" i="6"/>
  <c r="V111" i="6"/>
  <c r="X111" i="6"/>
  <c r="R112" i="6"/>
  <c r="AB112" i="6" s="1"/>
  <c r="S112" i="6"/>
  <c r="T112" i="6" s="1"/>
  <c r="V112" i="6"/>
  <c r="X112" i="6"/>
  <c r="R113" i="6"/>
  <c r="AB113" i="6" s="1"/>
  <c r="S113" i="6"/>
  <c r="T113" i="6" s="1"/>
  <c r="U113" i="6" s="1"/>
  <c r="V113" i="6"/>
  <c r="X113" i="6"/>
  <c r="R114" i="6"/>
  <c r="AB114" i="6" s="1"/>
  <c r="S114" i="6"/>
  <c r="T114" i="6"/>
  <c r="U114" i="6" s="1"/>
  <c r="V114" i="6"/>
  <c r="X114" i="6"/>
  <c r="R115" i="6"/>
  <c r="AB115" i="6" s="1"/>
  <c r="S115" i="6"/>
  <c r="T115" i="6" s="1"/>
  <c r="U115" i="6" s="1"/>
  <c r="V115" i="6"/>
  <c r="X115" i="6"/>
  <c r="R116" i="6"/>
  <c r="AB116" i="6" s="1"/>
  <c r="S116" i="6"/>
  <c r="T116" i="6"/>
  <c r="U116" i="6" s="1"/>
  <c r="V116" i="6"/>
  <c r="X116" i="6"/>
  <c r="R117" i="6"/>
  <c r="AB117" i="6" s="1"/>
  <c r="S117" i="6"/>
  <c r="T117" i="6" s="1"/>
  <c r="U117" i="6" s="1"/>
  <c r="V117" i="6"/>
  <c r="X117" i="6"/>
  <c r="R118" i="6"/>
  <c r="AB118" i="6" s="1"/>
  <c r="S118" i="6"/>
  <c r="T118" i="6"/>
  <c r="U118" i="6" s="1"/>
  <c r="V118" i="6"/>
  <c r="X118" i="6"/>
  <c r="R119" i="6"/>
  <c r="AB119" i="6" s="1"/>
  <c r="S119" i="6"/>
  <c r="T119" i="6" s="1"/>
  <c r="V119" i="6"/>
  <c r="X119" i="6"/>
  <c r="R120" i="6"/>
  <c r="AB120" i="6" s="1"/>
  <c r="S120" i="6"/>
  <c r="T120" i="6" s="1"/>
  <c r="V120" i="6"/>
  <c r="X120" i="6"/>
  <c r="R121" i="6"/>
  <c r="AB121" i="6" s="1"/>
  <c r="S121" i="6"/>
  <c r="T121" i="6"/>
  <c r="V121" i="6"/>
  <c r="X121" i="6"/>
  <c r="R122" i="6"/>
  <c r="AB122" i="6" s="1"/>
  <c r="S122" i="6"/>
  <c r="T122" i="6" s="1"/>
  <c r="V122" i="6"/>
  <c r="X122" i="6"/>
  <c r="R123" i="6"/>
  <c r="AB123" i="6" s="1"/>
  <c r="S123" i="6"/>
  <c r="T123" i="6" s="1"/>
  <c r="V123" i="6"/>
  <c r="X123" i="6"/>
  <c r="R124" i="6"/>
  <c r="AB124" i="6" s="1"/>
  <c r="S124" i="6"/>
  <c r="T124" i="6" s="1"/>
  <c r="V124" i="6"/>
  <c r="X124" i="6"/>
  <c r="R125" i="6"/>
  <c r="AB125" i="6" s="1"/>
  <c r="S125" i="6"/>
  <c r="T125" i="6"/>
  <c r="V125" i="6"/>
  <c r="X125" i="6"/>
  <c r="R126" i="6"/>
  <c r="AB126" i="6" s="1"/>
  <c r="S126" i="6"/>
  <c r="T126" i="6" s="1"/>
  <c r="V126" i="6"/>
  <c r="X126" i="6"/>
  <c r="R127" i="6"/>
  <c r="AB127" i="6" s="1"/>
  <c r="S127" i="6"/>
  <c r="T127" i="6" s="1"/>
  <c r="V127" i="6"/>
  <c r="X127" i="6"/>
  <c r="R128" i="6"/>
  <c r="AB128" i="6" s="1"/>
  <c r="S128" i="6"/>
  <c r="T128" i="6" s="1"/>
  <c r="V128" i="6"/>
  <c r="X128" i="6"/>
  <c r="R129" i="6"/>
  <c r="AB129" i="6" s="1"/>
  <c r="S129" i="6"/>
  <c r="T129" i="6"/>
  <c r="V129" i="6"/>
  <c r="X129" i="6"/>
  <c r="R130" i="6"/>
  <c r="AB130" i="6" s="1"/>
  <c r="S130" i="6"/>
  <c r="T130" i="6" s="1"/>
  <c r="V130" i="6"/>
  <c r="X130" i="6"/>
  <c r="R131" i="6"/>
  <c r="AB131" i="6" s="1"/>
  <c r="S131" i="6"/>
  <c r="T131" i="6" s="1"/>
  <c r="U131" i="6" s="1"/>
  <c r="V131" i="6"/>
  <c r="X131" i="6"/>
  <c r="R132" i="6"/>
  <c r="AB132" i="6" s="1"/>
  <c r="S132" i="6"/>
  <c r="T132" i="6"/>
  <c r="U132" i="6" s="1"/>
  <c r="V132" i="6"/>
  <c r="X132" i="6"/>
  <c r="R133" i="6"/>
  <c r="AB133" i="6" s="1"/>
  <c r="S133" i="6"/>
  <c r="T133" i="6" s="1"/>
  <c r="U133" i="6" s="1"/>
  <c r="V133" i="6"/>
  <c r="X133" i="6"/>
  <c r="R134" i="6"/>
  <c r="AB134" i="6" s="1"/>
  <c r="S134" i="6"/>
  <c r="T134" i="6"/>
  <c r="U134" i="6" s="1"/>
  <c r="V134" i="6"/>
  <c r="X134" i="6"/>
  <c r="R135" i="6"/>
  <c r="AB135" i="6" s="1"/>
  <c r="S135" i="6"/>
  <c r="T135" i="6" s="1"/>
  <c r="U135" i="6" s="1"/>
  <c r="V135" i="6"/>
  <c r="X135" i="6"/>
  <c r="R136" i="6"/>
  <c r="AB136" i="6" s="1"/>
  <c r="S136" i="6"/>
  <c r="T136" i="6"/>
  <c r="U136" i="6" s="1"/>
  <c r="V136" i="6"/>
  <c r="X136" i="6"/>
  <c r="R137" i="6"/>
  <c r="AB137" i="6" s="1"/>
  <c r="S137" i="6"/>
  <c r="T137" i="6" s="1"/>
  <c r="U137" i="6" s="1"/>
  <c r="V137" i="6"/>
  <c r="X137" i="6"/>
  <c r="R138" i="6"/>
  <c r="AB138" i="6" s="1"/>
  <c r="S138" i="6"/>
  <c r="T138" i="6"/>
  <c r="U138" i="6" s="1"/>
  <c r="V138" i="6"/>
  <c r="X138" i="6"/>
  <c r="R139" i="6"/>
  <c r="AB139" i="6" s="1"/>
  <c r="S139" i="6"/>
  <c r="T139" i="6" s="1"/>
  <c r="U139" i="6" s="1"/>
  <c r="V139" i="6"/>
  <c r="X139" i="6"/>
  <c r="R140" i="6"/>
  <c r="AB140" i="6" s="1"/>
  <c r="S140" i="6"/>
  <c r="T140" i="6"/>
  <c r="U140" i="6" s="1"/>
  <c r="V140" i="6"/>
  <c r="X140" i="6"/>
  <c r="R141" i="6"/>
  <c r="AB141" i="6" s="1"/>
  <c r="S141" i="6"/>
  <c r="T141" i="6" s="1"/>
  <c r="U141" i="6" s="1"/>
  <c r="V141" i="6"/>
  <c r="X141" i="6"/>
  <c r="R142" i="6"/>
  <c r="AB142" i="6" s="1"/>
  <c r="S142" i="6"/>
  <c r="T142" i="6"/>
  <c r="U142" i="6" s="1"/>
  <c r="V142" i="6"/>
  <c r="X142" i="6"/>
  <c r="R143" i="6"/>
  <c r="S143" i="6"/>
  <c r="T143" i="6" s="1"/>
  <c r="V143" i="6"/>
  <c r="X143" i="6"/>
  <c r="R144" i="6"/>
  <c r="S144" i="6"/>
  <c r="T144" i="6" s="1"/>
  <c r="V144" i="6"/>
  <c r="X144" i="6"/>
  <c r="R145" i="6"/>
  <c r="S145" i="6"/>
  <c r="T145" i="6" s="1"/>
  <c r="V145" i="6"/>
  <c r="X145" i="6"/>
  <c r="R146" i="6"/>
  <c r="S146" i="6"/>
  <c r="T146" i="6" s="1"/>
  <c r="V146" i="6"/>
  <c r="X146" i="6"/>
  <c r="R147" i="6"/>
  <c r="S147" i="6"/>
  <c r="T147" i="6"/>
  <c r="V147" i="6"/>
  <c r="X147" i="6"/>
  <c r="R148" i="6"/>
  <c r="S148" i="6"/>
  <c r="T148" i="6" s="1"/>
  <c r="V148" i="6"/>
  <c r="X148" i="6"/>
  <c r="R149" i="6"/>
  <c r="S149" i="6"/>
  <c r="T149" i="6" s="1"/>
  <c r="V149" i="6"/>
  <c r="X149" i="6"/>
  <c r="R150" i="6"/>
  <c r="S150" i="6"/>
  <c r="T150" i="6" s="1"/>
  <c r="V150" i="6"/>
  <c r="X150" i="6"/>
  <c r="R151" i="6"/>
  <c r="S151" i="6"/>
  <c r="T151" i="6" s="1"/>
  <c r="V151" i="6"/>
  <c r="X151" i="6"/>
  <c r="R152" i="6"/>
  <c r="S152" i="6"/>
  <c r="T152" i="6" s="1"/>
  <c r="V152" i="6"/>
  <c r="X152" i="6"/>
  <c r="R153" i="6"/>
  <c r="S153" i="6"/>
  <c r="T153" i="6" s="1"/>
  <c r="V153" i="6"/>
  <c r="X153" i="6"/>
  <c r="R154" i="6"/>
  <c r="S154" i="6"/>
  <c r="T154" i="6" s="1"/>
  <c r="V154" i="6"/>
  <c r="X154" i="6"/>
  <c r="R155" i="6"/>
  <c r="S155" i="6"/>
  <c r="T155" i="6"/>
  <c r="U155" i="6" s="1"/>
  <c r="V155" i="6"/>
  <c r="X155" i="6"/>
  <c r="R156" i="6"/>
  <c r="S156" i="6"/>
  <c r="T156" i="6" s="1"/>
  <c r="U156" i="6" s="1"/>
  <c r="V156" i="6"/>
  <c r="X156" i="6"/>
  <c r="R157" i="6"/>
  <c r="AB157" i="6" s="1"/>
  <c r="S157" i="6"/>
  <c r="T157" i="6" s="1"/>
  <c r="V157" i="6"/>
  <c r="X157" i="6"/>
  <c r="R158" i="6"/>
  <c r="AB158" i="6" s="1"/>
  <c r="S158" i="6"/>
  <c r="T158" i="6" s="1"/>
  <c r="V158" i="6"/>
  <c r="X158" i="6"/>
  <c r="R159" i="6"/>
  <c r="AB159" i="6" s="1"/>
  <c r="S159" i="6"/>
  <c r="T159" i="6"/>
  <c r="V159" i="6"/>
  <c r="X159" i="6"/>
  <c r="R160" i="6"/>
  <c r="AB160" i="6" s="1"/>
  <c r="S160" i="6"/>
  <c r="T160" i="6" s="1"/>
  <c r="V160" i="6"/>
  <c r="X160" i="6"/>
  <c r="R161" i="6"/>
  <c r="AB161" i="6" s="1"/>
  <c r="S161" i="6"/>
  <c r="T161" i="6" s="1"/>
  <c r="V161" i="6"/>
  <c r="X161" i="6"/>
  <c r="R162" i="6"/>
  <c r="AB162" i="6" s="1"/>
  <c r="S162" i="6"/>
  <c r="T162" i="6" s="1"/>
  <c r="V162" i="6"/>
  <c r="X162" i="6"/>
  <c r="R163" i="6"/>
  <c r="AB163" i="6" s="1"/>
  <c r="S163" i="6"/>
  <c r="T163" i="6"/>
  <c r="V163" i="6"/>
  <c r="X163" i="6"/>
  <c r="R164" i="6"/>
  <c r="AB164" i="6" s="1"/>
  <c r="S164" i="6"/>
  <c r="T164" i="6" s="1"/>
  <c r="V164" i="6"/>
  <c r="X164" i="6"/>
  <c r="R165" i="6"/>
  <c r="AB165" i="6" s="1"/>
  <c r="S165" i="6"/>
  <c r="T165" i="6" s="1"/>
  <c r="V165" i="6"/>
  <c r="X165" i="6"/>
  <c r="R166" i="6"/>
  <c r="AB166" i="6" s="1"/>
  <c r="S166" i="6"/>
  <c r="T166" i="6" s="1"/>
  <c r="V166" i="6"/>
  <c r="X166" i="6"/>
  <c r="R167" i="6"/>
  <c r="AB167" i="6" s="1"/>
  <c r="S167" i="6"/>
  <c r="T167" i="6"/>
  <c r="U167" i="6" s="1"/>
  <c r="V167" i="6"/>
  <c r="X167" i="6"/>
  <c r="R168" i="6"/>
  <c r="AB168" i="6" s="1"/>
  <c r="S168" i="6"/>
  <c r="T168" i="6"/>
  <c r="U168" i="6" s="1"/>
  <c r="V168" i="6"/>
  <c r="X168" i="6"/>
  <c r="R169" i="6"/>
  <c r="S169" i="6"/>
  <c r="T169" i="6" s="1"/>
  <c r="U169" i="6" s="1"/>
  <c r="V169" i="6"/>
  <c r="X169" i="6"/>
  <c r="R170" i="6"/>
  <c r="S170" i="6"/>
  <c r="T170" i="6" s="1"/>
  <c r="U170" i="6" s="1"/>
  <c r="V170" i="6"/>
  <c r="X170" i="6"/>
  <c r="R171" i="6"/>
  <c r="S171" i="6"/>
  <c r="T171" i="6" s="1"/>
  <c r="V171" i="6"/>
  <c r="X171" i="6"/>
  <c r="R172" i="6"/>
  <c r="S172" i="6"/>
  <c r="T172" i="6" s="1"/>
  <c r="V172" i="6"/>
  <c r="X172" i="6"/>
  <c r="R173" i="6"/>
  <c r="S173" i="6"/>
  <c r="T173" i="6"/>
  <c r="V173" i="6"/>
  <c r="X173" i="6"/>
  <c r="R174" i="6"/>
  <c r="S174" i="6"/>
  <c r="T174" i="6" s="1"/>
  <c r="V174" i="6"/>
  <c r="X174" i="6"/>
  <c r="R175" i="6"/>
  <c r="S175" i="6"/>
  <c r="T175" i="6" s="1"/>
  <c r="V175" i="6"/>
  <c r="X175" i="6"/>
  <c r="R176" i="6"/>
  <c r="S176" i="6"/>
  <c r="T176" i="6" s="1"/>
  <c r="V176" i="6"/>
  <c r="X176" i="6"/>
  <c r="R177" i="6"/>
  <c r="S177" i="6"/>
  <c r="T177" i="6" s="1"/>
  <c r="V177" i="6"/>
  <c r="X177" i="6"/>
  <c r="R178" i="6"/>
  <c r="S178" i="6"/>
  <c r="T178" i="6" s="1"/>
  <c r="V178" i="6"/>
  <c r="X178" i="6"/>
  <c r="R179" i="6"/>
  <c r="S179" i="6"/>
  <c r="T179" i="6" s="1"/>
  <c r="V179" i="6"/>
  <c r="X179" i="6"/>
  <c r="R180" i="6"/>
  <c r="S180" i="6"/>
  <c r="T180" i="6" s="1"/>
  <c r="V180" i="6"/>
  <c r="X180" i="6"/>
  <c r="R181" i="6"/>
  <c r="S181" i="6"/>
  <c r="T181" i="6"/>
  <c r="V181" i="6"/>
  <c r="X181" i="6"/>
  <c r="R182" i="6"/>
  <c r="S182" i="6"/>
  <c r="T182" i="6" s="1"/>
  <c r="V182" i="6"/>
  <c r="X182" i="6"/>
  <c r="R183" i="6"/>
  <c r="S183" i="6"/>
  <c r="T183" i="6" s="1"/>
  <c r="U183" i="6" s="1"/>
  <c r="V183" i="6"/>
  <c r="X183" i="6"/>
  <c r="R184" i="6"/>
  <c r="S184" i="6"/>
  <c r="T184" i="6" s="1"/>
  <c r="U184" i="6" s="1"/>
  <c r="V184" i="6"/>
  <c r="X184" i="6"/>
  <c r="R185" i="6"/>
  <c r="S185" i="6"/>
  <c r="T185" i="6" s="1"/>
  <c r="U185" i="6" s="1"/>
  <c r="V185" i="6"/>
  <c r="X185" i="6"/>
  <c r="R186" i="6"/>
  <c r="S186" i="6"/>
  <c r="T186" i="6" s="1"/>
  <c r="V186" i="6"/>
  <c r="X186" i="6"/>
  <c r="R187" i="6"/>
  <c r="S187" i="6"/>
  <c r="T187" i="6" s="1"/>
  <c r="V187" i="6"/>
  <c r="X187" i="6"/>
  <c r="R188" i="6"/>
  <c r="S188" i="6"/>
  <c r="T188" i="6"/>
  <c r="U188" i="6" s="1"/>
  <c r="V188" i="6"/>
  <c r="X188" i="6"/>
  <c r="R189" i="6"/>
  <c r="S189" i="6"/>
  <c r="T189" i="6" s="1"/>
  <c r="V189" i="6"/>
  <c r="X189" i="6"/>
  <c r="R190" i="6"/>
  <c r="S190" i="6"/>
  <c r="T190" i="6" s="1"/>
  <c r="V190" i="6"/>
  <c r="X190" i="6"/>
  <c r="R191" i="6"/>
  <c r="S191" i="6"/>
  <c r="T191" i="6" s="1"/>
  <c r="U191" i="6" s="1"/>
  <c r="V191" i="6"/>
  <c r="X191" i="6"/>
  <c r="R192" i="6"/>
  <c r="S192" i="6"/>
  <c r="T192" i="6" s="1"/>
  <c r="U192" i="6" s="1"/>
  <c r="V192" i="6"/>
  <c r="X192" i="6"/>
  <c r="R193" i="6"/>
  <c r="S193" i="6"/>
  <c r="T193" i="6" s="1"/>
  <c r="V193" i="6"/>
  <c r="X193" i="6"/>
  <c r="R194" i="6"/>
  <c r="S194" i="6"/>
  <c r="T194" i="6" s="1"/>
  <c r="V194" i="6"/>
  <c r="X194" i="6"/>
  <c r="R195" i="6"/>
  <c r="S195" i="6"/>
  <c r="T195" i="6"/>
  <c r="V195" i="6"/>
  <c r="X195" i="6"/>
  <c r="R196" i="6"/>
  <c r="S196" i="6"/>
  <c r="T196" i="6" s="1"/>
  <c r="V196" i="6"/>
  <c r="X196" i="6"/>
  <c r="R197" i="6"/>
  <c r="S197" i="6"/>
  <c r="T197" i="6" s="1"/>
  <c r="V197" i="6"/>
  <c r="X197" i="6"/>
  <c r="R198" i="6"/>
  <c r="S198" i="6"/>
  <c r="T198" i="6" s="1"/>
  <c r="V198" i="6"/>
  <c r="X198" i="6"/>
  <c r="R199" i="6"/>
  <c r="S199" i="6"/>
  <c r="T199" i="6" s="1"/>
  <c r="V199" i="6"/>
  <c r="X199" i="6"/>
  <c r="R200" i="6"/>
  <c r="S200" i="6"/>
  <c r="T200" i="6" s="1"/>
  <c r="V200" i="6"/>
  <c r="X200" i="6"/>
  <c r="R201" i="6"/>
  <c r="S201" i="6"/>
  <c r="T201" i="6" s="1"/>
  <c r="V201" i="6"/>
  <c r="X201" i="6"/>
  <c r="R202" i="6"/>
  <c r="S202" i="6"/>
  <c r="T202" i="6" s="1"/>
  <c r="V202" i="6"/>
  <c r="X202" i="6"/>
  <c r="R203" i="6"/>
  <c r="S203" i="6"/>
  <c r="T203" i="6"/>
  <c r="V203" i="6"/>
  <c r="X203" i="6"/>
  <c r="R204" i="6"/>
  <c r="S204" i="6"/>
  <c r="T204" i="6" s="1"/>
  <c r="V204" i="6"/>
  <c r="X204" i="6"/>
  <c r="R205" i="6"/>
  <c r="S205" i="6"/>
  <c r="T205" i="6" s="1"/>
  <c r="U205" i="6" s="1"/>
  <c r="V205" i="6"/>
  <c r="X205" i="6"/>
  <c r="R206" i="6"/>
  <c r="S206" i="6"/>
  <c r="T206" i="6" s="1"/>
  <c r="V206" i="6"/>
  <c r="X206" i="6"/>
  <c r="R207" i="6"/>
  <c r="S207" i="6"/>
  <c r="T207" i="6" s="1"/>
  <c r="U207" i="6" s="1"/>
  <c r="V207" i="6"/>
  <c r="X207" i="6"/>
  <c r="R208" i="6"/>
  <c r="S208" i="6"/>
  <c r="T208" i="6" s="1"/>
  <c r="V208" i="6"/>
  <c r="X208" i="6"/>
  <c r="R209" i="6"/>
  <c r="S209" i="6"/>
  <c r="T209" i="6" s="1"/>
  <c r="V209" i="6"/>
  <c r="X209" i="6"/>
  <c r="R210" i="6"/>
  <c r="S210" i="6"/>
  <c r="T210" i="6" s="1"/>
  <c r="V210" i="6"/>
  <c r="X210" i="6"/>
  <c r="R211" i="6"/>
  <c r="S211" i="6"/>
  <c r="T211" i="6"/>
  <c r="V211" i="6"/>
  <c r="X211" i="6"/>
  <c r="R212" i="6"/>
  <c r="S212" i="6"/>
  <c r="T212" i="6" s="1"/>
  <c r="V212" i="6"/>
  <c r="X212" i="6"/>
  <c r="R213" i="6"/>
  <c r="S213" i="6"/>
  <c r="T213" i="6" s="1"/>
  <c r="V213" i="6"/>
  <c r="X213" i="6"/>
  <c r="R214" i="6"/>
  <c r="S214" i="6"/>
  <c r="T214" i="6" s="1"/>
  <c r="V214" i="6"/>
  <c r="X214" i="6"/>
  <c r="R215" i="6"/>
  <c r="S215" i="6"/>
  <c r="T215" i="6" s="1"/>
  <c r="V215" i="6"/>
  <c r="X215" i="6"/>
  <c r="R216" i="6"/>
  <c r="S216" i="6"/>
  <c r="T216" i="6" s="1"/>
  <c r="V216" i="6"/>
  <c r="X216" i="6"/>
  <c r="R217" i="6"/>
  <c r="S217" i="6"/>
  <c r="T217" i="6" s="1"/>
  <c r="V217" i="6"/>
  <c r="X217" i="6"/>
  <c r="R218" i="6"/>
  <c r="S218" i="6"/>
  <c r="T218" i="6" s="1"/>
  <c r="V218" i="6"/>
  <c r="X218" i="6"/>
  <c r="R219" i="6"/>
  <c r="S219" i="6"/>
  <c r="T219" i="6"/>
  <c r="V219" i="6"/>
  <c r="X219" i="6"/>
  <c r="R220" i="6"/>
  <c r="S220" i="6"/>
  <c r="T220" i="6" s="1"/>
  <c r="V220" i="6"/>
  <c r="X220" i="6"/>
  <c r="R221" i="6"/>
  <c r="S221" i="6"/>
  <c r="T221" i="6" s="1"/>
  <c r="U221" i="6" s="1"/>
  <c r="V221" i="6"/>
  <c r="X221" i="6"/>
  <c r="R222" i="6"/>
  <c r="S222" i="6"/>
  <c r="T222" i="6" s="1"/>
  <c r="U222" i="6" s="1"/>
  <c r="V222" i="6"/>
  <c r="X222" i="6"/>
  <c r="R223" i="6"/>
  <c r="S223" i="6"/>
  <c r="T223" i="6" s="1"/>
  <c r="U223" i="6" s="1"/>
  <c r="V223" i="6"/>
  <c r="X223" i="6"/>
  <c r="R224" i="6"/>
  <c r="S224" i="6"/>
  <c r="T224" i="6"/>
  <c r="U224" i="6" s="1"/>
  <c r="V224" i="6"/>
  <c r="X224" i="6"/>
  <c r="R225" i="6"/>
  <c r="S225" i="6"/>
  <c r="T225" i="6" s="1"/>
  <c r="U225" i="6" s="1"/>
  <c r="V225" i="6"/>
  <c r="X225" i="6"/>
  <c r="R226" i="6"/>
  <c r="S226" i="6"/>
  <c r="T226" i="6" s="1"/>
  <c r="V226" i="6"/>
  <c r="X226" i="6"/>
  <c r="R227" i="6"/>
  <c r="S227" i="6"/>
  <c r="T227" i="6" s="1"/>
  <c r="V227" i="6"/>
  <c r="X227" i="6"/>
  <c r="R228" i="6"/>
  <c r="S228" i="6"/>
  <c r="T228" i="6" s="1"/>
  <c r="V228" i="6"/>
  <c r="X228" i="6"/>
  <c r="R229" i="6"/>
  <c r="S229" i="6"/>
  <c r="T229" i="6" s="1"/>
  <c r="V229" i="6"/>
  <c r="X229" i="6"/>
  <c r="R230" i="6"/>
  <c r="S230" i="6"/>
  <c r="T230" i="6"/>
  <c r="V230" i="6"/>
  <c r="X230" i="6"/>
  <c r="R231" i="6"/>
  <c r="S231" i="6"/>
  <c r="T231" i="6" s="1"/>
  <c r="V231" i="6"/>
  <c r="X231" i="6"/>
  <c r="R232" i="6"/>
  <c r="S232" i="6"/>
  <c r="T232" i="6" s="1"/>
  <c r="V232" i="6"/>
  <c r="X232" i="6"/>
  <c r="R233" i="6"/>
  <c r="S233" i="6"/>
  <c r="T233" i="6" s="1"/>
  <c r="V233" i="6"/>
  <c r="X233" i="6"/>
  <c r="R234" i="6"/>
  <c r="S234" i="6"/>
  <c r="T234" i="6" s="1"/>
  <c r="V234" i="6"/>
  <c r="X234" i="6"/>
  <c r="R235" i="6"/>
  <c r="S235" i="6"/>
  <c r="T235" i="6" s="1"/>
  <c r="V235" i="6"/>
  <c r="X235" i="6"/>
  <c r="R236" i="6"/>
  <c r="S236" i="6"/>
  <c r="T236" i="6" s="1"/>
  <c r="V236" i="6"/>
  <c r="X236" i="6"/>
  <c r="R237" i="6"/>
  <c r="S237" i="6"/>
  <c r="T237" i="6" s="1"/>
  <c r="V237" i="6"/>
  <c r="X237" i="6"/>
  <c r="R238" i="6"/>
  <c r="S238" i="6"/>
  <c r="T238" i="6"/>
  <c r="U238" i="6" s="1"/>
  <c r="V238" i="6"/>
  <c r="X238" i="6"/>
  <c r="R239" i="6"/>
  <c r="S239" i="6"/>
  <c r="T239" i="6" s="1"/>
  <c r="V239" i="6"/>
  <c r="X239" i="6"/>
  <c r="R240" i="6"/>
  <c r="AB240" i="6" s="1"/>
  <c r="S240" i="6"/>
  <c r="T240" i="6" s="1"/>
  <c r="U240" i="6" s="1"/>
  <c r="V240" i="6"/>
  <c r="X240" i="6"/>
  <c r="R241" i="6"/>
  <c r="S241" i="6"/>
  <c r="T241" i="6" s="1"/>
  <c r="U241" i="6" s="1"/>
  <c r="V241" i="6"/>
  <c r="X241" i="6"/>
  <c r="R242" i="6"/>
  <c r="S242" i="6"/>
  <c r="T242" i="6" s="1"/>
  <c r="V242" i="6"/>
  <c r="X242" i="6"/>
  <c r="R243" i="6"/>
  <c r="S243" i="6"/>
  <c r="T243" i="6"/>
  <c r="V243" i="6"/>
  <c r="X243" i="6"/>
  <c r="R244" i="6"/>
  <c r="S244" i="6"/>
  <c r="T244" i="6" s="1"/>
  <c r="V244" i="6"/>
  <c r="X244" i="6"/>
  <c r="R245" i="6"/>
  <c r="S245" i="6"/>
  <c r="T245" i="6" s="1"/>
  <c r="V245" i="6"/>
  <c r="X245" i="6"/>
  <c r="R246" i="6"/>
  <c r="S246" i="6"/>
  <c r="T246" i="6" s="1"/>
  <c r="V246" i="6"/>
  <c r="X246" i="6"/>
  <c r="R247" i="6"/>
  <c r="S247" i="6"/>
  <c r="T247" i="6" s="1"/>
  <c r="V247" i="6"/>
  <c r="X247" i="6"/>
  <c r="R248" i="6"/>
  <c r="S248" i="6"/>
  <c r="T248" i="6" s="1"/>
  <c r="V248" i="6"/>
  <c r="X248" i="6"/>
  <c r="R249" i="6"/>
  <c r="S249" i="6"/>
  <c r="T249" i="6" s="1"/>
  <c r="V249" i="6"/>
  <c r="X249" i="6"/>
  <c r="R250" i="6"/>
  <c r="S250" i="6"/>
  <c r="T250" i="6" s="1"/>
  <c r="V250" i="6"/>
  <c r="X250" i="6"/>
  <c r="R251" i="6"/>
  <c r="S251" i="6"/>
  <c r="T251" i="6"/>
  <c r="V251" i="6"/>
  <c r="X251" i="6"/>
  <c r="R252" i="6"/>
  <c r="S252" i="6"/>
  <c r="T252" i="6" s="1"/>
  <c r="V252" i="6"/>
  <c r="X252" i="6"/>
  <c r="R253" i="6"/>
  <c r="S253" i="6"/>
  <c r="T253" i="6" s="1"/>
  <c r="V253" i="6"/>
  <c r="X253" i="6"/>
  <c r="R254" i="6"/>
  <c r="S254" i="6"/>
  <c r="T254" i="6" s="1"/>
  <c r="V254" i="6"/>
  <c r="X254" i="6"/>
  <c r="R255" i="6"/>
  <c r="S255" i="6"/>
  <c r="T255" i="6" s="1"/>
  <c r="U255" i="6" s="1"/>
  <c r="V255" i="6"/>
  <c r="X255" i="6"/>
  <c r="R256" i="6"/>
  <c r="S256" i="6"/>
  <c r="T256" i="6" s="1"/>
  <c r="U256" i="6" s="1"/>
  <c r="V256" i="6"/>
  <c r="X256" i="6"/>
  <c r="R257" i="6"/>
  <c r="S257" i="6"/>
  <c r="T257" i="6"/>
  <c r="V257" i="6"/>
  <c r="X257" i="6"/>
  <c r="R258" i="6"/>
  <c r="S258" i="6"/>
  <c r="T258" i="6" s="1"/>
  <c r="V258" i="6"/>
  <c r="X258" i="6"/>
  <c r="R259" i="6"/>
  <c r="S259" i="6"/>
  <c r="T259" i="6" s="1"/>
  <c r="V259" i="6"/>
  <c r="X259" i="6"/>
  <c r="R260" i="6"/>
  <c r="S260" i="6"/>
  <c r="T260" i="6" s="1"/>
  <c r="V260" i="6"/>
  <c r="X260" i="6"/>
  <c r="R261" i="6"/>
  <c r="S261" i="6"/>
  <c r="T261" i="6" s="1"/>
  <c r="V261" i="6"/>
  <c r="X261" i="6"/>
  <c r="R262" i="6"/>
  <c r="S262" i="6"/>
  <c r="T262" i="6" s="1"/>
  <c r="V262" i="6"/>
  <c r="X262" i="6"/>
  <c r="R263" i="6"/>
  <c r="S263" i="6"/>
  <c r="T263" i="6" s="1"/>
  <c r="V263" i="6"/>
  <c r="X263" i="6"/>
  <c r="R264" i="6"/>
  <c r="S264" i="6"/>
  <c r="T264" i="6" s="1"/>
  <c r="U264" i="6" s="1"/>
  <c r="V264" i="6"/>
  <c r="X264" i="6"/>
  <c r="R265" i="6"/>
  <c r="S265" i="6"/>
  <c r="T265" i="6" s="1"/>
  <c r="V265" i="6"/>
  <c r="X265" i="6"/>
  <c r="R266" i="6"/>
  <c r="S266" i="6"/>
  <c r="T266" i="6"/>
  <c r="U266" i="6" s="1"/>
  <c r="V266" i="6"/>
  <c r="X266" i="6"/>
  <c r="R267" i="6"/>
  <c r="S267" i="6"/>
  <c r="T267" i="6" s="1"/>
  <c r="V267" i="6"/>
  <c r="X267" i="6"/>
  <c r="R268" i="6"/>
  <c r="S268" i="6"/>
  <c r="T268" i="6" s="1"/>
  <c r="U268" i="6" s="1"/>
  <c r="V268" i="6"/>
  <c r="X268" i="6"/>
  <c r="R269" i="6"/>
  <c r="S269" i="6"/>
  <c r="T269" i="6" s="1"/>
  <c r="U269" i="6" s="1"/>
  <c r="V269" i="6"/>
  <c r="X269" i="6"/>
  <c r="R270" i="6"/>
  <c r="S270" i="6"/>
  <c r="T270" i="6" s="1"/>
  <c r="U270" i="6" s="1"/>
  <c r="V270" i="6"/>
  <c r="X270" i="6"/>
  <c r="R271" i="6"/>
  <c r="S271" i="6"/>
  <c r="T271" i="6"/>
  <c r="V271" i="6"/>
  <c r="X271" i="6"/>
  <c r="R272" i="6"/>
  <c r="S272" i="6"/>
  <c r="T272" i="6" s="1"/>
  <c r="V272" i="6"/>
  <c r="X272" i="6"/>
  <c r="R273" i="6"/>
  <c r="S273" i="6"/>
  <c r="T273" i="6" s="1"/>
  <c r="V273" i="6"/>
  <c r="X273" i="6"/>
  <c r="R274" i="6"/>
  <c r="S274" i="6"/>
  <c r="T274" i="6" s="1"/>
  <c r="V274" i="6"/>
  <c r="X274" i="6"/>
  <c r="R275" i="6"/>
  <c r="S275" i="6"/>
  <c r="T275" i="6" s="1"/>
  <c r="V275" i="6"/>
  <c r="X275" i="6"/>
  <c r="R276" i="6"/>
  <c r="S276" i="6"/>
  <c r="T276" i="6" s="1"/>
  <c r="V276" i="6"/>
  <c r="X276" i="6"/>
  <c r="R277" i="6"/>
  <c r="S277" i="6"/>
  <c r="T277" i="6" s="1"/>
  <c r="V277" i="6"/>
  <c r="X277" i="6"/>
  <c r="R278" i="6"/>
  <c r="S278" i="6"/>
  <c r="T278" i="6" s="1"/>
  <c r="V278" i="6"/>
  <c r="X278" i="6"/>
  <c r="R279" i="6"/>
  <c r="S279" i="6"/>
  <c r="T279" i="6"/>
  <c r="V279" i="6"/>
  <c r="X279" i="6"/>
  <c r="R280" i="6"/>
  <c r="S280" i="6"/>
  <c r="T280" i="6" s="1"/>
  <c r="V280" i="6"/>
  <c r="X280" i="6"/>
  <c r="R281" i="6"/>
  <c r="S281" i="6"/>
  <c r="T281" i="6" s="1"/>
  <c r="V281" i="6"/>
  <c r="X281" i="6"/>
  <c r="R282" i="6"/>
  <c r="S282" i="6"/>
  <c r="T282" i="6" s="1"/>
  <c r="V282" i="6"/>
  <c r="X282" i="6"/>
  <c r="R283" i="6"/>
  <c r="S283" i="6"/>
  <c r="T283" i="6" s="1"/>
  <c r="U283" i="6" s="1"/>
  <c r="V283" i="6"/>
  <c r="X283" i="6"/>
  <c r="R284" i="6"/>
  <c r="S284" i="6"/>
  <c r="T284" i="6" s="1"/>
  <c r="V284" i="6"/>
  <c r="X284" i="6"/>
  <c r="X83" i="6"/>
  <c r="V83" i="6"/>
  <c r="S83" i="6"/>
  <c r="T83" i="6"/>
  <c r="R83" i="6"/>
  <c r="AB83" i="6" s="1"/>
  <c r="R8" i="6"/>
  <c r="R9" i="6"/>
  <c r="AB9" i="6" s="1"/>
  <c r="R10" i="6"/>
  <c r="R11" i="6"/>
  <c r="AB11" i="6" s="1"/>
  <c r="R12" i="6"/>
  <c r="R13" i="6"/>
  <c r="R14" i="6"/>
  <c r="R15" i="6"/>
  <c r="R16" i="6"/>
  <c r="R17" i="6"/>
  <c r="R18" i="6"/>
  <c r="R19" i="6"/>
  <c r="AB19" i="6" s="1"/>
  <c r="R20" i="6"/>
  <c r="R21" i="6"/>
  <c r="R22" i="6"/>
  <c r="R23" i="6"/>
  <c r="R24" i="6"/>
  <c r="R25" i="6"/>
  <c r="AB25" i="6" s="1"/>
  <c r="R26" i="6"/>
  <c r="R27" i="6"/>
  <c r="R28" i="6"/>
  <c r="AB28" i="6" s="1"/>
  <c r="R29" i="6"/>
  <c r="AB29" i="6" s="1"/>
  <c r="R30" i="6"/>
  <c r="R31" i="6"/>
  <c r="R32" i="6"/>
  <c r="AB32" i="6" s="1"/>
  <c r="R33" i="6"/>
  <c r="R34" i="6"/>
  <c r="R35" i="6"/>
  <c r="R36" i="6"/>
  <c r="R37" i="6"/>
  <c r="R38" i="6"/>
  <c r="R39" i="6"/>
  <c r="R40" i="6"/>
  <c r="R41" i="6"/>
  <c r="R42" i="6"/>
  <c r="R43" i="6"/>
  <c r="R44" i="6"/>
  <c r="R45" i="6"/>
  <c r="R46" i="6"/>
  <c r="R47" i="6"/>
  <c r="R48" i="6"/>
  <c r="R49" i="6"/>
  <c r="R50" i="6"/>
  <c r="R51" i="6"/>
  <c r="R52" i="6"/>
  <c r="R53" i="6"/>
  <c r="R54" i="6"/>
  <c r="R55" i="6"/>
  <c r="R56" i="6"/>
  <c r="R57" i="6"/>
  <c r="R58" i="6"/>
  <c r="R59" i="6"/>
  <c r="R60" i="6"/>
  <c r="R61" i="6"/>
  <c r="AB61" i="6" s="1"/>
  <c r="R62" i="6"/>
  <c r="R63" i="6"/>
  <c r="R64" i="6"/>
  <c r="R65" i="6"/>
  <c r="R66" i="6"/>
  <c r="R67" i="6"/>
  <c r="R68" i="6"/>
  <c r="R69" i="6"/>
  <c r="R70" i="6"/>
  <c r="R71" i="6"/>
  <c r="R72" i="6"/>
  <c r="R73" i="6"/>
  <c r="R74" i="6"/>
  <c r="R75" i="6"/>
  <c r="R76" i="6"/>
  <c r="AB76" i="6" s="1"/>
  <c r="R77" i="6"/>
  <c r="AB77" i="6" s="1"/>
  <c r="R78" i="6"/>
  <c r="R7" i="6"/>
  <c r="AB7" i="6" s="1"/>
  <c r="AR39" i="8"/>
  <c r="AR40" i="8"/>
  <c r="AR41" i="8"/>
  <c r="AR38" i="8"/>
  <c r="F3" i="8"/>
  <c r="I3" i="8"/>
  <c r="F4" i="8"/>
  <c r="I4" i="8"/>
  <c r="F5" i="8"/>
  <c r="I5" i="8"/>
  <c r="F6" i="8"/>
  <c r="I6" i="8"/>
  <c r="F7" i="8"/>
  <c r="F25" i="8" s="1"/>
  <c r="I7" i="8"/>
  <c r="F8" i="8"/>
  <c r="F30" i="8" s="1"/>
  <c r="I8" i="8"/>
  <c r="F9" i="8"/>
  <c r="F37" i="8" s="1"/>
  <c r="I9" i="8"/>
  <c r="F10" i="8"/>
  <c r="F31" i="8" s="1"/>
  <c r="I10" i="8"/>
  <c r="F11" i="8"/>
  <c r="F32" i="8" s="1"/>
  <c r="I11" i="8"/>
  <c r="F12" i="8"/>
  <c r="F26" i="8" s="1"/>
  <c r="I12" i="8"/>
  <c r="F13" i="8"/>
  <c r="F33" i="8" s="1"/>
  <c r="I13" i="8"/>
  <c r="F14" i="8"/>
  <c r="F38" i="8" s="1"/>
  <c r="I14" i="8"/>
  <c r="F15" i="8"/>
  <c r="F27" i="8" s="1"/>
  <c r="I15" i="8"/>
  <c r="F16" i="8"/>
  <c r="F34" i="8" s="1"/>
  <c r="I16" i="8"/>
  <c r="F17" i="8"/>
  <c r="F39" i="8" s="1"/>
  <c r="I17" i="8"/>
  <c r="F18" i="8"/>
  <c r="F28" i="8" s="1"/>
  <c r="I18" i="8"/>
  <c r="I19" i="8"/>
  <c r="I20" i="8"/>
  <c r="I21" i="8"/>
  <c r="I22" i="8"/>
  <c r="I23" i="8"/>
  <c r="I24" i="8"/>
  <c r="I25" i="8"/>
  <c r="I26" i="8"/>
  <c r="I27" i="8"/>
  <c r="I28" i="8"/>
  <c r="I29" i="8"/>
  <c r="I30" i="8"/>
  <c r="I31" i="8"/>
  <c r="I32" i="8"/>
  <c r="I33" i="8"/>
  <c r="AD39" i="8"/>
  <c r="AH39" i="8"/>
  <c r="AD40" i="8"/>
  <c r="AH40" i="8"/>
  <c r="AD41" i="8"/>
  <c r="AH41" i="8"/>
  <c r="AD42" i="8"/>
  <c r="AH42" i="8"/>
  <c r="AD43" i="8"/>
  <c r="AH43" i="8"/>
  <c r="AD44" i="8"/>
  <c r="AH44" i="8"/>
  <c r="AD45" i="8"/>
  <c r="AH45" i="8"/>
  <c r="AH46" i="8"/>
  <c r="AH47" i="8"/>
  <c r="AH48" i="8"/>
  <c r="AH49" i="8"/>
  <c r="A92" i="8"/>
  <c r="A91" i="8"/>
  <c r="A96" i="8"/>
  <c r="A97" i="8" s="1"/>
  <c r="B97" i="8" s="1"/>
  <c r="S77" i="6"/>
  <c r="T77" i="6" s="1"/>
  <c r="V77" i="6"/>
  <c r="X77" i="6"/>
  <c r="S78" i="6"/>
  <c r="T78" i="6" s="1"/>
  <c r="V78" i="6"/>
  <c r="X78" i="6"/>
  <c r="S62" i="6"/>
  <c r="T62" i="6" s="1"/>
  <c r="V62" i="6"/>
  <c r="X62" i="6"/>
  <c r="S63" i="6"/>
  <c r="T63" i="6" s="1"/>
  <c r="V63" i="6"/>
  <c r="X63" i="6"/>
  <c r="S46" i="6"/>
  <c r="T46" i="6" s="1"/>
  <c r="V46" i="6"/>
  <c r="X46" i="6"/>
  <c r="S47" i="6"/>
  <c r="T47" i="6" s="1"/>
  <c r="V47" i="6"/>
  <c r="X47" i="6"/>
  <c r="S48" i="6"/>
  <c r="T48" i="6"/>
  <c r="V48" i="6"/>
  <c r="X48" i="6"/>
  <c r="S76" i="6"/>
  <c r="T76" i="6" s="1"/>
  <c r="X76" i="6"/>
  <c r="V76" i="6"/>
  <c r="S61" i="6"/>
  <c r="T61" i="6"/>
  <c r="W61" i="6"/>
  <c r="X61" i="6"/>
  <c r="V61" i="6"/>
  <c r="S45" i="6"/>
  <c r="T45" i="6"/>
  <c r="W45" i="6" s="1"/>
  <c r="X45" i="6"/>
  <c r="V45" i="6"/>
  <c r="S65" i="6"/>
  <c r="T65" i="6" s="1"/>
  <c r="V65" i="6"/>
  <c r="X65" i="6"/>
  <c r="S66" i="6"/>
  <c r="T66" i="6" s="1"/>
  <c r="V66" i="6"/>
  <c r="X66" i="6"/>
  <c r="S67" i="6"/>
  <c r="T67" i="6" s="1"/>
  <c r="V67" i="6"/>
  <c r="X67" i="6"/>
  <c r="S68" i="6"/>
  <c r="T68" i="6"/>
  <c r="V68" i="6"/>
  <c r="X68" i="6"/>
  <c r="S69" i="6"/>
  <c r="T69" i="6"/>
  <c r="V69" i="6"/>
  <c r="X69" i="6"/>
  <c r="S70" i="6"/>
  <c r="T70" i="6" s="1"/>
  <c r="V70" i="6"/>
  <c r="X70" i="6"/>
  <c r="S71" i="6"/>
  <c r="T71" i="6"/>
  <c r="V71" i="6"/>
  <c r="X71" i="6"/>
  <c r="S72" i="6"/>
  <c r="T72" i="6"/>
  <c r="V72" i="6"/>
  <c r="X72" i="6"/>
  <c r="S73" i="6"/>
  <c r="T73" i="6"/>
  <c r="V73" i="6"/>
  <c r="X73" i="6"/>
  <c r="S74" i="6"/>
  <c r="T74" i="6"/>
  <c r="V74" i="6"/>
  <c r="X74" i="6"/>
  <c r="S75" i="6"/>
  <c r="T75" i="6"/>
  <c r="U75" i="6" s="1"/>
  <c r="V75" i="6"/>
  <c r="X75" i="6"/>
  <c r="S50" i="6"/>
  <c r="T50" i="6" s="1"/>
  <c r="V50" i="6"/>
  <c r="X50" i="6"/>
  <c r="S51" i="6"/>
  <c r="T51" i="6" s="1"/>
  <c r="V51" i="6"/>
  <c r="X51" i="6"/>
  <c r="S52" i="6"/>
  <c r="T52" i="6" s="1"/>
  <c r="V52" i="6"/>
  <c r="X52" i="6"/>
  <c r="S53" i="6"/>
  <c r="T53" i="6"/>
  <c r="V53" i="6"/>
  <c r="X53" i="6"/>
  <c r="S54" i="6"/>
  <c r="T54" i="6"/>
  <c r="V54" i="6"/>
  <c r="X54" i="6"/>
  <c r="S55" i="6"/>
  <c r="T55" i="6" s="1"/>
  <c r="V55" i="6"/>
  <c r="X55" i="6"/>
  <c r="S56" i="6"/>
  <c r="T56" i="6" s="1"/>
  <c r="V56" i="6"/>
  <c r="X56" i="6"/>
  <c r="S57" i="6"/>
  <c r="T57" i="6" s="1"/>
  <c r="V57" i="6"/>
  <c r="X57" i="6"/>
  <c r="S58" i="6"/>
  <c r="T58" i="6" s="1"/>
  <c r="V58" i="6"/>
  <c r="X58" i="6"/>
  <c r="S59" i="6"/>
  <c r="T59" i="6" s="1"/>
  <c r="V59" i="6"/>
  <c r="X59" i="6"/>
  <c r="S60" i="6"/>
  <c r="T60" i="6" s="1"/>
  <c r="V60" i="6"/>
  <c r="X60" i="6"/>
  <c r="S34" i="6"/>
  <c r="T34" i="6" s="1"/>
  <c r="V34" i="6"/>
  <c r="X34" i="6"/>
  <c r="S35" i="6"/>
  <c r="T35" i="6" s="1"/>
  <c r="V35" i="6"/>
  <c r="X35" i="6"/>
  <c r="S36" i="6"/>
  <c r="T36" i="6" s="1"/>
  <c r="V36" i="6"/>
  <c r="X36" i="6"/>
  <c r="S37" i="6"/>
  <c r="T37" i="6" s="1"/>
  <c r="V37" i="6"/>
  <c r="X37" i="6"/>
  <c r="S38" i="6"/>
  <c r="T38" i="6" s="1"/>
  <c r="V38" i="6"/>
  <c r="X38" i="6"/>
  <c r="S39" i="6"/>
  <c r="T39" i="6" s="1"/>
  <c r="V39" i="6"/>
  <c r="X39" i="6"/>
  <c r="S40" i="6"/>
  <c r="T40" i="6" s="1"/>
  <c r="V40" i="6"/>
  <c r="X40" i="6"/>
  <c r="S41" i="6"/>
  <c r="T41" i="6"/>
  <c r="U41" i="6" s="1"/>
  <c r="V41" i="6"/>
  <c r="X41" i="6"/>
  <c r="S42" i="6"/>
  <c r="T42" i="6" s="1"/>
  <c r="V42" i="6"/>
  <c r="X42" i="6"/>
  <c r="S43" i="6"/>
  <c r="T43" i="6" s="1"/>
  <c r="V43" i="6"/>
  <c r="X43" i="6"/>
  <c r="S44" i="6"/>
  <c r="T44" i="6" s="1"/>
  <c r="V44" i="6"/>
  <c r="X44" i="6"/>
  <c r="S64" i="6"/>
  <c r="T64" i="6" s="1"/>
  <c r="X64" i="6"/>
  <c r="V64" i="6"/>
  <c r="S49" i="6"/>
  <c r="T49" i="6"/>
  <c r="X49" i="6"/>
  <c r="V49" i="6"/>
  <c r="S33" i="6"/>
  <c r="T33" i="6" s="1"/>
  <c r="X33" i="6"/>
  <c r="V33" i="6"/>
  <c r="P9" i="7"/>
  <c r="P8" i="7"/>
  <c r="P6" i="7"/>
  <c r="P5" i="7"/>
  <c r="P3" i="7"/>
  <c r="P2" i="7"/>
  <c r="S25" i="6"/>
  <c r="T25" i="6"/>
  <c r="W25" i="6" s="1"/>
  <c r="Y25" i="6" s="1"/>
  <c r="X25" i="6"/>
  <c r="X32" i="6"/>
  <c r="X31" i="6"/>
  <c r="S32" i="6"/>
  <c r="T32" i="6"/>
  <c r="S31" i="6"/>
  <c r="T31" i="6"/>
  <c r="X26" i="6"/>
  <c r="X27" i="6"/>
  <c r="X28" i="6"/>
  <c r="X29" i="6"/>
  <c r="X30" i="6"/>
  <c r="S26" i="6"/>
  <c r="T26" i="6"/>
  <c r="S27" i="6"/>
  <c r="T27" i="6" s="1"/>
  <c r="S28" i="6"/>
  <c r="T28" i="6"/>
  <c r="W28" i="6"/>
  <c r="S29" i="6"/>
  <c r="T29" i="6"/>
  <c r="S30" i="6"/>
  <c r="T30" i="6"/>
  <c r="V32" i="6"/>
  <c r="V31" i="6"/>
  <c r="V26" i="6"/>
  <c r="V27" i="6"/>
  <c r="V28" i="6"/>
  <c r="V29" i="6"/>
  <c r="V30" i="6"/>
  <c r="V25" i="6"/>
  <c r="S20" i="6"/>
  <c r="T20" i="6" s="1"/>
  <c r="V20" i="6"/>
  <c r="X20" i="6"/>
  <c r="S21" i="6"/>
  <c r="T21" i="6" s="1"/>
  <c r="V21" i="6"/>
  <c r="X21" i="6"/>
  <c r="S22" i="6"/>
  <c r="T22" i="6"/>
  <c r="V22" i="6"/>
  <c r="X22" i="6"/>
  <c r="S23" i="6"/>
  <c r="T23" i="6" s="1"/>
  <c r="V23" i="6"/>
  <c r="X23" i="6"/>
  <c r="S24" i="6"/>
  <c r="T24" i="6" s="1"/>
  <c r="V24" i="6"/>
  <c r="X24" i="6"/>
  <c r="S19" i="6"/>
  <c r="T19" i="6"/>
  <c r="X19" i="6"/>
  <c r="V19" i="6"/>
  <c r="S8" i="6"/>
  <c r="T8" i="6" s="1"/>
  <c r="V8" i="6"/>
  <c r="X8" i="6"/>
  <c r="S9" i="6"/>
  <c r="T9" i="6" s="1"/>
  <c r="V9" i="6"/>
  <c r="X9" i="6"/>
  <c r="S10" i="6"/>
  <c r="T10" i="6" s="1"/>
  <c r="V10" i="6"/>
  <c r="X10" i="6"/>
  <c r="S11" i="6"/>
  <c r="T11" i="6" s="1"/>
  <c r="V11" i="6"/>
  <c r="X11" i="6"/>
  <c r="S12" i="6"/>
  <c r="T12" i="6"/>
  <c r="U12" i="6" s="1"/>
  <c r="V12" i="6"/>
  <c r="X12" i="6"/>
  <c r="S13" i="6"/>
  <c r="T13" i="6" s="1"/>
  <c r="V13" i="6"/>
  <c r="X13" i="6"/>
  <c r="S14" i="6"/>
  <c r="T14" i="6" s="1"/>
  <c r="V14" i="6"/>
  <c r="X14" i="6"/>
  <c r="S15" i="6"/>
  <c r="T15" i="6" s="1"/>
  <c r="V15" i="6"/>
  <c r="X15" i="6"/>
  <c r="S16" i="6"/>
  <c r="T16" i="6" s="1"/>
  <c r="V16" i="6"/>
  <c r="X16" i="6"/>
  <c r="S17" i="6"/>
  <c r="T17" i="6" s="1"/>
  <c r="V17" i="6"/>
  <c r="X17" i="6"/>
  <c r="S18" i="6"/>
  <c r="T18" i="6" s="1"/>
  <c r="V18" i="6"/>
  <c r="X18" i="6"/>
  <c r="X7" i="6"/>
  <c r="S7" i="6"/>
  <c r="T7" i="6" s="1"/>
  <c r="V7" i="6"/>
  <c r="B92" i="8"/>
  <c r="U127" i="6"/>
  <c r="W127" i="6"/>
  <c r="Y127" i="6"/>
  <c r="W118" i="6"/>
  <c r="Y118" i="6"/>
  <c r="U92" i="6"/>
  <c r="W92" i="6"/>
  <c r="Y92" i="6"/>
  <c r="W168" i="6"/>
  <c r="Y168" i="6" s="1"/>
  <c r="W283" i="6"/>
  <c r="Y283" i="6" s="1"/>
  <c r="U281" i="6"/>
  <c r="W281" i="6"/>
  <c r="Y281" i="6" s="1"/>
  <c r="U279" i="6"/>
  <c r="W279" i="6"/>
  <c r="Y279" i="6" s="1"/>
  <c r="U277" i="6"/>
  <c r="W277" i="6"/>
  <c r="Y277" i="6" s="1"/>
  <c r="U275" i="6"/>
  <c r="W275" i="6"/>
  <c r="Y275" i="6" s="1"/>
  <c r="U273" i="6"/>
  <c r="W273" i="6"/>
  <c r="Y273" i="6" s="1"/>
  <c r="U271" i="6"/>
  <c r="W271" i="6"/>
  <c r="Y271" i="6" s="1"/>
  <c r="W270" i="6"/>
  <c r="Y270" i="6" s="1"/>
  <c r="W269" i="6"/>
  <c r="Y269" i="6" s="1"/>
  <c r="W268" i="6"/>
  <c r="Y268" i="6" s="1"/>
  <c r="W266" i="6"/>
  <c r="Y266" i="6" s="1"/>
  <c r="W264" i="6"/>
  <c r="Y264" i="6" s="1"/>
  <c r="U261" i="6"/>
  <c r="W261" i="6"/>
  <c r="Y261" i="6" s="1"/>
  <c r="U259" i="6"/>
  <c r="W259" i="6"/>
  <c r="Y259" i="6" s="1"/>
  <c r="U257" i="6"/>
  <c r="W257" i="6"/>
  <c r="Y257" i="6" s="1"/>
  <c r="W256" i="6"/>
  <c r="Y256" i="6" s="1"/>
  <c r="W255" i="6"/>
  <c r="Y255" i="6" s="1"/>
  <c r="U253" i="6"/>
  <c r="W253" i="6"/>
  <c r="Y253" i="6" s="1"/>
  <c r="U251" i="6"/>
  <c r="W251" i="6"/>
  <c r="Y251" i="6" s="1"/>
  <c r="U249" i="6"/>
  <c r="W249" i="6"/>
  <c r="Y249" i="6" s="1"/>
  <c r="U247" i="6"/>
  <c r="W247" i="6"/>
  <c r="Y247" i="6" s="1"/>
  <c r="U245" i="6"/>
  <c r="W245" i="6"/>
  <c r="Y245" i="6" s="1"/>
  <c r="U243" i="6"/>
  <c r="W243" i="6"/>
  <c r="Y243" i="6" s="1"/>
  <c r="W241" i="6"/>
  <c r="Y241" i="6" s="1"/>
  <c r="W240" i="6"/>
  <c r="Y240" i="6"/>
  <c r="W238" i="6"/>
  <c r="Y238" i="6" s="1"/>
  <c r="U236" i="6"/>
  <c r="W236" i="6"/>
  <c r="Y236" i="6" s="1"/>
  <c r="U234" i="6"/>
  <c r="W234" i="6"/>
  <c r="Y234" i="6" s="1"/>
  <c r="U232" i="6"/>
  <c r="W232" i="6"/>
  <c r="Y232" i="6" s="1"/>
  <c r="U230" i="6"/>
  <c r="W230" i="6"/>
  <c r="Y230" i="6" s="1"/>
  <c r="U228" i="6"/>
  <c r="W228" i="6"/>
  <c r="Y228" i="6" s="1"/>
  <c r="U226" i="6"/>
  <c r="W226" i="6"/>
  <c r="Y226" i="6" s="1"/>
  <c r="W225" i="6"/>
  <c r="Y225" i="6" s="1"/>
  <c r="W224" i="6"/>
  <c r="Y224" i="6" s="1"/>
  <c r="W223" i="6"/>
  <c r="Y223" i="6" s="1"/>
  <c r="W222" i="6"/>
  <c r="Y222" i="6" s="1"/>
  <c r="W221" i="6"/>
  <c r="Y221" i="6" s="1"/>
  <c r="U219" i="6"/>
  <c r="W219" i="6"/>
  <c r="Y219" i="6" s="1"/>
  <c r="U217" i="6"/>
  <c r="W217" i="6"/>
  <c r="Y217" i="6" s="1"/>
  <c r="U215" i="6"/>
  <c r="W215" i="6"/>
  <c r="Y215" i="6" s="1"/>
  <c r="U213" i="6"/>
  <c r="W213" i="6"/>
  <c r="Y213" i="6" s="1"/>
  <c r="U211" i="6"/>
  <c r="W211" i="6"/>
  <c r="Y211" i="6" s="1"/>
  <c r="U209" i="6"/>
  <c r="W209" i="6"/>
  <c r="Y209" i="6" s="1"/>
  <c r="W207" i="6"/>
  <c r="Y207" i="6" s="1"/>
  <c r="W205" i="6"/>
  <c r="Y205" i="6" s="1"/>
  <c r="U203" i="6"/>
  <c r="W203" i="6"/>
  <c r="Y203" i="6" s="1"/>
  <c r="U201" i="6"/>
  <c r="W201" i="6"/>
  <c r="Y201" i="6" s="1"/>
  <c r="U199" i="6"/>
  <c r="W199" i="6"/>
  <c r="Y199" i="6" s="1"/>
  <c r="U197" i="6"/>
  <c r="W197" i="6"/>
  <c r="Y197" i="6" s="1"/>
  <c r="U195" i="6"/>
  <c r="W195" i="6"/>
  <c r="Y195" i="6" s="1"/>
  <c r="U193" i="6"/>
  <c r="W193" i="6"/>
  <c r="Y193" i="6" s="1"/>
  <c r="W192" i="6"/>
  <c r="Y192" i="6" s="1"/>
  <c r="W191" i="6"/>
  <c r="Y191" i="6" s="1"/>
  <c r="W188" i="6"/>
  <c r="Y188" i="6" s="1"/>
  <c r="W185" i="6"/>
  <c r="Y185" i="6" s="1"/>
  <c r="W184" i="6"/>
  <c r="Y184" i="6" s="1"/>
  <c r="W183" i="6"/>
  <c r="Y183" i="6" s="1"/>
  <c r="U181" i="6"/>
  <c r="W181" i="6"/>
  <c r="Y181" i="6" s="1"/>
  <c r="U179" i="6"/>
  <c r="W179" i="6"/>
  <c r="Y179" i="6" s="1"/>
  <c r="U177" i="6"/>
  <c r="W177" i="6"/>
  <c r="Y177" i="6" s="1"/>
  <c r="U175" i="6"/>
  <c r="W175" i="6"/>
  <c r="Y175" i="6" s="1"/>
  <c r="U173" i="6"/>
  <c r="W173" i="6"/>
  <c r="Y173" i="6" s="1"/>
  <c r="W170" i="6"/>
  <c r="Y170" i="6" s="1"/>
  <c r="W169" i="6"/>
  <c r="Y169" i="6" s="1"/>
  <c r="U166" i="6"/>
  <c r="W166" i="6"/>
  <c r="Y166" i="6"/>
  <c r="U165" i="6"/>
  <c r="W165" i="6"/>
  <c r="Y165" i="6"/>
  <c r="U164" i="6"/>
  <c r="W164" i="6"/>
  <c r="Y164" i="6" s="1"/>
  <c r="U163" i="6"/>
  <c r="W163" i="6"/>
  <c r="Y163" i="6" s="1"/>
  <c r="U162" i="6"/>
  <c r="W162" i="6"/>
  <c r="Y162" i="6"/>
  <c r="U161" i="6"/>
  <c r="W161" i="6"/>
  <c r="Y161" i="6"/>
  <c r="U160" i="6"/>
  <c r="W160" i="6"/>
  <c r="Y160" i="6" s="1"/>
  <c r="U159" i="6"/>
  <c r="W159" i="6"/>
  <c r="Y159" i="6" s="1"/>
  <c r="U158" i="6"/>
  <c r="W158" i="6"/>
  <c r="Y158" i="6"/>
  <c r="U157" i="6"/>
  <c r="W157" i="6"/>
  <c r="Y157" i="6"/>
  <c r="W156" i="6"/>
  <c r="Y156" i="6" s="1"/>
  <c r="W155" i="6"/>
  <c r="Y155" i="6" s="1"/>
  <c r="U153" i="6"/>
  <c r="W153" i="6"/>
  <c r="Y153" i="6" s="1"/>
  <c r="U151" i="6"/>
  <c r="W151" i="6"/>
  <c r="Y151" i="6" s="1"/>
  <c r="U149" i="6"/>
  <c r="W149" i="6"/>
  <c r="Y149" i="6" s="1"/>
  <c r="U147" i="6"/>
  <c r="W147" i="6"/>
  <c r="Y147" i="6" s="1"/>
  <c r="U145" i="6"/>
  <c r="W145" i="6"/>
  <c r="Y145" i="6" s="1"/>
  <c r="U143" i="6"/>
  <c r="W143" i="6"/>
  <c r="Y143" i="6" s="1"/>
  <c r="W142" i="6"/>
  <c r="Y142" i="6"/>
  <c r="W141" i="6"/>
  <c r="Y141" i="6" s="1"/>
  <c r="W140" i="6"/>
  <c r="Y140" i="6"/>
  <c r="W139" i="6"/>
  <c r="Y139" i="6" s="1"/>
  <c r="W138" i="6"/>
  <c r="Y138" i="6"/>
  <c r="W137" i="6"/>
  <c r="Y137" i="6" s="1"/>
  <c r="W136" i="6"/>
  <c r="Y136" i="6"/>
  <c r="W135" i="6"/>
  <c r="Y135" i="6" s="1"/>
  <c r="W134" i="6"/>
  <c r="Y134" i="6"/>
  <c r="W133" i="6"/>
  <c r="Y133" i="6" s="1"/>
  <c r="W132" i="6"/>
  <c r="Y132" i="6"/>
  <c r="W131" i="6"/>
  <c r="Y131" i="6" s="1"/>
  <c r="U130" i="6"/>
  <c r="W130" i="6"/>
  <c r="Y130" i="6"/>
  <c r="U129" i="6"/>
  <c r="W129" i="6"/>
  <c r="Y129" i="6"/>
  <c r="U128" i="6"/>
  <c r="W128" i="6"/>
  <c r="Y128" i="6" s="1"/>
  <c r="W117" i="6"/>
  <c r="Y117" i="6"/>
  <c r="W116" i="6"/>
  <c r="Y116" i="6" s="1"/>
  <c r="W115" i="6"/>
  <c r="Y115" i="6"/>
  <c r="W114" i="6"/>
  <c r="Y114" i="6" s="1"/>
  <c r="W113" i="6"/>
  <c r="Y113" i="6"/>
  <c r="U112" i="6"/>
  <c r="W112" i="6"/>
  <c r="Y112" i="6"/>
  <c r="U111" i="6"/>
  <c r="W111" i="6"/>
  <c r="Y111" i="6" s="1"/>
  <c r="U110" i="6"/>
  <c r="W110" i="6"/>
  <c r="Y110" i="6" s="1"/>
  <c r="U109" i="6"/>
  <c r="W109" i="6"/>
  <c r="Y109" i="6"/>
  <c r="U108" i="6"/>
  <c r="W108" i="6"/>
  <c r="Y108" i="6"/>
  <c r="U107" i="6"/>
  <c r="W107" i="6"/>
  <c r="Y107" i="6" s="1"/>
  <c r="U106" i="6"/>
  <c r="W106" i="6"/>
  <c r="Y106" i="6" s="1"/>
  <c r="U105" i="6"/>
  <c r="W105" i="6"/>
  <c r="Y105" i="6"/>
  <c r="U104" i="6"/>
  <c r="W104" i="6"/>
  <c r="Y104" i="6"/>
  <c r="U103" i="6"/>
  <c r="W103" i="6"/>
  <c r="Y103" i="6" s="1"/>
  <c r="U102" i="6"/>
  <c r="W102" i="6"/>
  <c r="Y102" i="6" s="1"/>
  <c r="U101" i="6"/>
  <c r="W101" i="6"/>
  <c r="Y101" i="6"/>
  <c r="W100" i="6"/>
  <c r="Y100" i="6" s="1"/>
  <c r="W99" i="6"/>
  <c r="Y99" i="6"/>
  <c r="W98" i="6"/>
  <c r="Y98" i="6" s="1"/>
  <c r="W97" i="6"/>
  <c r="Y97" i="6"/>
  <c r="W96" i="6"/>
  <c r="Y96" i="6" s="1"/>
  <c r="W95" i="6"/>
  <c r="Y95" i="6"/>
  <c r="U94" i="6"/>
  <c r="W94" i="6"/>
  <c r="Y94" i="6"/>
  <c r="U93" i="6"/>
  <c r="W93" i="6"/>
  <c r="Y93" i="6" s="1"/>
  <c r="U126" i="6"/>
  <c r="W126" i="6"/>
  <c r="Y126" i="6" s="1"/>
  <c r="U125" i="6"/>
  <c r="W125" i="6"/>
  <c r="Y125" i="6"/>
  <c r="U124" i="6"/>
  <c r="W124" i="6"/>
  <c r="Y124" i="6"/>
  <c r="U123" i="6"/>
  <c r="W123" i="6"/>
  <c r="Y123" i="6" s="1"/>
  <c r="U122" i="6"/>
  <c r="W122" i="6"/>
  <c r="Y122" i="6" s="1"/>
  <c r="U121" i="6"/>
  <c r="W121" i="6"/>
  <c r="Y121" i="6"/>
  <c r="U120" i="6"/>
  <c r="W120" i="6"/>
  <c r="Y120" i="6"/>
  <c r="U119" i="6"/>
  <c r="W119" i="6"/>
  <c r="Y119" i="6" s="1"/>
  <c r="U91" i="6"/>
  <c r="W91" i="6"/>
  <c r="Y91" i="6" s="1"/>
  <c r="U90" i="6"/>
  <c r="W90" i="6"/>
  <c r="Y90" i="6"/>
  <c r="U89" i="6"/>
  <c r="W89" i="6"/>
  <c r="Y89" i="6"/>
  <c r="U88" i="6"/>
  <c r="W88" i="6"/>
  <c r="Y88" i="6" s="1"/>
  <c r="U87" i="6"/>
  <c r="W87" i="6"/>
  <c r="Y87" i="6" s="1"/>
  <c r="U86" i="6"/>
  <c r="W86" i="6"/>
  <c r="Y86" i="6"/>
  <c r="U85" i="6"/>
  <c r="W85" i="6"/>
  <c r="Y85" i="6"/>
  <c r="U84" i="6"/>
  <c r="W84" i="6"/>
  <c r="Y84" i="6" s="1"/>
  <c r="W83" i="6"/>
  <c r="Y83" i="6"/>
  <c r="U83" i="6"/>
  <c r="Y61" i="6"/>
  <c r="W74" i="6"/>
  <c r="Y74" i="6" s="1"/>
  <c r="U74" i="6"/>
  <c r="U53" i="6"/>
  <c r="W53" i="6"/>
  <c r="Y53" i="6" s="1"/>
  <c r="U71" i="6"/>
  <c r="W71" i="6"/>
  <c r="Y71" i="6" s="1"/>
  <c r="Y28" i="6"/>
  <c r="U19" i="6"/>
  <c r="W19" i="6"/>
  <c r="Y19" i="6"/>
  <c r="U22" i="6"/>
  <c r="W22" i="6"/>
  <c r="Y22" i="6"/>
  <c r="W75" i="6"/>
  <c r="Y75" i="6" s="1"/>
  <c r="W29" i="6"/>
  <c r="U29" i="6"/>
  <c r="W30" i="6"/>
  <c r="Y30" i="6" s="1"/>
  <c r="U30" i="6"/>
  <c r="W26" i="6"/>
  <c r="U26" i="6"/>
  <c r="W49" i="6"/>
  <c r="Y49" i="6" s="1"/>
  <c r="U49" i="6"/>
  <c r="W12" i="6"/>
  <c r="Y12" i="6"/>
  <c r="U31" i="6"/>
  <c r="W31" i="6"/>
  <c r="Y31" i="6"/>
  <c r="U73" i="6"/>
  <c r="W73" i="6"/>
  <c r="Y73" i="6" s="1"/>
  <c r="U69" i="6"/>
  <c r="W69" i="6"/>
  <c r="Y69" i="6" s="1"/>
  <c r="W32" i="6"/>
  <c r="Y32" i="6"/>
  <c r="U32" i="6"/>
  <c r="W54" i="6"/>
  <c r="Y54" i="6" s="1"/>
  <c r="U54" i="6"/>
  <c r="W72" i="6"/>
  <c r="Y72" i="6" s="1"/>
  <c r="U72" i="6"/>
  <c r="U68" i="6"/>
  <c r="W68" i="6"/>
  <c r="Y68" i="6" s="1"/>
  <c r="W48" i="6"/>
  <c r="Y48" i="6" s="1"/>
  <c r="U48" i="6"/>
  <c r="W41" i="6"/>
  <c r="Y41" i="6" s="1"/>
  <c r="U61" i="6"/>
  <c r="U25" i="6"/>
  <c r="U28" i="6"/>
  <c r="U45" i="6"/>
  <c r="A90" i="8"/>
  <c r="B91" i="8"/>
  <c r="A89" i="8"/>
  <c r="B89" i="8" s="1"/>
  <c r="B90" i="8"/>
  <c r="W7" i="6" l="1"/>
  <c r="Y7" i="6" s="1"/>
  <c r="U7" i="6"/>
  <c r="U60" i="6"/>
  <c r="W60" i="6"/>
  <c r="Y60" i="6" s="1"/>
  <c r="U62" i="6"/>
  <c r="W62" i="6"/>
  <c r="Y62" i="6" s="1"/>
  <c r="W38" i="6"/>
  <c r="Y38" i="6" s="1"/>
  <c r="U38" i="6"/>
  <c r="W63" i="6"/>
  <c r="Y63" i="6" s="1"/>
  <c r="U63" i="6"/>
  <c r="W58" i="6"/>
  <c r="Y58" i="6" s="1"/>
  <c r="U58" i="6"/>
  <c r="U77" i="6"/>
  <c r="W77" i="6"/>
  <c r="Y77" i="6" s="1"/>
  <c r="U27" i="6"/>
  <c r="W27" i="6"/>
  <c r="Y27" i="6" s="1"/>
  <c r="U59" i="6"/>
  <c r="W59" i="6"/>
  <c r="Y59" i="6" s="1"/>
  <c r="U78" i="6"/>
  <c r="W78" i="6"/>
  <c r="Y78" i="6" s="1"/>
  <c r="Y45" i="6"/>
  <c r="A98" i="8"/>
  <c r="AA78" i="6"/>
  <c r="AB78" i="6"/>
  <c r="AA74" i="6"/>
  <c r="AB74" i="6"/>
  <c r="AA70" i="6"/>
  <c r="AB70" i="6"/>
  <c r="AA66" i="6"/>
  <c r="AB66" i="6"/>
  <c r="AB62" i="6"/>
  <c r="AA62" i="6"/>
  <c r="AA58" i="6"/>
  <c r="AB58" i="6"/>
  <c r="AA54" i="6"/>
  <c r="AB54" i="6"/>
  <c r="AA50" i="6"/>
  <c r="AB50" i="6"/>
  <c r="AA46" i="6"/>
  <c r="AB46" i="6"/>
  <c r="AA42" i="6"/>
  <c r="AB42" i="6"/>
  <c r="AA38" i="6"/>
  <c r="AB38" i="6"/>
  <c r="AA34" i="6"/>
  <c r="AB34" i="6"/>
  <c r="AB30" i="6"/>
  <c r="AA30" i="6"/>
  <c r="AB26" i="6"/>
  <c r="AA26" i="6"/>
  <c r="AB22" i="6"/>
  <c r="AA22" i="6"/>
  <c r="AA18" i="6"/>
  <c r="AB18" i="6"/>
  <c r="AA14" i="6"/>
  <c r="AB14" i="6"/>
  <c r="AA10" i="6"/>
  <c r="AB10" i="6"/>
  <c r="A88" i="8"/>
  <c r="B96" i="8"/>
  <c r="AA75" i="6"/>
  <c r="AB75" i="6"/>
  <c r="AA71" i="6"/>
  <c r="AB71" i="6"/>
  <c r="AA67" i="6"/>
  <c r="AB67" i="6"/>
  <c r="AB63" i="6"/>
  <c r="AA63" i="6"/>
  <c r="AA59" i="6"/>
  <c r="AB59" i="6"/>
  <c r="AA55" i="6"/>
  <c r="AB55" i="6"/>
  <c r="AA51" i="6"/>
  <c r="AB51" i="6"/>
  <c r="AA47" i="6"/>
  <c r="AB47" i="6"/>
  <c r="AA43" i="6"/>
  <c r="AB43" i="6"/>
  <c r="AA39" i="6"/>
  <c r="AB39" i="6"/>
  <c r="AA35" i="6"/>
  <c r="AB35" i="6"/>
  <c r="AB31" i="6"/>
  <c r="AA31" i="6"/>
  <c r="AB27" i="6"/>
  <c r="AA27" i="6"/>
  <c r="AA23" i="6"/>
  <c r="AB23" i="6"/>
  <c r="AA283" i="6"/>
  <c r="AB283" i="6"/>
  <c r="AA282" i="6"/>
  <c r="AB282" i="6"/>
  <c r="AA73" i="6"/>
  <c r="AB73" i="6"/>
  <c r="AA69" i="6"/>
  <c r="AB69" i="6"/>
  <c r="AA65" i="6"/>
  <c r="AB65" i="6"/>
  <c r="AA57" i="6"/>
  <c r="AB57" i="6"/>
  <c r="AA53" i="6"/>
  <c r="AB53" i="6"/>
  <c r="AA49" i="6"/>
  <c r="AB49" i="6"/>
  <c r="AA45" i="6"/>
  <c r="AB45" i="6"/>
  <c r="AA41" i="6"/>
  <c r="AB41" i="6"/>
  <c r="AA37" i="6"/>
  <c r="AB37" i="6"/>
  <c r="AA33" i="6"/>
  <c r="AB33" i="6"/>
  <c r="AA21" i="6"/>
  <c r="AB21" i="6"/>
  <c r="AA17" i="6"/>
  <c r="AB17" i="6"/>
  <c r="AA13" i="6"/>
  <c r="AB13" i="6"/>
  <c r="AA281" i="6"/>
  <c r="AB281" i="6"/>
  <c r="AA280" i="6"/>
  <c r="AB280" i="6"/>
  <c r="AA273" i="6"/>
  <c r="AB273" i="6"/>
  <c r="AA272" i="6"/>
  <c r="AB272" i="6"/>
  <c r="AA268" i="6"/>
  <c r="AB268" i="6"/>
  <c r="AA267" i="6"/>
  <c r="AB267" i="6"/>
  <c r="AA259" i="6"/>
  <c r="AB259" i="6"/>
  <c r="AA258" i="6"/>
  <c r="AB258" i="6"/>
  <c r="AA253" i="6"/>
  <c r="AB253" i="6"/>
  <c r="AA252" i="6"/>
  <c r="AB252" i="6"/>
  <c r="AA245" i="6"/>
  <c r="AB245" i="6"/>
  <c r="AA244" i="6"/>
  <c r="AB244" i="6"/>
  <c r="AA239" i="6"/>
  <c r="AB239" i="6"/>
  <c r="AA232" i="6"/>
  <c r="AB232" i="6"/>
  <c r="AA231" i="6"/>
  <c r="AB231" i="6"/>
  <c r="AA225" i="6"/>
  <c r="AB225" i="6"/>
  <c r="AA221" i="6"/>
  <c r="AB221" i="6"/>
  <c r="AA220" i="6"/>
  <c r="AB220" i="6"/>
  <c r="AA213" i="6"/>
  <c r="AB213" i="6"/>
  <c r="AA212" i="6"/>
  <c r="AB212" i="6"/>
  <c r="AA205" i="6"/>
  <c r="AB205" i="6"/>
  <c r="AA204" i="6"/>
  <c r="AB204" i="6"/>
  <c r="AA197" i="6"/>
  <c r="AB197" i="6"/>
  <c r="AA196" i="6"/>
  <c r="AB196" i="6"/>
  <c r="AA191" i="6"/>
  <c r="AB191" i="6"/>
  <c r="AA190" i="6"/>
  <c r="AB190" i="6"/>
  <c r="AA189" i="6"/>
  <c r="AB189" i="6"/>
  <c r="AA183" i="6"/>
  <c r="AB183" i="6"/>
  <c r="AA182" i="6"/>
  <c r="AB182" i="6"/>
  <c r="AA175" i="6"/>
  <c r="AB175" i="6"/>
  <c r="AA174" i="6"/>
  <c r="AB174" i="6"/>
  <c r="W167" i="6"/>
  <c r="Y167" i="6" s="1"/>
  <c r="AA156" i="6"/>
  <c r="AB156" i="6"/>
  <c r="AA149" i="6"/>
  <c r="AB149" i="6"/>
  <c r="AA148" i="6"/>
  <c r="AB148" i="6"/>
  <c r="AA167" i="6"/>
  <c r="AA163" i="6"/>
  <c r="AA159" i="6"/>
  <c r="AA141" i="6"/>
  <c r="AA137" i="6"/>
  <c r="AA133" i="6"/>
  <c r="AA129" i="6"/>
  <c r="AA125" i="6"/>
  <c r="AA121" i="6"/>
  <c r="AA117" i="6"/>
  <c r="AA113" i="6"/>
  <c r="AA109" i="6"/>
  <c r="AA105" i="6"/>
  <c r="AA101" i="6"/>
  <c r="AA97" i="6"/>
  <c r="AA93" i="6"/>
  <c r="AA89" i="6"/>
  <c r="AA85" i="6"/>
  <c r="AA76" i="6"/>
  <c r="AA32" i="6"/>
  <c r="AA28" i="6"/>
  <c r="AA72" i="6"/>
  <c r="AB72" i="6"/>
  <c r="AA68" i="6"/>
  <c r="AB68" i="6"/>
  <c r="AA64" i="6"/>
  <c r="AB64" i="6"/>
  <c r="AA60" i="6"/>
  <c r="AB60" i="6"/>
  <c r="AA56" i="6"/>
  <c r="AB56" i="6"/>
  <c r="AA52" i="6"/>
  <c r="AB52" i="6"/>
  <c r="AA48" i="6"/>
  <c r="AB48" i="6"/>
  <c r="AA44" i="6"/>
  <c r="AB44" i="6"/>
  <c r="AA40" i="6"/>
  <c r="AB40" i="6"/>
  <c r="AA36" i="6"/>
  <c r="AB36" i="6"/>
  <c r="AA24" i="6"/>
  <c r="AB24" i="6"/>
  <c r="AA20" i="6"/>
  <c r="AB20" i="6"/>
  <c r="AA16" i="6"/>
  <c r="AB16" i="6"/>
  <c r="AA12" i="6"/>
  <c r="AB12" i="6"/>
  <c r="AA8" i="6"/>
  <c r="AB8" i="6"/>
  <c r="AA279" i="6"/>
  <c r="AB279" i="6"/>
  <c r="AA278" i="6"/>
  <c r="AB278" i="6"/>
  <c r="AA271" i="6"/>
  <c r="AB271" i="6"/>
  <c r="AA266" i="6"/>
  <c r="AB266" i="6"/>
  <c r="AA265" i="6"/>
  <c r="AB265" i="6"/>
  <c r="AA257" i="6"/>
  <c r="AB257" i="6"/>
  <c r="AA251" i="6"/>
  <c r="AB251" i="6"/>
  <c r="AA250" i="6"/>
  <c r="AB250" i="6"/>
  <c r="AA243" i="6"/>
  <c r="AB243" i="6"/>
  <c r="AA242" i="6"/>
  <c r="AB242" i="6"/>
  <c r="AA238" i="6"/>
  <c r="AB238" i="6"/>
  <c r="AA237" i="6"/>
  <c r="AB237" i="6"/>
  <c r="AA230" i="6"/>
  <c r="AB230" i="6"/>
  <c r="AA229" i="6"/>
  <c r="AB229" i="6"/>
  <c r="AA224" i="6"/>
  <c r="AB224" i="6"/>
  <c r="AA219" i="6"/>
  <c r="AB219" i="6"/>
  <c r="AA218" i="6"/>
  <c r="AB218" i="6"/>
  <c r="AA211" i="6"/>
  <c r="AB211" i="6"/>
  <c r="AA210" i="6"/>
  <c r="AB210" i="6"/>
  <c r="AA203" i="6"/>
  <c r="AB203" i="6"/>
  <c r="AA202" i="6"/>
  <c r="AB202" i="6"/>
  <c r="AA195" i="6"/>
  <c r="AB195" i="6"/>
  <c r="AA194" i="6"/>
  <c r="AB194" i="6"/>
  <c r="AA188" i="6"/>
  <c r="AB188" i="6"/>
  <c r="AA187" i="6"/>
  <c r="AB187" i="6"/>
  <c r="AA186" i="6"/>
  <c r="AB186" i="6"/>
  <c r="AA181" i="6"/>
  <c r="AB181" i="6"/>
  <c r="AA180" i="6"/>
  <c r="AB180" i="6"/>
  <c r="AA173" i="6"/>
  <c r="AB173" i="6"/>
  <c r="AA172" i="6"/>
  <c r="AB172" i="6"/>
  <c r="AA171" i="6"/>
  <c r="AB171" i="6"/>
  <c r="AA155" i="6"/>
  <c r="AB155" i="6"/>
  <c r="AA154" i="6"/>
  <c r="AB154" i="6"/>
  <c r="AA147" i="6"/>
  <c r="AB147" i="6"/>
  <c r="AA146" i="6"/>
  <c r="AB146" i="6"/>
  <c r="AA166" i="6"/>
  <c r="AA162" i="6"/>
  <c r="AA158" i="6"/>
  <c r="AA140" i="6"/>
  <c r="AA136" i="6"/>
  <c r="AA132" i="6"/>
  <c r="AA128" i="6"/>
  <c r="AA124" i="6"/>
  <c r="AA120" i="6"/>
  <c r="AA116" i="6"/>
  <c r="AA112" i="6"/>
  <c r="AA108" i="6"/>
  <c r="AA104" i="6"/>
  <c r="AA100" i="6"/>
  <c r="AA96" i="6"/>
  <c r="AA92" i="6"/>
  <c r="AA88" i="6"/>
  <c r="AA84" i="6"/>
  <c r="AA19" i="6"/>
  <c r="AA15" i="6"/>
  <c r="AB15" i="6"/>
  <c r="AA284" i="6"/>
  <c r="AB284" i="6"/>
  <c r="AA277" i="6"/>
  <c r="AB277" i="6"/>
  <c r="AA276" i="6"/>
  <c r="AB276" i="6"/>
  <c r="AA270" i="6"/>
  <c r="AB270" i="6"/>
  <c r="AA264" i="6"/>
  <c r="AB264" i="6"/>
  <c r="AA263" i="6"/>
  <c r="AB263" i="6"/>
  <c r="AA262" i="6"/>
  <c r="AB262" i="6"/>
  <c r="AA256" i="6"/>
  <c r="AB256" i="6"/>
  <c r="AA249" i="6"/>
  <c r="AB249" i="6"/>
  <c r="AA248" i="6"/>
  <c r="AB248" i="6"/>
  <c r="AA241" i="6"/>
  <c r="AB241" i="6"/>
  <c r="AA236" i="6"/>
  <c r="AB236" i="6"/>
  <c r="AA235" i="6"/>
  <c r="AB235" i="6"/>
  <c r="AA228" i="6"/>
  <c r="AB228" i="6"/>
  <c r="AA227" i="6"/>
  <c r="AB227" i="6"/>
  <c r="AA223" i="6"/>
  <c r="AB223" i="6"/>
  <c r="AA217" i="6"/>
  <c r="AB217" i="6"/>
  <c r="AA216" i="6"/>
  <c r="AB216" i="6"/>
  <c r="AA209" i="6"/>
  <c r="AB209" i="6"/>
  <c r="AA208" i="6"/>
  <c r="AB208" i="6"/>
  <c r="AA201" i="6"/>
  <c r="AB201" i="6"/>
  <c r="AA200" i="6"/>
  <c r="AB200" i="6"/>
  <c r="AA193" i="6"/>
  <c r="AB193" i="6"/>
  <c r="AA185" i="6"/>
  <c r="AB185" i="6"/>
  <c r="AA179" i="6"/>
  <c r="AB179" i="6"/>
  <c r="AA178" i="6"/>
  <c r="AB178" i="6"/>
  <c r="AA170" i="6"/>
  <c r="AB170" i="6"/>
  <c r="AA153" i="6"/>
  <c r="AB153" i="6"/>
  <c r="AA152" i="6"/>
  <c r="AB152" i="6"/>
  <c r="AA145" i="6"/>
  <c r="AB145" i="6"/>
  <c r="AA144" i="6"/>
  <c r="AB144" i="6"/>
  <c r="AA240" i="6"/>
  <c r="AA165" i="6"/>
  <c r="AA161" i="6"/>
  <c r="AA157" i="6"/>
  <c r="AA139" i="6"/>
  <c r="AA135" i="6"/>
  <c r="AA131" i="6"/>
  <c r="AA127" i="6"/>
  <c r="AA123" i="6"/>
  <c r="AA119" i="6"/>
  <c r="AA115" i="6"/>
  <c r="AA111" i="6"/>
  <c r="AA107" i="6"/>
  <c r="AA103" i="6"/>
  <c r="AA99" i="6"/>
  <c r="AA95" i="6"/>
  <c r="AA91" i="6"/>
  <c r="AA87" i="6"/>
  <c r="AA83" i="6"/>
  <c r="AA275" i="6"/>
  <c r="AB275" i="6"/>
  <c r="AA274" i="6"/>
  <c r="AB274" i="6"/>
  <c r="AA269" i="6"/>
  <c r="AB269" i="6"/>
  <c r="AA261" i="6"/>
  <c r="AB261" i="6"/>
  <c r="AA260" i="6"/>
  <c r="AB260" i="6"/>
  <c r="AA255" i="6"/>
  <c r="AB255" i="6"/>
  <c r="AA254" i="6"/>
  <c r="AB254" i="6"/>
  <c r="AA247" i="6"/>
  <c r="AB247" i="6"/>
  <c r="AA246" i="6"/>
  <c r="AB246" i="6"/>
  <c r="AA234" i="6"/>
  <c r="AB234" i="6"/>
  <c r="AA233" i="6"/>
  <c r="AB233" i="6"/>
  <c r="AA226" i="6"/>
  <c r="AB226" i="6"/>
  <c r="AA222" i="6"/>
  <c r="AB222" i="6"/>
  <c r="AA215" i="6"/>
  <c r="AB215" i="6"/>
  <c r="AA214" i="6"/>
  <c r="AB214" i="6"/>
  <c r="AA207" i="6"/>
  <c r="AB207" i="6"/>
  <c r="AA206" i="6"/>
  <c r="AB206" i="6"/>
  <c r="AA199" i="6"/>
  <c r="AB199" i="6"/>
  <c r="AA198" i="6"/>
  <c r="AB198" i="6"/>
  <c r="AA192" i="6"/>
  <c r="AB192" i="6"/>
  <c r="AA184" i="6"/>
  <c r="AB184" i="6"/>
  <c r="AA177" i="6"/>
  <c r="AB177" i="6"/>
  <c r="AA176" i="6"/>
  <c r="AB176" i="6"/>
  <c r="AA169" i="6"/>
  <c r="AB169" i="6"/>
  <c r="AA151" i="6"/>
  <c r="AB151" i="6"/>
  <c r="AA150" i="6"/>
  <c r="AB150" i="6"/>
  <c r="AA143" i="6"/>
  <c r="AB143" i="6"/>
  <c r="AA168" i="6"/>
  <c r="AA164" i="6"/>
  <c r="AA160" i="6"/>
  <c r="AA142" i="6"/>
  <c r="AA138" i="6"/>
  <c r="AA134" i="6"/>
  <c r="AA130" i="6"/>
  <c r="AA126" i="6"/>
  <c r="AA122" i="6"/>
  <c r="AA118" i="6"/>
  <c r="AA114" i="6"/>
  <c r="AA110" i="6"/>
  <c r="AA106" i="6"/>
  <c r="AA102" i="6"/>
  <c r="AA98" i="6"/>
  <c r="AA94" i="6"/>
  <c r="AA90" i="6"/>
  <c r="AA86" i="6"/>
  <c r="AA77" i="6"/>
  <c r="AA61" i="6"/>
  <c r="AA29" i="6"/>
  <c r="AA25" i="6"/>
  <c r="W284" i="6"/>
  <c r="Y284" i="6" s="1"/>
  <c r="U284" i="6"/>
  <c r="W282" i="6"/>
  <c r="Y282" i="6" s="1"/>
  <c r="U282" i="6"/>
  <c r="W278" i="6"/>
  <c r="Y278" i="6" s="1"/>
  <c r="U278" i="6"/>
  <c r="W280" i="6"/>
  <c r="Y280" i="6" s="1"/>
  <c r="U280" i="6"/>
  <c r="U274" i="6"/>
  <c r="W274" i="6"/>
  <c r="Y274" i="6" s="1"/>
  <c r="U276" i="6"/>
  <c r="W276" i="6"/>
  <c r="Y276" i="6" s="1"/>
  <c r="U272" i="6"/>
  <c r="W272" i="6"/>
  <c r="Y272" i="6" s="1"/>
  <c r="U265" i="6"/>
  <c r="W265" i="6"/>
  <c r="Y265" i="6" s="1"/>
  <c r="W267" i="6"/>
  <c r="Y267" i="6" s="1"/>
  <c r="U267" i="6"/>
  <c r="W263" i="6"/>
  <c r="Y263" i="6" s="1"/>
  <c r="U263" i="6"/>
  <c r="U260" i="6"/>
  <c r="W260" i="6"/>
  <c r="Y260" i="6" s="1"/>
  <c r="U262" i="6"/>
  <c r="W262" i="6"/>
  <c r="Y262" i="6" s="1"/>
  <c r="U258" i="6"/>
  <c r="W258" i="6"/>
  <c r="Y258" i="6" s="1"/>
  <c r="W254" i="6"/>
  <c r="Y254" i="6" s="1"/>
  <c r="U254" i="6"/>
  <c r="W250" i="6"/>
  <c r="Y250" i="6" s="1"/>
  <c r="U250" i="6"/>
  <c r="W252" i="6"/>
  <c r="Y252" i="6" s="1"/>
  <c r="U252" i="6"/>
  <c r="U246" i="6"/>
  <c r="W246" i="6"/>
  <c r="Y246" i="6" s="1"/>
  <c r="U248" i="6"/>
  <c r="W248" i="6"/>
  <c r="Y248" i="6" s="1"/>
  <c r="U244" i="6"/>
  <c r="W244" i="6"/>
  <c r="Y244" i="6" s="1"/>
  <c r="U242" i="6"/>
  <c r="W242" i="6"/>
  <c r="Y242" i="6" s="1"/>
  <c r="W239" i="6"/>
  <c r="Y239" i="6" s="1"/>
  <c r="U239" i="6"/>
  <c r="W237" i="6"/>
  <c r="Y237" i="6" s="1"/>
  <c r="U237" i="6"/>
  <c r="W233" i="6"/>
  <c r="Y233" i="6" s="1"/>
  <c r="U233" i="6"/>
  <c r="W235" i="6"/>
  <c r="Y235" i="6" s="1"/>
  <c r="U235" i="6"/>
  <c r="U229" i="6"/>
  <c r="W229" i="6"/>
  <c r="Y229" i="6" s="1"/>
  <c r="U231" i="6"/>
  <c r="W231" i="6"/>
  <c r="Y231" i="6" s="1"/>
  <c r="U227" i="6"/>
  <c r="W227" i="6"/>
  <c r="Y227" i="6" s="1"/>
  <c r="W220" i="6"/>
  <c r="Y220" i="6" s="1"/>
  <c r="U220" i="6"/>
  <c r="W216" i="6"/>
  <c r="Y216" i="6" s="1"/>
  <c r="U216" i="6"/>
  <c r="W218" i="6"/>
  <c r="Y218" i="6" s="1"/>
  <c r="U218" i="6"/>
  <c r="U212" i="6"/>
  <c r="W212" i="6"/>
  <c r="Y212" i="6" s="1"/>
  <c r="U214" i="6"/>
  <c r="W214" i="6"/>
  <c r="Y214" i="6" s="1"/>
  <c r="U210" i="6"/>
  <c r="W210" i="6"/>
  <c r="Y210" i="6" s="1"/>
  <c r="U208" i="6"/>
  <c r="W208" i="6"/>
  <c r="Y208" i="6" s="1"/>
  <c r="W206" i="6"/>
  <c r="Y206" i="6" s="1"/>
  <c r="U206" i="6"/>
  <c r="W204" i="6"/>
  <c r="Y204" i="6" s="1"/>
  <c r="U204" i="6"/>
  <c r="W200" i="6"/>
  <c r="Y200" i="6" s="1"/>
  <c r="U200" i="6"/>
  <c r="W202" i="6"/>
  <c r="Y202" i="6" s="1"/>
  <c r="U202" i="6"/>
  <c r="U196" i="6"/>
  <c r="W196" i="6"/>
  <c r="Y196" i="6" s="1"/>
  <c r="U198" i="6"/>
  <c r="W198" i="6"/>
  <c r="Y198" i="6" s="1"/>
  <c r="U194" i="6"/>
  <c r="W194" i="6"/>
  <c r="Y194" i="6" s="1"/>
  <c r="W190" i="6"/>
  <c r="Y190" i="6" s="1"/>
  <c r="U190" i="6"/>
  <c r="W189" i="6"/>
  <c r="Y189" i="6" s="1"/>
  <c r="U189" i="6"/>
  <c r="W187" i="6"/>
  <c r="Y187" i="6" s="1"/>
  <c r="U187" i="6"/>
  <c r="W186" i="6"/>
  <c r="Y186" i="6" s="1"/>
  <c r="U186" i="6"/>
  <c r="W182" i="6"/>
  <c r="Y182" i="6" s="1"/>
  <c r="U182" i="6"/>
  <c r="W178" i="6"/>
  <c r="Y178" i="6" s="1"/>
  <c r="U178" i="6"/>
  <c r="W180" i="6"/>
  <c r="Y180" i="6" s="1"/>
  <c r="U180" i="6"/>
  <c r="W174" i="6"/>
  <c r="Y174" i="6" s="1"/>
  <c r="U174" i="6"/>
  <c r="W176" i="6"/>
  <c r="Y176" i="6" s="1"/>
  <c r="U176" i="6"/>
  <c r="W172" i="6"/>
  <c r="Y172" i="6" s="1"/>
  <c r="U172" i="6"/>
  <c r="U171" i="6"/>
  <c r="W171" i="6"/>
  <c r="Y171" i="6" s="1"/>
  <c r="U152" i="6"/>
  <c r="W152" i="6"/>
  <c r="Y152" i="6" s="1"/>
  <c r="U154" i="6"/>
  <c r="W154" i="6"/>
  <c r="Y154" i="6" s="1"/>
  <c r="U150" i="6"/>
  <c r="W150" i="6"/>
  <c r="Y150" i="6" s="1"/>
  <c r="W148" i="6"/>
  <c r="Y148" i="6" s="1"/>
  <c r="U148" i="6"/>
  <c r="W144" i="6"/>
  <c r="Y144" i="6" s="1"/>
  <c r="U144" i="6"/>
  <c r="W146" i="6"/>
  <c r="Y146" i="6" s="1"/>
  <c r="U146" i="6"/>
  <c r="W76" i="6"/>
  <c r="Y76" i="6" s="1"/>
  <c r="U76" i="6"/>
  <c r="U70" i="6"/>
  <c r="W70" i="6"/>
  <c r="Y70" i="6" s="1"/>
  <c r="U64" i="6"/>
  <c r="W64" i="6"/>
  <c r="Y64" i="6" s="1"/>
  <c r="U67" i="6"/>
  <c r="W67" i="6"/>
  <c r="Y67" i="6" s="1"/>
  <c r="W65" i="6"/>
  <c r="Y65" i="6" s="1"/>
  <c r="U65" i="6"/>
  <c r="U66" i="6"/>
  <c r="W66" i="6"/>
  <c r="Y66" i="6" s="1"/>
  <c r="W57" i="6"/>
  <c r="Y57" i="6" s="1"/>
  <c r="U57" i="6"/>
  <c r="U55" i="6"/>
  <c r="W55" i="6"/>
  <c r="Y55" i="6" s="1"/>
  <c r="W56" i="6"/>
  <c r="Y56" i="6" s="1"/>
  <c r="U56" i="6"/>
  <c r="W51" i="6"/>
  <c r="Y51" i="6" s="1"/>
  <c r="U51" i="6"/>
  <c r="U52" i="6"/>
  <c r="W52" i="6"/>
  <c r="Y52" i="6" s="1"/>
  <c r="U50" i="6"/>
  <c r="W50" i="6"/>
  <c r="Y50" i="6" s="1"/>
  <c r="W46" i="6"/>
  <c r="Y46" i="6" s="1"/>
  <c r="U46" i="6"/>
  <c r="W47" i="6"/>
  <c r="Y47" i="6" s="1"/>
  <c r="U47" i="6"/>
  <c r="W43" i="6"/>
  <c r="Y43" i="6" s="1"/>
  <c r="U43" i="6"/>
  <c r="U40" i="6"/>
  <c r="W40" i="6"/>
  <c r="Y40" i="6" s="1"/>
  <c r="W44" i="6"/>
  <c r="Y44" i="6" s="1"/>
  <c r="U44" i="6"/>
  <c r="W42" i="6"/>
  <c r="U42" i="6"/>
  <c r="W39" i="6"/>
  <c r="Y39" i="6" s="1"/>
  <c r="U39" i="6"/>
  <c r="W33" i="6"/>
  <c r="Y33" i="6" s="1"/>
  <c r="U33" i="6"/>
  <c r="U37" i="6"/>
  <c r="W37" i="6"/>
  <c r="Y37" i="6" s="1"/>
  <c r="W35" i="6"/>
  <c r="Y35" i="6" s="1"/>
  <c r="U35" i="6"/>
  <c r="U36" i="6"/>
  <c r="W36" i="6"/>
  <c r="U34" i="6"/>
  <c r="W34" i="6"/>
  <c r="Y34" i="6" s="1"/>
  <c r="W23" i="6"/>
  <c r="Y23" i="6" s="1"/>
  <c r="U23" i="6"/>
  <c r="U24" i="6"/>
  <c r="W24" i="6"/>
  <c r="Y24" i="6" s="1"/>
  <c r="U20" i="6"/>
  <c r="W20" i="6"/>
  <c r="Y20" i="6" s="1"/>
  <c r="W21" i="6"/>
  <c r="Y21" i="6" s="1"/>
  <c r="U21" i="6"/>
  <c r="U17" i="6"/>
  <c r="W17" i="6"/>
  <c r="Y17" i="6" s="1"/>
  <c r="W15" i="6"/>
  <c r="Y15" i="6" s="1"/>
  <c r="U15" i="6"/>
  <c r="W13" i="6"/>
  <c r="Y13" i="6" s="1"/>
  <c r="U13" i="6"/>
  <c r="W18" i="6"/>
  <c r="Y18" i="6" s="1"/>
  <c r="U18" i="6"/>
  <c r="U16" i="6"/>
  <c r="W16" i="6"/>
  <c r="Y16" i="6" s="1"/>
  <c r="U14" i="6"/>
  <c r="W14" i="6"/>
  <c r="Y14" i="6" s="1"/>
  <c r="W10" i="6"/>
  <c r="Y10" i="6" s="1"/>
  <c r="U10" i="6"/>
  <c r="W8" i="6"/>
  <c r="Y8" i="6" s="1"/>
  <c r="U8" i="6"/>
  <c r="W11" i="6"/>
  <c r="Y11" i="6" s="1"/>
  <c r="U11" i="6"/>
  <c r="W9" i="6"/>
  <c r="Y9" i="6" s="1"/>
  <c r="U9" i="6"/>
  <c r="AA11" i="6"/>
  <c r="AA9" i="6"/>
  <c r="B88" i="8" l="1"/>
  <c r="A87" i="8"/>
  <c r="A99" i="8"/>
  <c r="B98" i="8"/>
  <c r="B99" i="8" l="1"/>
  <c r="A100" i="8"/>
  <c r="B87" i="8"/>
  <c r="A86" i="8"/>
  <c r="B86" i="8" l="1"/>
  <c r="A85" i="8"/>
  <c r="A101" i="8"/>
  <c r="B100" i="8"/>
  <c r="B101" i="8" l="1"/>
  <c r="A102" i="8"/>
  <c r="A84" i="8"/>
  <c r="B85" i="8"/>
  <c r="A83" i="8" l="1"/>
  <c r="B84" i="8"/>
  <c r="A103" i="8"/>
  <c r="B102" i="8"/>
  <c r="A104" i="8" l="1"/>
  <c r="B103" i="8"/>
  <c r="A82" i="8"/>
  <c r="B83" i="8"/>
  <c r="A81" i="8" l="1"/>
  <c r="B82" i="8"/>
  <c r="B104" i="8"/>
  <c r="A105" i="8"/>
  <c r="A106" i="8" l="1"/>
  <c r="B105" i="8"/>
  <c r="A80" i="8"/>
  <c r="B81" i="8"/>
  <c r="B80" i="8" l="1"/>
  <c r="A79" i="8"/>
  <c r="B106" i="8"/>
  <c r="A107" i="8"/>
  <c r="A108" i="8" l="1"/>
  <c r="B107" i="8"/>
  <c r="B79" i="8"/>
  <c r="A78" i="8"/>
  <c r="B78" i="8" l="1"/>
  <c r="A77" i="8"/>
  <c r="B108" i="8"/>
  <c r="A109" i="8"/>
  <c r="A110" i="8" l="1"/>
  <c r="B109" i="8"/>
  <c r="B77" i="8"/>
  <c r="A76" i="8"/>
  <c r="B76" i="8" l="1"/>
  <c r="A75" i="8"/>
  <c r="B110" i="8"/>
  <c r="A111" i="8"/>
  <c r="A112" i="8" l="1"/>
  <c r="B111" i="8"/>
  <c r="B75" i="8"/>
  <c r="A74" i="8"/>
  <c r="B74" i="8" l="1"/>
  <c r="A73" i="8"/>
  <c r="B112" i="8"/>
  <c r="A113" i="8"/>
  <c r="A114" i="8" l="1"/>
  <c r="B113" i="8"/>
  <c r="B73" i="8"/>
  <c r="A72" i="8"/>
  <c r="A71" i="8" l="1"/>
  <c r="B72" i="8"/>
  <c r="B114" i="8"/>
  <c r="A115" i="8"/>
  <c r="A116" i="8" l="1"/>
  <c r="B115" i="8"/>
  <c r="A70" i="8"/>
  <c r="B71" i="8"/>
  <c r="A69" i="8" l="1"/>
  <c r="B70" i="8"/>
  <c r="B116" i="8"/>
  <c r="A117" i="8"/>
  <c r="A118" i="8" l="1"/>
  <c r="B117" i="8"/>
  <c r="A68" i="8"/>
  <c r="B69" i="8"/>
  <c r="B68" i="8" l="1"/>
  <c r="A67" i="8"/>
  <c r="B118" i="8"/>
  <c r="A119" i="8"/>
  <c r="A120" i="8" l="1"/>
  <c r="B119" i="8"/>
  <c r="B67" i="8"/>
  <c r="A66" i="8"/>
  <c r="B66" i="8" l="1"/>
  <c r="A65" i="8"/>
  <c r="B120" i="8"/>
  <c r="A121" i="8"/>
  <c r="A122" i="8" l="1"/>
  <c r="B121" i="8"/>
  <c r="B65" i="8"/>
  <c r="A64" i="8"/>
  <c r="B64" i="8" l="1"/>
  <c r="A63" i="8"/>
  <c r="B122" i="8"/>
  <c r="A123" i="8"/>
  <c r="A124" i="8" l="1"/>
  <c r="B123" i="8"/>
  <c r="B63" i="8"/>
  <c r="A62" i="8"/>
  <c r="B62" i="8" l="1"/>
  <c r="A61" i="8"/>
  <c r="B124" i="8"/>
  <c r="A125" i="8"/>
  <c r="B61" i="8" l="1"/>
  <c r="A60" i="8"/>
  <c r="A126" i="8"/>
  <c r="B125" i="8"/>
  <c r="B126" i="8" l="1"/>
  <c r="A127" i="8"/>
  <c r="B60" i="8"/>
  <c r="A59" i="8"/>
  <c r="A58" i="8" l="1"/>
  <c r="B59" i="8"/>
  <c r="A128" i="8"/>
  <c r="B127" i="8"/>
  <c r="B128" i="8" l="1"/>
  <c r="A129" i="8"/>
  <c r="A57" i="8"/>
  <c r="B58" i="8"/>
  <c r="A130" i="8" l="1"/>
  <c r="B129" i="8"/>
  <c r="A56" i="8"/>
  <c r="B57" i="8"/>
  <c r="B56" i="8" l="1"/>
  <c r="A55" i="8"/>
  <c r="B130" i="8"/>
  <c r="A131" i="8"/>
  <c r="A132" i="8" l="1"/>
  <c r="B131" i="8"/>
  <c r="B55" i="8"/>
  <c r="A54" i="8"/>
  <c r="B54" i="8" l="1"/>
  <c r="A53" i="8"/>
  <c r="B53" i="8" s="1"/>
  <c r="B132" i="8"/>
  <c r="A133" i="8"/>
  <c r="A134" i="8" l="1"/>
  <c r="B133" i="8"/>
  <c r="B134" i="8" l="1"/>
  <c r="A135" i="8"/>
  <c r="A136" i="8" l="1"/>
  <c r="B135" i="8"/>
  <c r="B136" i="8" l="1"/>
  <c r="A137" i="8"/>
  <c r="A138" i="8" l="1"/>
  <c r="B137" i="8"/>
  <c r="B138" i="8" l="1"/>
  <c r="A139" i="8"/>
  <c r="A140" i="8" l="1"/>
  <c r="B139" i="8"/>
  <c r="B140" i="8" l="1"/>
  <c r="A141" i="8"/>
  <c r="A142" i="8" l="1"/>
  <c r="B141" i="8"/>
  <c r="B142" i="8" l="1"/>
  <c r="A143" i="8"/>
  <c r="A144" i="8" l="1"/>
  <c r="B143" i="8"/>
  <c r="B144" i="8" l="1"/>
  <c r="A145" i="8"/>
  <c r="B145" i="8" s="1"/>
</calcChain>
</file>

<file path=xl/sharedStrings.xml><?xml version="1.0" encoding="utf-8"?>
<sst xmlns="http://schemas.openxmlformats.org/spreadsheetml/2006/main" count="2040" uniqueCount="308">
  <si>
    <t>Hs</t>
  </si>
  <si>
    <t>Tp</t>
  </si>
  <si>
    <t>current</t>
  </si>
  <si>
    <t>Test no.</t>
  </si>
  <si>
    <t>file-name</t>
  </si>
  <si>
    <t>wind speed [m/s]</t>
  </si>
  <si>
    <t>10 m/s ≈ 49 Hz</t>
  </si>
  <si>
    <t>5 m/s ≈ 25 Hz</t>
  </si>
  <si>
    <t>[m]</t>
  </si>
  <si>
    <t>[s]</t>
  </si>
  <si>
    <t>no. of waves</t>
  </si>
  <si>
    <t>[-]</t>
  </si>
  <si>
    <t>[°]</t>
  </si>
  <si>
    <t>[m/s]</t>
  </si>
  <si>
    <t>w1</t>
  </si>
  <si>
    <t>w2</t>
  </si>
  <si>
    <t>w3</t>
  </si>
  <si>
    <t>w4</t>
  </si>
  <si>
    <t>w5</t>
  </si>
  <si>
    <t>w6</t>
  </si>
  <si>
    <t>s4_01_00_w1_00_00</t>
  </si>
  <si>
    <t>s4_01_00_w2_00_00</t>
  </si>
  <si>
    <t>s4_01_00_w3_00_00</t>
  </si>
  <si>
    <t>s4_01_00_w4_00_00</t>
  </si>
  <si>
    <t>s4_01_00_w5_00_00</t>
  </si>
  <si>
    <t>s4_01_00_w6_00_00</t>
  </si>
  <si>
    <t>s4_05_30_w1_49_00</t>
  </si>
  <si>
    <t>s4_05_30_w3_49_00</t>
  </si>
  <si>
    <t>s4_06_30_w5_25_00</t>
  </si>
  <si>
    <t>s4_02_00_w1_25_00</t>
  </si>
  <si>
    <t>s4_02_00_w3_25_00</t>
  </si>
  <si>
    <t>s4_32_30_w1_00_15m</t>
  </si>
  <si>
    <t>s4_32_30_w2_00_15m</t>
  </si>
  <si>
    <t>s4_32_30_w3_00_15m</t>
  </si>
  <si>
    <t>s4_32_30_w4_00_15m</t>
  </si>
  <si>
    <t>s4_32_30_w5_00_15m</t>
  </si>
  <si>
    <t>s4_32_30_w6_00_15m</t>
  </si>
  <si>
    <t>s4_33_30_w3_00_15p</t>
  </si>
  <si>
    <t>s4_33_30_w4_00_15p</t>
  </si>
  <si>
    <t>s4_33_30_w5_00_15p</t>
  </si>
  <si>
    <t>s4_33_30_w6_00_15p</t>
  </si>
  <si>
    <t>s4_34_00_w1_00_15m</t>
  </si>
  <si>
    <t>s4_34_00_w2_00_15m</t>
  </si>
  <si>
    <t>s4_34_00_w3_00_15m</t>
  </si>
  <si>
    <t>s4_34_00_w4_00_15m</t>
  </si>
  <si>
    <t>s4_34_00_w5_00_15m</t>
  </si>
  <si>
    <t>s4_34_00_w6_00_15m</t>
  </si>
  <si>
    <t>s4_07_15_w3_00_00</t>
  </si>
  <si>
    <t>s4_07_15_w1_00_00</t>
  </si>
  <si>
    <t>s4_07_15_w2_00_00</t>
  </si>
  <si>
    <t>s4_07_15_w4_00_00</t>
  </si>
  <si>
    <t>s4_07_15_w5_00_00</t>
  </si>
  <si>
    <t>s4_07_15_w6_00_00</t>
  </si>
  <si>
    <t>s4_08_15_w1_49_00</t>
  </si>
  <si>
    <t>s4_08_15_w3_49_00</t>
  </si>
  <si>
    <t>s4_08_15_w5_49_00</t>
  </si>
  <si>
    <t>s5_13_00_w1_00_30m</t>
  </si>
  <si>
    <t>s5_13_00_w2_00_30m</t>
  </si>
  <si>
    <t>s5_13_00_w3_00_30m</t>
  </si>
  <si>
    <t>s5_13_00_w4_00_30m</t>
  </si>
  <si>
    <t>s5_13_00_w5_00_30m</t>
  </si>
  <si>
    <t>s5_13_00_w6_00_30m</t>
  </si>
  <si>
    <t>s5_15_00_w1_49_30m</t>
  </si>
  <si>
    <t>s5_15_00_w3_49_30m</t>
  </si>
  <si>
    <t>s5_15_00_w5_49_30m</t>
  </si>
  <si>
    <t>s5_19_30_w1_00_30m</t>
  </si>
  <si>
    <t>s5_19_30_w2_00_30m</t>
  </si>
  <si>
    <t>s5_19_30_w3_00_30m</t>
  </si>
  <si>
    <t>s5_19_30_w4_00_30m</t>
  </si>
  <si>
    <t>s5_19_30_w5_00_30m</t>
  </si>
  <si>
    <t>s5_19_30_w6_00_30m</t>
  </si>
  <si>
    <t>s5_20_30_w1_49_30m</t>
  </si>
  <si>
    <t>s5_20_30_w3_49_30m</t>
  </si>
  <si>
    <t>s5_20_30_w5_49_30m</t>
  </si>
  <si>
    <t>s5_22_15_w4_00_30m</t>
  </si>
  <si>
    <t>s5_22_15_w1_00_30m</t>
  </si>
  <si>
    <t>s5_22_15_w2_00_30m</t>
  </si>
  <si>
    <t>s5_22_15_w3_00_30m</t>
  </si>
  <si>
    <t>s5_22_15_w5_00_30m</t>
  </si>
  <si>
    <t>s5_22_15_w6_00_30m</t>
  </si>
  <si>
    <t>s6_27_15_w1_00_45p</t>
  </si>
  <si>
    <t>s6_27_15_w2_00_45p</t>
  </si>
  <si>
    <t>s6_27_15_w3_00_45p</t>
  </si>
  <si>
    <t>s6_27_15_w4_00_45p</t>
  </si>
  <si>
    <t>s6_27_15_w5_00_45p</t>
  </si>
  <si>
    <t>s6_27_15_w6_00_45p</t>
  </si>
  <si>
    <t>s6_26_15_w1_00_30p</t>
  </si>
  <si>
    <t>s6_26_15_w2_00_30p</t>
  </si>
  <si>
    <t>s6_26_15_w3_00_30p</t>
  </si>
  <si>
    <t>s6_26_15_w4_00_30p</t>
  </si>
  <si>
    <t>s6_26_15_w5_00_30p</t>
  </si>
  <si>
    <t>s6_26_15_w6_00_30p</t>
  </si>
  <si>
    <t>s6_28_30_w1_00_30p</t>
  </si>
  <si>
    <t>s6_28_30_w2_00_30p</t>
  </si>
  <si>
    <t>s6_28_30_w3_00_30p</t>
  </si>
  <si>
    <t>s6_28_30_w4_00_30p</t>
  </si>
  <si>
    <t>s6_28_30_w5_00_30p</t>
  </si>
  <si>
    <t>s6_28_30_w6_00_30p</t>
  </si>
  <si>
    <t>s6_29_30_w1_00_45p</t>
  </si>
  <si>
    <t>s6_29_30_w2_00_45p</t>
  </si>
  <si>
    <t>s6_29_30_w3_00_45p</t>
  </si>
  <si>
    <t>s6_29_30_w4_00_45p</t>
  </si>
  <si>
    <t>s6_29_30_w5_00_45p</t>
  </si>
  <si>
    <t>s6_29_30_w6_00_45p</t>
  </si>
  <si>
    <t>s4_05_30_w5_49_00</t>
  </si>
  <si>
    <t>s4_06_30_w1_25_00</t>
  </si>
  <si>
    <t>s4_06_30_w3_25_00</t>
  </si>
  <si>
    <t>s4_02_00_w5_25_00</t>
  </si>
  <si>
    <t>T01a.1</t>
  </si>
  <si>
    <t>T01a.2</t>
  </si>
  <si>
    <t>T01a.3</t>
  </si>
  <si>
    <t>T01a.4</t>
  </si>
  <si>
    <t>T01a.5</t>
  </si>
  <si>
    <t>T01a.6</t>
  </si>
  <si>
    <t>s4_01a_00_w1_00_00</t>
  </si>
  <si>
    <t>s4_01a_00_w2_00_00</t>
  </si>
  <si>
    <t>s4_01a_00_w3_00_00</t>
  </si>
  <si>
    <t>s4_01a_00_w4_00_00</t>
  </si>
  <si>
    <t>s4_01a_00_w5_00_00</t>
  </si>
  <si>
    <t>s4_01a_00_w6_00_00</t>
  </si>
  <si>
    <t>s4_04a_30_w1_00_00</t>
  </si>
  <si>
    <t>s4_04a_30_w2_00_00</t>
  </si>
  <si>
    <t>s4_04a_30_w3_00_00</t>
  </si>
  <si>
    <t>s4_04a_30_w4_00_00</t>
  </si>
  <si>
    <t>s4_04a_30_w5_00_00</t>
  </si>
  <si>
    <t>s4_04a_30_w6_00_00</t>
  </si>
  <si>
    <t>s4_03a_00_w1_49_00</t>
  </si>
  <si>
    <t>s4_03a_00_w3_49_00</t>
  </si>
  <si>
    <t>s4_03a_00_w5_49_00</t>
  </si>
  <si>
    <t>s4_11_40_w1_49_00</t>
  </si>
  <si>
    <t>s4_11_40_w3_49_00</t>
  </si>
  <si>
    <t>s4_11_40_w5_49_00</t>
  </si>
  <si>
    <t>s4_10_40_w1_00_00</t>
  </si>
  <si>
    <t>s4_10_40_w2_00_00</t>
  </si>
  <si>
    <t>s4_10_40_w3_00_00</t>
  </si>
  <si>
    <t>s4_10_40_w4_00_00</t>
  </si>
  <si>
    <t>s4_10_40_w5_00_00</t>
  </si>
  <si>
    <t>s4_10_40_w6_00_00</t>
  </si>
  <si>
    <t>s5_16_40_w1_00_30m</t>
  </si>
  <si>
    <t>s5_16_40_w2_00_30m</t>
  </si>
  <si>
    <t>s5_16_40_w3_00_30m</t>
  </si>
  <si>
    <t>s5_16_40_w4_00_30m</t>
  </si>
  <si>
    <t>s5_16_40_w5_00_30m</t>
  </si>
  <si>
    <t>s5_16_40_w6_00_30m</t>
  </si>
  <si>
    <t>s5_17_40_w1_49_30m</t>
  </si>
  <si>
    <t>s5_17_40_w3_49_30m</t>
  </si>
  <si>
    <t>s5_17_40_w5_49_30m</t>
  </si>
  <si>
    <t>s6_30_40_w1_00_30p</t>
  </si>
  <si>
    <t>s6_30_40_w2_00_30p</t>
  </si>
  <si>
    <t>s6_30_40_w3_00_30p</t>
  </si>
  <si>
    <t>s6_30_40_w4_00_30p</t>
  </si>
  <si>
    <t>s6_30_40_w5_00_30p</t>
  </si>
  <si>
    <t>s6_30_40_w6_00_30p</t>
  </si>
  <si>
    <t>s6_31_40_w1_00_45p</t>
  </si>
  <si>
    <t>s6_31_40_w2_00_45p</t>
  </si>
  <si>
    <t>s6_31_40_w3_00_45p</t>
  </si>
  <si>
    <t>s6_31_40_w4_00_45p</t>
  </si>
  <si>
    <t>s6_31_40_w5_00_45p</t>
  </si>
  <si>
    <t>s6_31_40_w6_00_45p</t>
  </si>
  <si>
    <t>-</t>
  </si>
  <si>
    <t>Set-up 6</t>
  </si>
  <si>
    <t>Set-up 4</t>
  </si>
  <si>
    <t>Set-up 5</t>
  </si>
  <si>
    <t>Test</t>
  </si>
  <si>
    <t>series</t>
  </si>
  <si>
    <t xml:space="preserve">wave </t>
  </si>
  <si>
    <t>direction</t>
  </si>
  <si>
    <t>wave</t>
  </si>
  <si>
    <t>number</t>
  </si>
  <si>
    <t>Nominal wave parameters</t>
  </si>
  <si>
    <t>water</t>
  </si>
  <si>
    <t>depth</t>
  </si>
  <si>
    <t>Run-up</t>
  </si>
  <si>
    <t>Overtopping</t>
  </si>
  <si>
    <t>Flow velocities 2%</t>
  </si>
  <si>
    <t>Flow depths 2%</t>
  </si>
  <si>
    <t>Hm0</t>
  </si>
  <si>
    <t xml:space="preserve">T01 </t>
  </si>
  <si>
    <t xml:space="preserve">T02 </t>
  </si>
  <si>
    <t>Cr</t>
  </si>
  <si>
    <t>Hmax</t>
  </si>
  <si>
    <t>Tz</t>
  </si>
  <si>
    <t>N</t>
  </si>
  <si>
    <t>2% [</t>
  </si>
  <si>
    <t>Pov-70</t>
  </si>
  <si>
    <t>Pov-60</t>
  </si>
  <si>
    <t>q70-37</t>
  </si>
  <si>
    <t>q70-39</t>
  </si>
  <si>
    <t>q60-41</t>
  </si>
  <si>
    <t>q60-43</t>
  </si>
  <si>
    <t>v70-33-l</t>
  </si>
  <si>
    <t>v70-34-s</t>
  </si>
  <si>
    <t>v60-35-l</t>
  </si>
  <si>
    <t>v60-36-s</t>
  </si>
  <si>
    <t>l/s per m</t>
  </si>
  <si>
    <t>m/s</t>
  </si>
  <si>
    <t>m</t>
  </si>
  <si>
    <t>Gauges 9-5 at wave maker</t>
  </si>
  <si>
    <t>Gauges 14-10 at 0.60 m</t>
  </si>
  <si>
    <t>Gauges 55-51 at 0.70 m</t>
  </si>
  <si>
    <t>Flow depths 2% pressures</t>
  </si>
  <si>
    <t>Measured parameters</t>
  </si>
  <si>
    <t>sm-1,0</t>
  </si>
  <si>
    <r>
      <t>x</t>
    </r>
    <r>
      <rPr>
        <sz val="10"/>
        <rFont val="Arial"/>
        <family val="2"/>
      </rPr>
      <t>m-1.0</t>
    </r>
  </si>
  <si>
    <t>Rc*-breaking</t>
  </si>
  <si>
    <t>Rc* non-br.</t>
  </si>
  <si>
    <t>q*-breaking</t>
  </si>
  <si>
    <t>q*-max</t>
  </si>
  <si>
    <t>q-breaking</t>
  </si>
  <si>
    <t>B=0</t>
  </si>
  <si>
    <t>LWI 958</t>
  </si>
  <si>
    <t/>
  </si>
  <si>
    <t>s6_25_00_w1_00_45p</t>
  </si>
  <si>
    <t>s6_25_00_w2_00_45p</t>
  </si>
  <si>
    <t>s6_25_00_w3_00_45p</t>
  </si>
  <si>
    <t>s6_25_00_w4_00_45p</t>
  </si>
  <si>
    <t>s6_25_00_w5_00_45p</t>
  </si>
  <si>
    <t>s6_25_00_w6_00_45p</t>
  </si>
  <si>
    <t>s4_01</t>
  </si>
  <si>
    <t>s4_01a</t>
  </si>
  <si>
    <t>s4_02</t>
  </si>
  <si>
    <t>s4_03a</t>
  </si>
  <si>
    <t>s4_04a</t>
  </si>
  <si>
    <t>s4_05</t>
  </si>
  <si>
    <t>s4_06</t>
  </si>
  <si>
    <t>s4_07</t>
  </si>
  <si>
    <t>s4_08</t>
  </si>
  <si>
    <t>s4_10</t>
  </si>
  <si>
    <t>s4_11</t>
  </si>
  <si>
    <t>s4_32</t>
  </si>
  <si>
    <t>s4_33</t>
  </si>
  <si>
    <t>s4_34</t>
  </si>
  <si>
    <t>s4_35</t>
  </si>
  <si>
    <t>s4_36</t>
  </si>
  <si>
    <t>s5_13</t>
  </si>
  <si>
    <t>s5_15</t>
  </si>
  <si>
    <t>s5_16</t>
  </si>
  <si>
    <t>s5_17</t>
  </si>
  <si>
    <t>s5_19</t>
  </si>
  <si>
    <t>s5_20</t>
  </si>
  <si>
    <t>s5_22</t>
  </si>
  <si>
    <t>s6_25</t>
  </si>
  <si>
    <t>s6_26</t>
  </si>
  <si>
    <t>s6_27</t>
  </si>
  <si>
    <t>s6_28</t>
  </si>
  <si>
    <t>s6_29</t>
  </si>
  <si>
    <t>s6_30</t>
  </si>
  <si>
    <t>s6_31</t>
  </si>
  <si>
    <t>00</t>
  </si>
  <si>
    <t>0</t>
  </si>
  <si>
    <t>-15</t>
  </si>
  <si>
    <t>15</t>
  </si>
  <si>
    <t>25</t>
  </si>
  <si>
    <t>49</t>
  </si>
  <si>
    <t>h70-15-l</t>
  </si>
  <si>
    <t>h70-16-s</t>
  </si>
  <si>
    <t>h70-17-l</t>
  </si>
  <si>
    <t>h60-18-s</t>
  </si>
  <si>
    <t>ps58 - 70cm</t>
  </si>
  <si>
    <t>ps59 - 70cm</t>
  </si>
  <si>
    <t>ps60 - 60cm</t>
  </si>
  <si>
    <t>ps61 -60cm</t>
  </si>
  <si>
    <t>no data</t>
  </si>
  <si>
    <t>h70-56 sl</t>
  </si>
  <si>
    <t>h60-57 sl</t>
  </si>
  <si>
    <t>b</t>
  </si>
  <si>
    <t>u</t>
  </si>
  <si>
    <t>b-breaking</t>
  </si>
  <si>
    <t>b-non-br</t>
  </si>
  <si>
    <t>degr.</t>
  </si>
  <si>
    <t>Canada LWI 859</t>
  </si>
  <si>
    <t>H638 1:4</t>
  </si>
  <si>
    <t>breaking</t>
  </si>
  <si>
    <t xml:space="preserve">H628 1:4 </t>
  </si>
  <si>
    <t>non-breaking</t>
  </si>
  <si>
    <t>H638 1:4+berm breaking</t>
  </si>
  <si>
    <r>
      <t>b</t>
    </r>
    <r>
      <rPr>
        <b/>
        <vertAlign val="subscript"/>
        <sz val="10"/>
        <rFont val="Arial"/>
        <family val="2"/>
      </rPr>
      <t>e</t>
    </r>
  </si>
  <si>
    <r>
      <t>|b</t>
    </r>
    <r>
      <rPr>
        <b/>
        <vertAlign val="subscript"/>
        <sz val="10"/>
        <rFont val="Arial"/>
        <family val="2"/>
      </rPr>
      <t>e</t>
    </r>
    <r>
      <rPr>
        <b/>
        <sz val="10"/>
        <rFont val="Arial"/>
        <family val="2"/>
      </rPr>
      <t>|</t>
    </r>
  </si>
  <si>
    <r>
      <t>g</t>
    </r>
    <r>
      <rPr>
        <b/>
        <sz val="10"/>
        <rFont val="Ariak"/>
      </rPr>
      <t>-br</t>
    </r>
  </si>
  <si>
    <r>
      <t>g</t>
    </r>
    <r>
      <rPr>
        <b/>
        <sz val="10"/>
        <rFont val="Ariak"/>
      </rPr>
      <t>-non br</t>
    </r>
  </si>
  <si>
    <r>
      <t>g</t>
    </r>
    <r>
      <rPr>
        <vertAlign val="subscript"/>
        <sz val="10"/>
        <rFont val="Symbol"/>
        <family val="1"/>
        <charset val="2"/>
      </rPr>
      <t>b</t>
    </r>
  </si>
  <si>
    <t>Flowdike 2</t>
  </si>
  <si>
    <t>Wave direction: positive along with the current</t>
  </si>
  <si>
    <t>q</t>
  </si>
  <si>
    <t>Lom-1,0</t>
  </si>
  <si>
    <t>Afwijkend punt eruit gehaald</t>
  </si>
  <si>
    <t>Flowdike 1 no currents</t>
  </si>
  <si>
    <t>s</t>
  </si>
  <si>
    <r>
      <t>T</t>
    </r>
    <r>
      <rPr>
        <vertAlign val="subscript"/>
        <sz val="10"/>
        <rFont val="Arial"/>
        <family val="2"/>
      </rPr>
      <t>m-1,0 rel</t>
    </r>
  </si>
  <si>
    <t>Tp rel</t>
  </si>
  <si>
    <t>438 kan er ook bij</t>
  </si>
  <si>
    <t>Bijgewerkt uit fd2 10-03-12</t>
  </si>
  <si>
    <t>Lo-1,0</t>
  </si>
  <si>
    <t>ko</t>
  </si>
  <si>
    <t>k</t>
  </si>
  <si>
    <t>sinB</t>
  </si>
  <si>
    <t>solve=0</t>
  </si>
  <si>
    <t>Lm-1,0</t>
  </si>
  <si>
    <t>sigma rel</t>
  </si>
  <si>
    <t>cg rel</t>
  </si>
  <si>
    <t>Be</t>
  </si>
  <si>
    <t>Be average</t>
  </si>
  <si>
    <t>no.</t>
  </si>
  <si>
    <t xml:space="preserve">Test </t>
  </si>
  <si>
    <t>s4_35_15_wi_00_00</t>
  </si>
  <si>
    <t>s4_36_40_wi_00_00</t>
  </si>
  <si>
    <t>Gauges 14-10 at 0.60 m toe</t>
  </si>
  <si>
    <t>Gauges 55-51 at 0.70 m toe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</si>
</sst>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"/>
    <numFmt numFmtId="165" formatCode="0.0000"/>
    <numFmt numFmtId="166" formatCode="0.0"/>
  </numFmts>
  <fonts count="32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name val="Symbol"/>
      <family val="1"/>
      <charset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63"/>
      <name val="Calibri"/>
      <family val="2"/>
    </font>
    <font>
      <b/>
      <sz val="11"/>
      <color indexed="52"/>
      <name val="Calibri"/>
      <family val="2"/>
    </font>
    <font>
      <sz val="11"/>
      <color indexed="62"/>
      <name val="Calibri"/>
      <family val="2"/>
    </font>
    <font>
      <b/>
      <sz val="11"/>
      <color indexed="8"/>
      <name val="Calibri"/>
      <family val="2"/>
    </font>
    <font>
      <i/>
      <sz val="11"/>
      <color indexed="23"/>
      <name val="Calibri"/>
      <family val="2"/>
    </font>
    <font>
      <sz val="10"/>
      <name val="Arial"/>
      <family val="2"/>
    </font>
    <font>
      <sz val="11"/>
      <color indexed="17"/>
      <name val="Calibri"/>
      <family val="2"/>
    </font>
    <font>
      <sz val="11"/>
      <color indexed="60"/>
      <name val="Calibri"/>
      <family val="2"/>
    </font>
    <font>
      <sz val="11"/>
      <color indexed="2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52"/>
      <name val="Calibri"/>
      <family val="2"/>
    </font>
    <font>
      <sz val="11"/>
      <color indexed="10"/>
      <name val="Calibri"/>
      <family val="2"/>
    </font>
    <font>
      <b/>
      <sz val="11"/>
      <color indexed="9"/>
      <name val="Calibri"/>
      <family val="2"/>
    </font>
    <font>
      <sz val="8"/>
      <name val="Arial"/>
      <family val="2"/>
    </font>
    <font>
      <b/>
      <sz val="10"/>
      <name val="Symbol"/>
      <family val="1"/>
      <charset val="2"/>
    </font>
    <font>
      <b/>
      <vertAlign val="subscript"/>
      <sz val="10"/>
      <name val="Arial"/>
      <family val="2"/>
    </font>
    <font>
      <b/>
      <sz val="10"/>
      <name val="Ariak"/>
    </font>
    <font>
      <vertAlign val="subscript"/>
      <sz val="10"/>
      <name val="Symbol"/>
      <family val="1"/>
      <charset val="2"/>
    </font>
    <font>
      <vertAlign val="subscript"/>
      <sz val="10"/>
      <name val="Arial"/>
      <family val="2"/>
    </font>
    <font>
      <sz val="10"/>
      <color rgb="FFFF0000"/>
      <name val="Arial"/>
      <family val="2"/>
    </font>
  </fonts>
  <fills count="2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9" tint="0.79998168889431442"/>
        <bgColor indexed="64"/>
      </patternFill>
    </fill>
  </fills>
  <borders count="34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3">
    <xf numFmtId="0" fontId="0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9" fillId="20" borderId="1" applyNumberFormat="0" applyAlignment="0" applyProtection="0"/>
    <xf numFmtId="0" fontId="10" fillId="20" borderId="2" applyNumberFormat="0" applyAlignment="0" applyProtection="0"/>
    <xf numFmtId="0" fontId="11" fillId="7" borderId="2" applyNumberFormat="0" applyAlignment="0" applyProtection="0"/>
    <xf numFmtId="0" fontId="12" fillId="0" borderId="4" applyNumberFormat="0" applyFill="0" applyAlignment="0" applyProtection="0"/>
    <xf numFmtId="0" fontId="13" fillId="0" borderId="0" applyNumberFormat="0" applyFill="0" applyBorder="0" applyAlignment="0" applyProtection="0"/>
    <xf numFmtId="0" fontId="15" fillId="4" borderId="0" applyNumberFormat="0" applyBorder="0" applyAlignment="0" applyProtection="0"/>
    <xf numFmtId="0" fontId="16" fillId="22" borderId="0" applyNumberFormat="0" applyBorder="0" applyAlignment="0" applyProtection="0"/>
    <xf numFmtId="0" fontId="14" fillId="23" borderId="9" applyNumberFormat="0" applyFont="0" applyAlignment="0" applyProtection="0"/>
    <xf numFmtId="0" fontId="17" fillId="3" borderId="0" applyNumberFormat="0" applyBorder="0" applyAlignment="0" applyProtection="0"/>
    <xf numFmtId="0" fontId="14" fillId="0" borderId="0"/>
    <xf numFmtId="0" fontId="18" fillId="0" borderId="0" applyNumberFormat="0" applyFill="0" applyBorder="0" applyAlignment="0" applyProtection="0"/>
    <xf numFmtId="0" fontId="19" fillId="0" borderId="6" applyNumberFormat="0" applyFill="0" applyAlignment="0" applyProtection="0"/>
    <xf numFmtId="0" fontId="20" fillId="0" borderId="7" applyNumberFormat="0" applyFill="0" applyAlignment="0" applyProtection="0"/>
    <xf numFmtId="0" fontId="21" fillId="0" borderId="8" applyNumberFormat="0" applyFill="0" applyAlignment="0" applyProtection="0"/>
    <xf numFmtId="0" fontId="21" fillId="0" borderId="0" applyNumberFormat="0" applyFill="0" applyBorder="0" applyAlignment="0" applyProtection="0"/>
    <xf numFmtId="0" fontId="22" fillId="0" borderId="5" applyNumberFormat="0" applyFill="0" applyAlignment="0" applyProtection="0"/>
    <xf numFmtId="0" fontId="23" fillId="0" borderId="0" applyNumberFormat="0" applyFill="0" applyBorder="0" applyAlignment="0" applyProtection="0"/>
    <xf numFmtId="0" fontId="24" fillId="21" borderId="3" applyNumberFormat="0" applyAlignment="0" applyProtection="0"/>
  </cellStyleXfs>
  <cellXfs count="300">
    <xf numFmtId="0" fontId="0" fillId="0" borderId="0" xfId="0"/>
    <xf numFmtId="0" fontId="0" fillId="0" borderId="0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0" xfId="0" applyFill="1" applyBorder="1" applyAlignment="1">
      <alignment horizontal="center"/>
    </xf>
    <xf numFmtId="164" fontId="0" fillId="0" borderId="0" xfId="0" applyNumberFormat="1" applyBorder="1" applyAlignment="1">
      <alignment horizontal="center"/>
    </xf>
    <xf numFmtId="0" fontId="3" fillId="0" borderId="0" xfId="0" applyFont="1" applyBorder="1" applyAlignment="1">
      <alignment horizontal="left"/>
    </xf>
    <xf numFmtId="0" fontId="3" fillId="0" borderId="0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center"/>
    </xf>
    <xf numFmtId="0" fontId="1" fillId="0" borderId="12" xfId="0" applyFont="1" applyFill="1" applyBorder="1" applyAlignment="1">
      <alignment horizontal="center"/>
    </xf>
    <xf numFmtId="0" fontId="1" fillId="0" borderId="13" xfId="0" applyFont="1" applyFill="1" applyBorder="1" applyAlignment="1">
      <alignment horizontal="center"/>
    </xf>
    <xf numFmtId="0" fontId="1" fillId="0" borderId="14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left"/>
    </xf>
    <xf numFmtId="0" fontId="5" fillId="0" borderId="14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left"/>
    </xf>
    <xf numFmtId="0" fontId="5" fillId="0" borderId="10" xfId="0" applyFont="1" applyFill="1" applyBorder="1" applyAlignment="1">
      <alignment horizontal="center"/>
    </xf>
    <xf numFmtId="0" fontId="5" fillId="0" borderId="11" xfId="0" applyFont="1" applyFill="1" applyBorder="1" applyAlignment="1">
      <alignment horizontal="center"/>
    </xf>
    <xf numFmtId="0" fontId="5" fillId="0" borderId="15" xfId="0" applyFont="1" applyFill="1" applyBorder="1" applyAlignment="1">
      <alignment horizontal="center"/>
    </xf>
    <xf numFmtId="0" fontId="5" fillId="0" borderId="16" xfId="0" applyFont="1" applyFill="1" applyBorder="1" applyAlignment="1">
      <alignment horizontal="center"/>
    </xf>
    <xf numFmtId="2" fontId="1" fillId="0" borderId="0" xfId="0" applyNumberFormat="1" applyFont="1" applyFill="1" applyBorder="1" applyAlignment="1">
      <alignment horizontal="center"/>
    </xf>
    <xf numFmtId="2" fontId="5" fillId="0" borderId="0" xfId="0" applyNumberFormat="1" applyFont="1" applyFill="1" applyBorder="1" applyAlignment="1">
      <alignment horizontal="center"/>
    </xf>
    <xf numFmtId="0" fontId="3" fillId="0" borderId="10" xfId="0" applyFont="1" applyFill="1" applyBorder="1" applyAlignment="1">
      <alignment horizontal="center"/>
    </xf>
    <xf numFmtId="1" fontId="5" fillId="0" borderId="0" xfId="0" applyNumberFormat="1" applyFont="1" applyFill="1" applyBorder="1" applyAlignment="1">
      <alignment horizontal="center"/>
    </xf>
    <xf numFmtId="0" fontId="1" fillId="0" borderId="17" xfId="0" applyFont="1" applyFill="1" applyBorder="1" applyAlignment="1">
      <alignment horizontal="center"/>
    </xf>
    <xf numFmtId="0" fontId="4" fillId="0" borderId="18" xfId="0" applyFont="1" applyFill="1" applyBorder="1" applyAlignment="1">
      <alignment horizontal="center"/>
    </xf>
    <xf numFmtId="0" fontId="3" fillId="0" borderId="18" xfId="0" applyFont="1" applyFill="1" applyBorder="1" applyAlignment="1">
      <alignment horizontal="center"/>
    </xf>
    <xf numFmtId="0" fontId="1" fillId="0" borderId="17" xfId="0" applyFont="1" applyFill="1" applyBorder="1" applyAlignment="1">
      <alignment horizontal="left"/>
    </xf>
    <xf numFmtId="0" fontId="4" fillId="0" borderId="18" xfId="0" applyFont="1" applyFill="1" applyBorder="1" applyAlignment="1">
      <alignment horizontal="left"/>
    </xf>
    <xf numFmtId="2" fontId="1" fillId="0" borderId="19" xfId="0" applyNumberFormat="1" applyFont="1" applyFill="1" applyBorder="1" applyAlignment="1">
      <alignment horizontal="center"/>
    </xf>
    <xf numFmtId="2" fontId="4" fillId="0" borderId="20" xfId="0" applyNumberFormat="1" applyFont="1" applyFill="1" applyBorder="1" applyAlignment="1">
      <alignment horizontal="center"/>
    </xf>
    <xf numFmtId="2" fontId="3" fillId="0" borderId="20" xfId="0" applyNumberFormat="1" applyFont="1" applyFill="1" applyBorder="1" applyAlignment="1">
      <alignment horizontal="center"/>
    </xf>
    <xf numFmtId="2" fontId="0" fillId="0" borderId="0" xfId="0" applyNumberFormat="1" applyFont="1" applyFill="1" applyBorder="1" applyAlignment="1">
      <alignment horizontal="center"/>
    </xf>
    <xf numFmtId="164" fontId="0" fillId="0" borderId="0" xfId="0" applyNumberFormat="1" applyFont="1" applyBorder="1" applyAlignment="1">
      <alignment horizontal="center"/>
    </xf>
    <xf numFmtId="164" fontId="0" fillId="0" borderId="0" xfId="0" applyNumberFormat="1" applyFont="1" applyFill="1" applyBorder="1" applyAlignment="1">
      <alignment horizontal="center"/>
    </xf>
    <xf numFmtId="165" fontId="0" fillId="0" borderId="0" xfId="0" applyNumberFormat="1" applyBorder="1" applyAlignment="1">
      <alignment horizontal="center"/>
    </xf>
    <xf numFmtId="164" fontId="3" fillId="0" borderId="0" xfId="0" applyNumberFormat="1" applyFont="1" applyBorder="1" applyAlignment="1">
      <alignment horizontal="left"/>
    </xf>
    <xf numFmtId="2" fontId="0" fillId="0" borderId="0" xfId="0" applyNumberFormat="1" applyBorder="1" applyAlignment="1">
      <alignment horizontal="center"/>
    </xf>
    <xf numFmtId="165" fontId="3" fillId="0" borderId="0" xfId="0" applyNumberFormat="1" applyFont="1" applyBorder="1" applyAlignment="1">
      <alignment horizontal="left"/>
    </xf>
    <xf numFmtId="2" fontId="0" fillId="0" borderId="12" xfId="0" applyNumberFormat="1" applyBorder="1" applyAlignment="1">
      <alignment horizontal="center"/>
    </xf>
    <xf numFmtId="164" fontId="0" fillId="0" borderId="12" xfId="0" applyNumberFormat="1" applyBorder="1" applyAlignment="1">
      <alignment horizontal="center"/>
    </xf>
    <xf numFmtId="165" fontId="0" fillId="0" borderId="12" xfId="0" applyNumberFormat="1" applyBorder="1" applyAlignment="1">
      <alignment horizontal="center"/>
    </xf>
    <xf numFmtId="164" fontId="0" fillId="0" borderId="11" xfId="0" applyNumberFormat="1" applyFont="1" applyBorder="1" applyAlignment="1">
      <alignment horizontal="center"/>
    </xf>
    <xf numFmtId="2" fontId="0" fillId="0" borderId="11" xfId="0" applyNumberFormat="1" applyFont="1" applyBorder="1" applyAlignment="1">
      <alignment horizontal="center"/>
    </xf>
    <xf numFmtId="165" fontId="0" fillId="0" borderId="11" xfId="0" applyNumberFormat="1" applyBorder="1" applyAlignment="1">
      <alignment horizontal="center"/>
    </xf>
    <xf numFmtId="165" fontId="0" fillId="0" borderId="11" xfId="0" applyNumberFormat="1" applyFont="1" applyBorder="1" applyAlignment="1">
      <alignment horizontal="center"/>
    </xf>
    <xf numFmtId="1" fontId="0" fillId="0" borderId="13" xfId="0" applyNumberFormat="1" applyBorder="1"/>
    <xf numFmtId="1" fontId="0" fillId="0" borderId="10" xfId="0" applyNumberFormat="1" applyBorder="1"/>
    <xf numFmtId="1" fontId="0" fillId="0" borderId="10" xfId="0" applyNumberFormat="1" applyFont="1" applyBorder="1" applyAlignment="1">
      <alignment horizontal="center"/>
    </xf>
    <xf numFmtId="1" fontId="0" fillId="0" borderId="16" xfId="0" applyNumberFormat="1" applyFont="1" applyBorder="1"/>
    <xf numFmtId="0" fontId="0" fillId="0" borderId="10" xfId="0" applyFont="1" applyBorder="1" applyAlignment="1">
      <alignment horizontal="center"/>
    </xf>
    <xf numFmtId="0" fontId="0" fillId="0" borderId="16" xfId="0" applyFont="1" applyBorder="1" applyAlignment="1">
      <alignment horizontal="center"/>
    </xf>
    <xf numFmtId="164" fontId="0" fillId="0" borderId="13" xfId="0" applyNumberFormat="1" applyBorder="1" applyAlignment="1">
      <alignment horizontal="center"/>
    </xf>
    <xf numFmtId="164" fontId="0" fillId="0" borderId="10" xfId="0" applyNumberFormat="1" applyBorder="1" applyAlignment="1">
      <alignment horizontal="center"/>
    </xf>
    <xf numFmtId="164" fontId="0" fillId="0" borderId="10" xfId="0" applyNumberFormat="1" applyFont="1" applyBorder="1" applyAlignment="1">
      <alignment horizontal="center"/>
    </xf>
    <xf numFmtId="164" fontId="0" fillId="0" borderId="16" xfId="0" applyNumberFormat="1" applyFont="1" applyBorder="1" applyAlignment="1">
      <alignment horizontal="center"/>
    </xf>
    <xf numFmtId="165" fontId="0" fillId="0" borderId="13" xfId="0" applyNumberFormat="1" applyBorder="1" applyAlignment="1">
      <alignment horizontal="center"/>
    </xf>
    <xf numFmtId="165" fontId="0" fillId="0" borderId="10" xfId="0" applyNumberFormat="1" applyBorder="1" applyAlignment="1">
      <alignment horizontal="center"/>
    </xf>
    <xf numFmtId="165" fontId="0" fillId="0" borderId="16" xfId="0" applyNumberFormat="1" applyFont="1" applyBorder="1" applyAlignment="1">
      <alignment horizontal="center"/>
    </xf>
    <xf numFmtId="0" fontId="1" fillId="0" borderId="18" xfId="0" applyFont="1" applyFill="1" applyBorder="1" applyAlignment="1">
      <alignment horizontal="center"/>
    </xf>
    <xf numFmtId="0" fontId="1" fillId="0" borderId="18" xfId="0" applyFont="1" applyFill="1" applyBorder="1" applyAlignment="1">
      <alignment horizontal="left"/>
    </xf>
    <xf numFmtId="0" fontId="1" fillId="0" borderId="21" xfId="0" applyFont="1" applyFill="1" applyBorder="1" applyAlignment="1">
      <alignment horizontal="center"/>
    </xf>
    <xf numFmtId="0" fontId="1" fillId="0" borderId="21" xfId="0" applyFont="1" applyFill="1" applyBorder="1" applyAlignment="1">
      <alignment horizontal="left"/>
    </xf>
    <xf numFmtId="2" fontId="1" fillId="0" borderId="22" xfId="0" applyNumberFormat="1" applyFont="1" applyFill="1" applyBorder="1" applyAlignment="1">
      <alignment horizontal="center"/>
    </xf>
    <xf numFmtId="2" fontId="1" fillId="0" borderId="20" xfId="0" applyNumberFormat="1" applyFont="1" applyFill="1" applyBorder="1" applyAlignment="1">
      <alignment horizontal="center"/>
    </xf>
    <xf numFmtId="0" fontId="1" fillId="0" borderId="18" xfId="0" applyNumberFormat="1" applyFont="1" applyFill="1" applyBorder="1" applyAlignment="1">
      <alignment horizontal="left"/>
    </xf>
    <xf numFmtId="0" fontId="1" fillId="0" borderId="18" xfId="0" applyNumberFormat="1" applyFont="1" applyFill="1" applyBorder="1" applyAlignment="1">
      <alignment horizontal="center"/>
    </xf>
    <xf numFmtId="0" fontId="6" fillId="0" borderId="0" xfId="0" applyFont="1"/>
    <xf numFmtId="2" fontId="1" fillId="0" borderId="23" xfId="0" applyNumberFormat="1" applyFont="1" applyFill="1" applyBorder="1" applyAlignment="1">
      <alignment horizontal="center"/>
    </xf>
    <xf numFmtId="49" fontId="0" fillId="0" borderId="0" xfId="0" applyNumberFormat="1" applyFill="1" applyBorder="1" applyAlignment="1">
      <alignment horizontal="center"/>
    </xf>
    <xf numFmtId="2" fontId="0" fillId="0" borderId="0" xfId="0" applyNumberFormat="1" applyFill="1" applyBorder="1" applyAlignment="1">
      <alignment horizontal="center"/>
    </xf>
    <xf numFmtId="0" fontId="0" fillId="0" borderId="0" xfId="0" applyNumberFormat="1" applyFill="1" applyBorder="1" applyAlignment="1">
      <alignment horizontal="center"/>
    </xf>
    <xf numFmtId="165" fontId="0" fillId="0" borderId="0" xfId="0" applyNumberFormat="1" applyFont="1" applyBorder="1" applyAlignment="1">
      <alignment horizontal="center"/>
    </xf>
    <xf numFmtId="164" fontId="0" fillId="0" borderId="10" xfId="0" applyNumberFormat="1" applyFill="1" applyBorder="1" applyAlignment="1">
      <alignment horizontal="center"/>
    </xf>
    <xf numFmtId="164" fontId="0" fillId="0" borderId="0" xfId="0" applyNumberFormat="1" applyFill="1" applyBorder="1" applyAlignment="1">
      <alignment horizontal="center"/>
    </xf>
    <xf numFmtId="0" fontId="5" fillId="0" borderId="10" xfId="0" applyFont="1" applyFill="1" applyBorder="1" applyAlignment="1">
      <alignment horizontal="right"/>
    </xf>
    <xf numFmtId="164" fontId="5" fillId="0" borderId="0" xfId="0" applyNumberFormat="1" applyFont="1" applyFill="1" applyBorder="1" applyAlignment="1">
      <alignment horizontal="center"/>
    </xf>
    <xf numFmtId="16" fontId="5" fillId="0" borderId="0" xfId="0" applyNumberFormat="1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5" fillId="0" borderId="0" xfId="0" applyNumberFormat="1" applyFont="1" applyFill="1" applyBorder="1" applyAlignment="1">
      <alignment horizontal="center"/>
    </xf>
    <xf numFmtId="16" fontId="4" fillId="0" borderId="0" xfId="0" applyNumberFormat="1" applyFont="1" applyFill="1" applyBorder="1" applyAlignment="1">
      <alignment horizontal="center"/>
    </xf>
    <xf numFmtId="164" fontId="14" fillId="0" borderId="0" xfId="0" applyNumberFormat="1" applyFont="1" applyFill="1" applyBorder="1" applyAlignment="1">
      <alignment horizontal="center"/>
    </xf>
    <xf numFmtId="164" fontId="1" fillId="0" borderId="0" xfId="0" applyNumberFormat="1" applyFont="1" applyFill="1" applyBorder="1" applyAlignment="1">
      <alignment horizontal="center"/>
    </xf>
    <xf numFmtId="0" fontId="4" fillId="0" borderId="0" xfId="0" applyFont="1" applyFill="1" applyBorder="1" applyAlignment="1">
      <alignment horizontal="left"/>
    </xf>
    <xf numFmtId="164" fontId="3" fillId="0" borderId="0" xfId="0" applyNumberFormat="1" applyFont="1" applyFill="1" applyBorder="1" applyAlignment="1">
      <alignment horizontal="left"/>
    </xf>
    <xf numFmtId="0" fontId="1" fillId="0" borderId="24" xfId="0" applyFont="1" applyFill="1" applyBorder="1" applyAlignment="1">
      <alignment horizontal="center"/>
    </xf>
    <xf numFmtId="0" fontId="1" fillId="0" borderId="12" xfId="0" applyFont="1" applyFill="1" applyBorder="1" applyAlignment="1">
      <alignment horizontal="left"/>
    </xf>
    <xf numFmtId="164" fontId="3" fillId="0" borderId="12" xfId="0" applyNumberFormat="1" applyFont="1" applyBorder="1" applyAlignment="1">
      <alignment horizontal="left"/>
    </xf>
    <xf numFmtId="2" fontId="0" fillId="0" borderId="12" xfId="0" applyNumberFormat="1" applyFill="1" applyBorder="1" applyAlignment="1">
      <alignment horizontal="center"/>
    </xf>
    <xf numFmtId="0" fontId="4" fillId="0" borderId="14" xfId="0" applyFont="1" applyFill="1" applyBorder="1" applyAlignment="1">
      <alignment horizontal="center"/>
    </xf>
    <xf numFmtId="0" fontId="3" fillId="0" borderId="14" xfId="0" applyFont="1" applyFill="1" applyBorder="1" applyAlignment="1">
      <alignment horizontal="center"/>
    </xf>
    <xf numFmtId="0" fontId="5" fillId="0" borderId="11" xfId="0" applyFont="1" applyFill="1" applyBorder="1" applyAlignment="1">
      <alignment horizontal="left"/>
    </xf>
    <xf numFmtId="2" fontId="0" fillId="0" borderId="11" xfId="0" applyNumberFormat="1" applyFill="1" applyBorder="1" applyAlignment="1">
      <alignment horizontal="center"/>
    </xf>
    <xf numFmtId="0" fontId="5" fillId="0" borderId="11" xfId="0" applyNumberFormat="1" applyFont="1" applyFill="1" applyBorder="1" applyAlignment="1">
      <alignment horizontal="center"/>
    </xf>
    <xf numFmtId="164" fontId="5" fillId="0" borderId="11" xfId="0" applyNumberFormat="1" applyFont="1" applyFill="1" applyBorder="1" applyAlignment="1">
      <alignment horizontal="center"/>
    </xf>
    <xf numFmtId="16" fontId="4" fillId="0" borderId="14" xfId="0" applyNumberFormat="1" applyFont="1" applyFill="1" applyBorder="1" applyAlignment="1">
      <alignment horizontal="left"/>
    </xf>
    <xf numFmtId="0" fontId="4" fillId="0" borderId="14" xfId="0" applyFont="1" applyFill="1" applyBorder="1" applyAlignment="1">
      <alignment horizontal="left"/>
    </xf>
    <xf numFmtId="2" fontId="1" fillId="0" borderId="13" xfId="0" applyNumberFormat="1" applyFont="1" applyFill="1" applyBorder="1" applyAlignment="1">
      <alignment horizontal="center"/>
    </xf>
    <xf numFmtId="2" fontId="4" fillId="0" borderId="10" xfId="0" applyNumberFormat="1" applyFont="1" applyFill="1" applyBorder="1" applyAlignment="1">
      <alignment horizontal="center"/>
    </xf>
    <xf numFmtId="2" fontId="3" fillId="0" borderId="10" xfId="0" applyNumberFormat="1" applyFont="1" applyFill="1" applyBorder="1" applyAlignment="1">
      <alignment horizontal="center"/>
    </xf>
    <xf numFmtId="2" fontId="5" fillId="0" borderId="16" xfId="0" applyNumberFormat="1" applyFont="1" applyFill="1" applyBorder="1" applyAlignment="1">
      <alignment horizontal="center"/>
    </xf>
    <xf numFmtId="2" fontId="5" fillId="0" borderId="10" xfId="0" applyNumberFormat="1" applyFont="1" applyFill="1" applyBorder="1" applyAlignment="1">
      <alignment horizontal="center"/>
    </xf>
    <xf numFmtId="2" fontId="4" fillId="0" borderId="24" xfId="0" applyNumberFormat="1" applyFont="1" applyFill="1" applyBorder="1" applyAlignment="1">
      <alignment horizontal="left"/>
    </xf>
    <xf numFmtId="2" fontId="3" fillId="0" borderId="14" xfId="0" applyNumberFormat="1" applyFont="1" applyFill="1" applyBorder="1" applyAlignment="1">
      <alignment horizontal="center"/>
    </xf>
    <xf numFmtId="2" fontId="5" fillId="0" borderId="14" xfId="0" applyNumberFormat="1" applyFont="1" applyFill="1" applyBorder="1" applyAlignment="1">
      <alignment horizontal="center"/>
    </xf>
    <xf numFmtId="1" fontId="5" fillId="0" borderId="10" xfId="0" applyNumberFormat="1" applyFont="1" applyFill="1" applyBorder="1" applyAlignment="1">
      <alignment horizontal="center"/>
    </xf>
    <xf numFmtId="2" fontId="5" fillId="0" borderId="15" xfId="0" applyNumberFormat="1" applyFont="1" applyFill="1" applyBorder="1" applyAlignment="1">
      <alignment horizontal="center"/>
    </xf>
    <xf numFmtId="1" fontId="5" fillId="0" borderId="16" xfId="0" applyNumberFormat="1" applyFont="1" applyFill="1" applyBorder="1" applyAlignment="1">
      <alignment horizontal="center"/>
    </xf>
    <xf numFmtId="2" fontId="0" fillId="0" borderId="13" xfId="0" applyNumberFormat="1" applyFill="1" applyBorder="1" applyAlignment="1">
      <alignment horizontal="center"/>
    </xf>
    <xf numFmtId="2" fontId="0" fillId="0" borderId="10" xfId="0" applyNumberFormat="1" applyFill="1" applyBorder="1" applyAlignment="1">
      <alignment horizontal="center"/>
    </xf>
    <xf numFmtId="2" fontId="0" fillId="0" borderId="16" xfId="0" applyNumberFormat="1" applyFill="1" applyBorder="1" applyAlignment="1">
      <alignment horizontal="center"/>
    </xf>
    <xf numFmtId="164" fontId="0" fillId="0" borderId="10" xfId="0" applyNumberFormat="1" applyFont="1" applyFill="1" applyBorder="1" applyAlignment="1">
      <alignment horizontal="center"/>
    </xf>
    <xf numFmtId="0" fontId="5" fillId="0" borderId="25" xfId="0" applyFont="1" applyFill="1" applyBorder="1" applyAlignment="1">
      <alignment horizontal="center"/>
    </xf>
    <xf numFmtId="0" fontId="0" fillId="0" borderId="26" xfId="0" applyFill="1" applyBorder="1" applyAlignment="1">
      <alignment horizontal="center"/>
    </xf>
    <xf numFmtId="49" fontId="0" fillId="0" borderId="26" xfId="0" applyNumberFormat="1" applyFill="1" applyBorder="1" applyAlignment="1">
      <alignment horizontal="center"/>
    </xf>
    <xf numFmtId="2" fontId="0" fillId="0" borderId="26" xfId="0" applyNumberFormat="1" applyFill="1" applyBorder="1" applyAlignment="1">
      <alignment horizontal="center"/>
    </xf>
    <xf numFmtId="0" fontId="0" fillId="0" borderId="26" xfId="0" applyNumberFormat="1" applyFill="1" applyBorder="1" applyAlignment="1">
      <alignment horizontal="center"/>
    </xf>
    <xf numFmtId="2" fontId="5" fillId="0" borderId="27" xfId="0" applyNumberFormat="1" applyFont="1" applyFill="1" applyBorder="1" applyAlignment="1">
      <alignment horizontal="center"/>
    </xf>
    <xf numFmtId="2" fontId="5" fillId="0" borderId="25" xfId="0" applyNumberFormat="1" applyFont="1" applyFill="1" applyBorder="1" applyAlignment="1">
      <alignment horizontal="center"/>
    </xf>
    <xf numFmtId="164" fontId="5" fillId="0" borderId="26" xfId="0" applyNumberFormat="1" applyFont="1" applyFill="1" applyBorder="1" applyAlignment="1">
      <alignment horizontal="center"/>
    </xf>
    <xf numFmtId="1" fontId="5" fillId="0" borderId="27" xfId="0" applyNumberFormat="1" applyFont="1" applyFill="1" applyBorder="1" applyAlignment="1">
      <alignment horizontal="center"/>
    </xf>
    <xf numFmtId="2" fontId="0" fillId="0" borderId="27" xfId="0" applyNumberFormat="1" applyFill="1" applyBorder="1" applyAlignment="1">
      <alignment horizontal="center"/>
    </xf>
    <xf numFmtId="0" fontId="5" fillId="0" borderId="27" xfId="0" applyFont="1" applyFill="1" applyBorder="1" applyAlignment="1">
      <alignment horizontal="center"/>
    </xf>
    <xf numFmtId="164" fontId="0" fillId="0" borderId="26" xfId="0" applyNumberFormat="1" applyFill="1" applyBorder="1" applyAlignment="1">
      <alignment horizontal="center"/>
    </xf>
    <xf numFmtId="164" fontId="0" fillId="0" borderId="27" xfId="0" applyNumberFormat="1" applyFill="1" applyBorder="1" applyAlignment="1">
      <alignment horizontal="center"/>
    </xf>
    <xf numFmtId="164" fontId="0" fillId="0" borderId="26" xfId="0" applyNumberFormat="1" applyFont="1" applyFill="1" applyBorder="1" applyAlignment="1">
      <alignment horizontal="center"/>
    </xf>
    <xf numFmtId="164" fontId="0" fillId="0" borderId="27" xfId="0" applyNumberFormat="1" applyFont="1" applyFill="1" applyBorder="1" applyAlignment="1">
      <alignment horizontal="center"/>
    </xf>
    <xf numFmtId="0" fontId="5" fillId="0" borderId="28" xfId="0" applyFont="1" applyFill="1" applyBorder="1" applyAlignment="1">
      <alignment horizontal="center"/>
    </xf>
    <xf numFmtId="0" fontId="0" fillId="0" borderId="29" xfId="0" applyFill="1" applyBorder="1" applyAlignment="1">
      <alignment horizontal="center"/>
    </xf>
    <xf numFmtId="49" fontId="0" fillId="0" borderId="29" xfId="0" applyNumberFormat="1" applyFill="1" applyBorder="1" applyAlignment="1">
      <alignment horizontal="center"/>
    </xf>
    <xf numFmtId="2" fontId="0" fillId="0" borderId="29" xfId="0" applyNumberFormat="1" applyFill="1" applyBorder="1" applyAlignment="1">
      <alignment horizontal="center"/>
    </xf>
    <xf numFmtId="0" fontId="0" fillId="0" borderId="29" xfId="0" applyNumberFormat="1" applyFill="1" applyBorder="1" applyAlignment="1">
      <alignment horizontal="center"/>
    </xf>
    <xf numFmtId="2" fontId="5" fillId="0" borderId="30" xfId="0" applyNumberFormat="1" applyFont="1" applyFill="1" applyBorder="1" applyAlignment="1">
      <alignment horizontal="center"/>
    </xf>
    <xf numFmtId="2" fontId="5" fillId="0" borderId="28" xfId="0" applyNumberFormat="1" applyFont="1" applyFill="1" applyBorder="1" applyAlignment="1">
      <alignment horizontal="center"/>
    </xf>
    <xf numFmtId="164" fontId="5" fillId="0" borderId="29" xfId="0" applyNumberFormat="1" applyFont="1" applyFill="1" applyBorder="1" applyAlignment="1">
      <alignment horizontal="center"/>
    </xf>
    <xf numFmtId="1" fontId="5" fillId="0" borderId="30" xfId="0" applyNumberFormat="1" applyFont="1" applyFill="1" applyBorder="1" applyAlignment="1">
      <alignment horizontal="center"/>
    </xf>
    <xf numFmtId="2" fontId="0" fillId="0" borderId="30" xfId="0" applyNumberFormat="1" applyFill="1" applyBorder="1" applyAlignment="1">
      <alignment horizontal="center"/>
    </xf>
    <xf numFmtId="0" fontId="5" fillId="0" borderId="30" xfId="0" applyFont="1" applyFill="1" applyBorder="1" applyAlignment="1">
      <alignment horizontal="center"/>
    </xf>
    <xf numFmtId="164" fontId="0" fillId="0" borderId="29" xfId="0" applyNumberFormat="1" applyFont="1" applyFill="1" applyBorder="1" applyAlignment="1">
      <alignment horizontal="center"/>
    </xf>
    <xf numFmtId="164" fontId="0" fillId="0" borderId="29" xfId="0" applyNumberFormat="1" applyFill="1" applyBorder="1" applyAlignment="1">
      <alignment horizontal="center"/>
    </xf>
    <xf numFmtId="164" fontId="0" fillId="0" borderId="30" xfId="0" applyNumberFormat="1" applyFont="1" applyFill="1" applyBorder="1" applyAlignment="1">
      <alignment horizontal="center"/>
    </xf>
    <xf numFmtId="164" fontId="0" fillId="0" borderId="30" xfId="0" applyNumberFormat="1" applyFill="1" applyBorder="1" applyAlignment="1">
      <alignment horizontal="center"/>
    </xf>
    <xf numFmtId="0" fontId="5" fillId="0" borderId="26" xfId="0" applyFont="1" applyFill="1" applyBorder="1" applyAlignment="1">
      <alignment horizontal="left"/>
    </xf>
    <xf numFmtId="164" fontId="14" fillId="0" borderId="26" xfId="0" applyNumberFormat="1" applyFont="1" applyFill="1" applyBorder="1" applyAlignment="1">
      <alignment horizontal="center"/>
    </xf>
    <xf numFmtId="0" fontId="5" fillId="0" borderId="26" xfId="0" applyFont="1" applyFill="1" applyBorder="1" applyAlignment="1">
      <alignment horizontal="center"/>
    </xf>
    <xf numFmtId="0" fontId="5" fillId="0" borderId="27" xfId="0" applyFont="1" applyFill="1" applyBorder="1" applyAlignment="1">
      <alignment horizontal="right"/>
    </xf>
    <xf numFmtId="0" fontId="0" fillId="0" borderId="11" xfId="0" applyFill="1" applyBorder="1" applyAlignment="1">
      <alignment horizontal="center"/>
    </xf>
    <xf numFmtId="49" fontId="0" fillId="0" borderId="11" xfId="0" applyNumberFormat="1" applyFill="1" applyBorder="1" applyAlignment="1">
      <alignment horizontal="center"/>
    </xf>
    <xf numFmtId="164" fontId="0" fillId="0" borderId="11" xfId="0" applyNumberFormat="1" applyFill="1" applyBorder="1" applyAlignment="1">
      <alignment horizontal="center"/>
    </xf>
    <xf numFmtId="164" fontId="0" fillId="0" borderId="16" xfId="0" applyNumberFormat="1" applyFont="1" applyFill="1" applyBorder="1" applyAlignment="1">
      <alignment horizontal="center"/>
    </xf>
    <xf numFmtId="164" fontId="0" fillId="0" borderId="11" xfId="0" applyNumberFormat="1" applyFont="1" applyFill="1" applyBorder="1" applyAlignment="1">
      <alignment horizontal="center"/>
    </xf>
    <xf numFmtId="164" fontId="0" fillId="0" borderId="16" xfId="0" applyNumberFormat="1" applyFill="1" applyBorder="1" applyAlignment="1">
      <alignment horizontal="center"/>
    </xf>
    <xf numFmtId="0" fontId="0" fillId="0" borderId="26" xfId="0" applyBorder="1"/>
    <xf numFmtId="0" fontId="0" fillId="24" borderId="26" xfId="0" applyFill="1" applyBorder="1"/>
    <xf numFmtId="0" fontId="26" fillId="0" borderId="13" xfId="34" applyFont="1" applyBorder="1" applyAlignment="1">
      <alignment horizontal="center"/>
    </xf>
    <xf numFmtId="0" fontId="14" fillId="0" borderId="0" xfId="34"/>
    <xf numFmtId="0" fontId="14" fillId="0" borderId="14" xfId="34" applyBorder="1" applyAlignment="1">
      <alignment horizontal="center"/>
    </xf>
    <xf numFmtId="2" fontId="14" fillId="0" borderId="0" xfId="34" applyNumberFormat="1" applyBorder="1" applyAlignment="1">
      <alignment horizontal="center"/>
    </xf>
    <xf numFmtId="164" fontId="14" fillId="0" borderId="0" xfId="34" applyNumberFormat="1" applyBorder="1" applyAlignment="1">
      <alignment horizontal="center"/>
    </xf>
    <xf numFmtId="164" fontId="14" fillId="0" borderId="10" xfId="34" applyNumberFormat="1" applyBorder="1" applyAlignment="1">
      <alignment horizontal="center"/>
    </xf>
    <xf numFmtId="164" fontId="14" fillId="0" borderId="16" xfId="34" applyNumberFormat="1" applyBorder="1" applyAlignment="1">
      <alignment horizontal="center"/>
    </xf>
    <xf numFmtId="0" fontId="14" fillId="0" borderId="0" xfId="34" applyAlignment="1">
      <alignment horizontal="center"/>
    </xf>
    <xf numFmtId="2" fontId="14" fillId="0" borderId="0" xfId="34" applyNumberFormat="1" applyAlignment="1">
      <alignment horizontal="center"/>
    </xf>
    <xf numFmtId="164" fontId="14" fillId="0" borderId="0" xfId="34" applyNumberFormat="1" applyAlignment="1">
      <alignment horizontal="center"/>
    </xf>
    <xf numFmtId="0" fontId="14" fillId="0" borderId="24" xfId="34" applyBorder="1"/>
    <xf numFmtId="0" fontId="14" fillId="0" borderId="12" xfId="34" applyBorder="1"/>
    <xf numFmtId="0" fontId="14" fillId="0" borderId="13" xfId="34" applyBorder="1"/>
    <xf numFmtId="0" fontId="6" fillId="0" borderId="19" xfId="34" applyFont="1" applyBorder="1" applyAlignment="1">
      <alignment horizontal="center"/>
    </xf>
    <xf numFmtId="0" fontId="14" fillId="0" borderId="31" xfId="34" applyBorder="1" applyAlignment="1">
      <alignment horizontal="center"/>
    </xf>
    <xf numFmtId="0" fontId="6" fillId="0" borderId="13" xfId="34" applyFont="1" applyBorder="1" applyAlignment="1">
      <alignment horizontal="center"/>
    </xf>
    <xf numFmtId="0" fontId="6" fillId="0" borderId="20" xfId="34" applyFont="1" applyBorder="1" applyAlignment="1">
      <alignment horizontal="center"/>
    </xf>
    <xf numFmtId="0" fontId="14" fillId="0" borderId="18" xfId="34" applyBorder="1" applyAlignment="1">
      <alignment horizontal="center"/>
    </xf>
    <xf numFmtId="0" fontId="6" fillId="0" borderId="10" xfId="34" applyFont="1" applyBorder="1" applyAlignment="1">
      <alignment horizontal="center"/>
    </xf>
    <xf numFmtId="0" fontId="6" fillId="0" borderId="18" xfId="34" applyFont="1" applyBorder="1" applyAlignment="1">
      <alignment horizontal="center"/>
    </xf>
    <xf numFmtId="0" fontId="14" fillId="0" borderId="22" xfId="34" applyBorder="1" applyAlignment="1">
      <alignment horizontal="center"/>
    </xf>
    <xf numFmtId="0" fontId="14" fillId="0" borderId="32" xfId="34" applyBorder="1"/>
    <xf numFmtId="0" fontId="14" fillId="0" borderId="16" xfId="34" applyBorder="1"/>
    <xf numFmtId="0" fontId="14" fillId="0" borderId="21" xfId="34" applyBorder="1"/>
    <xf numFmtId="0" fontId="14" fillId="0" borderId="20" xfId="34" applyBorder="1" applyAlignment="1">
      <alignment horizontal="center"/>
    </xf>
    <xf numFmtId="164" fontId="14" fillId="0" borderId="33" xfId="34" applyNumberFormat="1" applyBorder="1" applyAlignment="1">
      <alignment horizontal="center"/>
    </xf>
    <xf numFmtId="0" fontId="14" fillId="0" borderId="19" xfId="34" applyBorder="1" applyAlignment="1">
      <alignment horizontal="center"/>
    </xf>
    <xf numFmtId="164" fontId="14" fillId="0" borderId="31" xfId="34" applyNumberFormat="1" applyBorder="1" applyAlignment="1">
      <alignment horizontal="center"/>
    </xf>
    <xf numFmtId="164" fontId="14" fillId="0" borderId="13" xfId="34" applyNumberFormat="1" applyBorder="1" applyAlignment="1">
      <alignment horizontal="center"/>
    </xf>
    <xf numFmtId="0" fontId="14" fillId="0" borderId="17" xfId="34" applyBorder="1" applyAlignment="1">
      <alignment horizontal="center"/>
    </xf>
    <xf numFmtId="164" fontId="14" fillId="0" borderId="17" xfId="34" applyNumberFormat="1" applyBorder="1" applyAlignment="1">
      <alignment horizontal="center"/>
    </xf>
    <xf numFmtId="164" fontId="14" fillId="0" borderId="18" xfId="34" applyNumberFormat="1" applyBorder="1" applyAlignment="1">
      <alignment horizontal="center"/>
    </xf>
    <xf numFmtId="0" fontId="14" fillId="0" borderId="10" xfId="34" applyBorder="1" applyAlignment="1">
      <alignment horizontal="center"/>
    </xf>
    <xf numFmtId="164" fontId="14" fillId="0" borderId="32" xfId="34" applyNumberFormat="1" applyBorder="1" applyAlignment="1">
      <alignment horizontal="center"/>
    </xf>
    <xf numFmtId="0" fontId="14" fillId="0" borderId="21" xfId="34" applyBorder="1" applyAlignment="1">
      <alignment horizontal="center"/>
    </xf>
    <xf numFmtId="0" fontId="14" fillId="0" borderId="16" xfId="34" applyBorder="1" applyAlignment="1">
      <alignment horizontal="center"/>
    </xf>
    <xf numFmtId="0" fontId="14" fillId="0" borderId="0" xfId="34" applyFont="1"/>
    <xf numFmtId="0" fontId="14" fillId="0" borderId="0" xfId="34" applyBorder="1" applyAlignment="1">
      <alignment horizontal="center"/>
    </xf>
    <xf numFmtId="0" fontId="31" fillId="0" borderId="0" xfId="0" applyFont="1" applyFill="1" applyBorder="1" applyAlignment="1">
      <alignment horizontal="center"/>
    </xf>
    <xf numFmtId="0" fontId="14" fillId="0" borderId="0" xfId="0" applyFont="1" applyBorder="1" applyAlignment="1">
      <alignment horizontal="center"/>
    </xf>
    <xf numFmtId="0" fontId="14" fillId="0" borderId="0" xfId="0" applyFont="1" applyFill="1" applyBorder="1" applyAlignment="1">
      <alignment horizontal="center"/>
    </xf>
    <xf numFmtId="49" fontId="14" fillId="0" borderId="0" xfId="0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horizontal="right"/>
    </xf>
    <xf numFmtId="0" fontId="5" fillId="25" borderId="0" xfId="0" applyFont="1" applyFill="1" applyBorder="1" applyAlignment="1">
      <alignment horizontal="center"/>
    </xf>
    <xf numFmtId="0" fontId="5" fillId="25" borderId="14" xfId="0" applyFont="1" applyFill="1" applyBorder="1" applyAlignment="1">
      <alignment horizontal="center"/>
    </xf>
    <xf numFmtId="0" fontId="0" fillId="25" borderId="0" xfId="0" applyFill="1" applyBorder="1" applyAlignment="1">
      <alignment horizontal="center"/>
    </xf>
    <xf numFmtId="49" fontId="0" fillId="25" borderId="0" xfId="0" applyNumberFormat="1" applyFill="1" applyBorder="1" applyAlignment="1">
      <alignment horizontal="center"/>
    </xf>
    <xf numFmtId="2" fontId="0" fillId="25" borderId="0" xfId="0" applyNumberFormat="1" applyFill="1" applyBorder="1" applyAlignment="1">
      <alignment horizontal="center"/>
    </xf>
    <xf numFmtId="2" fontId="5" fillId="25" borderId="10" xfId="0" applyNumberFormat="1" applyFont="1" applyFill="1" applyBorder="1" applyAlignment="1">
      <alignment horizontal="center"/>
    </xf>
    <xf numFmtId="164" fontId="5" fillId="25" borderId="0" xfId="0" applyNumberFormat="1" applyFont="1" applyFill="1" applyBorder="1" applyAlignment="1">
      <alignment horizontal="center"/>
    </xf>
    <xf numFmtId="164" fontId="0" fillId="25" borderId="0" xfId="0" applyNumberFormat="1" applyFill="1" applyBorder="1" applyAlignment="1">
      <alignment horizontal="center"/>
    </xf>
    <xf numFmtId="164" fontId="0" fillId="25" borderId="0" xfId="0" applyNumberFormat="1" applyFont="1" applyFill="1" applyBorder="1" applyAlignment="1">
      <alignment horizontal="center"/>
    </xf>
    <xf numFmtId="0" fontId="1" fillId="25" borderId="0" xfId="0" applyFont="1" applyFill="1" applyBorder="1" applyAlignment="1">
      <alignment horizontal="left"/>
    </xf>
    <xf numFmtId="0" fontId="1" fillId="25" borderId="0" xfId="0" applyFont="1" applyFill="1" applyBorder="1" applyAlignment="1">
      <alignment horizontal="center"/>
    </xf>
    <xf numFmtId="2" fontId="1" fillId="25" borderId="0" xfId="0" applyNumberFormat="1" applyFont="1" applyFill="1" applyBorder="1" applyAlignment="1">
      <alignment horizontal="center"/>
    </xf>
    <xf numFmtId="164" fontId="5" fillId="25" borderId="26" xfId="0" applyNumberFormat="1" applyFont="1" applyFill="1" applyBorder="1" applyAlignment="1">
      <alignment horizontal="center"/>
    </xf>
    <xf numFmtId="2" fontId="0" fillId="25" borderId="26" xfId="0" applyNumberFormat="1" applyFill="1" applyBorder="1" applyAlignment="1">
      <alignment horizontal="center"/>
    </xf>
    <xf numFmtId="164" fontId="0" fillId="25" borderId="26" xfId="0" applyNumberFormat="1" applyFill="1" applyBorder="1" applyAlignment="1">
      <alignment horizontal="center"/>
    </xf>
    <xf numFmtId="0" fontId="31" fillId="0" borderId="0" xfId="0" applyFont="1" applyFill="1" applyBorder="1" applyAlignment="1">
      <alignment horizontal="left"/>
    </xf>
    <xf numFmtId="0" fontId="14" fillId="0" borderId="0" xfId="0" applyFont="1"/>
    <xf numFmtId="166" fontId="14" fillId="0" borderId="0" xfId="34" applyNumberFormat="1"/>
    <xf numFmtId="0" fontId="26" fillId="0" borderId="24" xfId="0" applyFont="1" applyBorder="1" applyAlignment="1">
      <alignment horizontal="center"/>
    </xf>
    <xf numFmtId="0" fontId="3" fillId="0" borderId="12" xfId="0" applyFont="1" applyBorder="1" applyAlignment="1">
      <alignment horizontal="center"/>
    </xf>
    <xf numFmtId="0" fontId="26" fillId="0" borderId="12" xfId="0" applyFont="1" applyBorder="1" applyAlignment="1">
      <alignment horizontal="center"/>
    </xf>
    <xf numFmtId="0" fontId="26" fillId="0" borderId="13" xfId="0" applyFont="1" applyBorder="1" applyAlignment="1">
      <alignment horizontal="center"/>
    </xf>
    <xf numFmtId="0" fontId="3" fillId="0" borderId="15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3" fillId="0" borderId="16" xfId="0" applyFont="1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2" fontId="0" fillId="0" borderId="11" xfId="0" applyNumberFormat="1" applyBorder="1" applyAlignment="1">
      <alignment horizontal="center"/>
    </xf>
    <xf numFmtId="164" fontId="0" fillId="0" borderId="11" xfId="0" applyNumberFormat="1" applyBorder="1" applyAlignment="1">
      <alignment horizontal="center"/>
    </xf>
    <xf numFmtId="164" fontId="0" fillId="0" borderId="16" xfId="0" applyNumberFormat="1" applyBorder="1" applyAlignment="1">
      <alignment horizontal="center"/>
    </xf>
    <xf numFmtId="0" fontId="0" fillId="0" borderId="0" xfId="0" applyFill="1" applyBorder="1"/>
    <xf numFmtId="164" fontId="0" fillId="0" borderId="24" xfId="0" applyNumberFormat="1" applyBorder="1" applyAlignment="1">
      <alignment horizontal="center"/>
    </xf>
    <xf numFmtId="164" fontId="0" fillId="0" borderId="14" xfId="0" applyNumberFormat="1" applyBorder="1" applyAlignment="1">
      <alignment horizontal="center"/>
    </xf>
    <xf numFmtId="164" fontId="0" fillId="0" borderId="15" xfId="0" applyNumberFormat="1" applyBorder="1" applyAlignment="1">
      <alignment horizontal="center"/>
    </xf>
    <xf numFmtId="164" fontId="0" fillId="0" borderId="14" xfId="0" applyNumberFormat="1" applyFill="1" applyBorder="1" applyAlignment="1">
      <alignment horizontal="center"/>
    </xf>
    <xf numFmtId="164" fontId="0" fillId="0" borderId="28" xfId="0" applyNumberFormat="1" applyBorder="1" applyAlignment="1">
      <alignment horizontal="center"/>
    </xf>
    <xf numFmtId="164" fontId="0" fillId="0" borderId="14" xfId="0" applyNumberFormat="1" applyFont="1" applyBorder="1" applyAlignment="1">
      <alignment horizontal="center"/>
    </xf>
    <xf numFmtId="164" fontId="0" fillId="0" borderId="24" xfId="0" applyNumberFormat="1" applyFill="1" applyBorder="1" applyAlignment="1">
      <alignment horizontal="center"/>
    </xf>
    <xf numFmtId="164" fontId="0" fillId="0" borderId="15" xfId="0" applyNumberFormat="1" applyFill="1" applyBorder="1" applyAlignment="1">
      <alignment horizontal="center"/>
    </xf>
    <xf numFmtId="0" fontId="1" fillId="25" borderId="18" xfId="0" applyNumberFormat="1" applyFont="1" applyFill="1" applyBorder="1" applyAlignment="1">
      <alignment horizontal="center"/>
    </xf>
    <xf numFmtId="164" fontId="0" fillId="0" borderId="29" xfId="0" applyNumberFormat="1" applyBorder="1" applyAlignment="1">
      <alignment horizontal="center"/>
    </xf>
    <xf numFmtId="164" fontId="0" fillId="0" borderId="29" xfId="0" applyNumberFormat="1" applyFont="1" applyBorder="1" applyAlignment="1">
      <alignment horizontal="center"/>
    </xf>
    <xf numFmtId="164" fontId="0" fillId="26" borderId="0" xfId="0" applyNumberFormat="1" applyFill="1" applyBorder="1" applyAlignment="1">
      <alignment horizontal="center"/>
    </xf>
    <xf numFmtId="164" fontId="0" fillId="26" borderId="0" xfId="0" applyNumberFormat="1" applyFont="1" applyFill="1" applyBorder="1" applyAlignment="1">
      <alignment horizontal="center"/>
    </xf>
    <xf numFmtId="164" fontId="0" fillId="0" borderId="12" xfId="0" applyNumberFormat="1" applyFont="1" applyBorder="1" applyAlignment="1">
      <alignment horizontal="center"/>
    </xf>
    <xf numFmtId="164" fontId="0" fillId="0" borderId="12" xfId="0" applyNumberFormat="1" applyFill="1" applyBorder="1" applyAlignment="1">
      <alignment horizontal="center"/>
    </xf>
    <xf numFmtId="164" fontId="31" fillId="0" borderId="0" xfId="0" applyNumberFormat="1" applyFont="1" applyFill="1" applyBorder="1" applyAlignment="1">
      <alignment horizontal="left"/>
    </xf>
    <xf numFmtId="164" fontId="0" fillId="0" borderId="0" xfId="0" applyNumberFormat="1" applyFill="1" applyBorder="1"/>
    <xf numFmtId="164" fontId="0" fillId="0" borderId="11" xfId="0" applyNumberFormat="1" applyFill="1" applyBorder="1"/>
    <xf numFmtId="164" fontId="0" fillId="0" borderId="0" xfId="0" applyNumberFormat="1" applyFill="1" applyBorder="1" applyAlignment="1"/>
    <xf numFmtId="164" fontId="0" fillId="0" borderId="11" xfId="0" applyNumberFormat="1" applyFill="1" applyBorder="1" applyAlignment="1"/>
    <xf numFmtId="0" fontId="0" fillId="25" borderId="0" xfId="0" applyFill="1"/>
    <xf numFmtId="0" fontId="0" fillId="27" borderId="0" xfId="0" applyFill="1"/>
    <xf numFmtId="2" fontId="0" fillId="27" borderId="0" xfId="0" applyNumberFormat="1" applyFill="1" applyBorder="1" applyAlignment="1">
      <alignment horizontal="center"/>
    </xf>
    <xf numFmtId="166" fontId="14" fillId="0" borderId="0" xfId="34" applyNumberFormat="1" applyFill="1" applyBorder="1" applyAlignment="1">
      <alignment horizontal="center"/>
    </xf>
    <xf numFmtId="0" fontId="14" fillId="0" borderId="0" xfId="34" applyFill="1"/>
    <xf numFmtId="0" fontId="26" fillId="0" borderId="0" xfId="34" applyFont="1" applyBorder="1" applyAlignment="1">
      <alignment horizontal="center"/>
    </xf>
    <xf numFmtId="0" fontId="3" fillId="0" borderId="0" xfId="34" applyFont="1" applyBorder="1" applyAlignment="1">
      <alignment horizontal="center"/>
    </xf>
    <xf numFmtId="0" fontId="14" fillId="0" borderId="0" xfId="34" applyBorder="1"/>
    <xf numFmtId="0" fontId="3" fillId="0" borderId="16" xfId="34" applyFont="1" applyBorder="1" applyAlignment="1">
      <alignment horizontal="center"/>
    </xf>
    <xf numFmtId="0" fontId="26" fillId="0" borderId="19" xfId="34" applyFont="1" applyBorder="1" applyAlignment="1">
      <alignment horizontal="center"/>
    </xf>
    <xf numFmtId="0" fontId="3" fillId="0" borderId="22" xfId="34" applyFont="1" applyBorder="1" applyAlignment="1">
      <alignment horizontal="center"/>
    </xf>
    <xf numFmtId="0" fontId="3" fillId="0" borderId="17" xfId="34" applyFont="1" applyBorder="1" applyAlignment="1">
      <alignment horizontal="center"/>
    </xf>
    <xf numFmtId="0" fontId="3" fillId="0" borderId="21" xfId="34" applyFont="1" applyBorder="1" applyAlignment="1">
      <alignment horizontal="center"/>
    </xf>
    <xf numFmtId="2" fontId="14" fillId="0" borderId="18" xfId="34" applyNumberFormat="1" applyBorder="1" applyAlignment="1">
      <alignment horizontal="center"/>
    </xf>
    <xf numFmtId="2" fontId="14" fillId="0" borderId="21" xfId="34" applyNumberFormat="1" applyBorder="1" applyAlignment="1">
      <alignment horizontal="center"/>
    </xf>
    <xf numFmtId="0" fontId="26" fillId="0" borderId="17" xfId="34" applyFont="1" applyBorder="1" applyAlignment="1">
      <alignment horizontal="center"/>
    </xf>
    <xf numFmtId="166" fontId="14" fillId="0" borderId="18" xfId="34" applyNumberFormat="1" applyFill="1" applyBorder="1" applyAlignment="1">
      <alignment horizontal="center"/>
    </xf>
    <xf numFmtId="0" fontId="14" fillId="0" borderId="18" xfId="34" applyFill="1" applyBorder="1" applyAlignment="1">
      <alignment horizontal="center"/>
    </xf>
    <xf numFmtId="0" fontId="14" fillId="0" borderId="21" xfId="34" applyFill="1" applyBorder="1" applyAlignment="1">
      <alignment horizontal="center"/>
    </xf>
    <xf numFmtId="2" fontId="5" fillId="0" borderId="18" xfId="34" applyNumberFormat="1" applyFont="1" applyBorder="1" applyAlignment="1">
      <alignment horizontal="center"/>
    </xf>
    <xf numFmtId="0" fontId="0" fillId="0" borderId="14" xfId="0" applyFill="1" applyBorder="1" applyAlignment="1">
      <alignment horizontal="center"/>
    </xf>
    <xf numFmtId="0" fontId="0" fillId="0" borderId="15" xfId="0" applyFill="1" applyBorder="1" applyAlignment="1">
      <alignment horizontal="center"/>
    </xf>
    <xf numFmtId="0" fontId="0" fillId="0" borderId="28" xfId="0" applyFill="1" applyBorder="1" applyAlignment="1">
      <alignment horizontal="center"/>
    </xf>
    <xf numFmtId="49" fontId="5" fillId="0" borderId="0" xfId="0" applyNumberFormat="1" applyFont="1" applyFill="1" applyBorder="1" applyAlignment="1">
      <alignment horizontal="center"/>
    </xf>
    <xf numFmtId="1" fontId="0" fillId="0" borderId="0" xfId="0" applyNumberFormat="1" applyBorder="1"/>
    <xf numFmtId="1" fontId="0" fillId="0" borderId="0" xfId="0" applyNumberFormat="1" applyFont="1" applyBorder="1" applyAlignment="1">
      <alignment horizontal="center"/>
    </xf>
    <xf numFmtId="1" fontId="0" fillId="0" borderId="0" xfId="0" applyNumberFormat="1" applyFont="1" applyBorder="1"/>
    <xf numFmtId="0" fontId="0" fillId="0" borderId="25" xfId="0" applyFill="1" applyBorder="1" applyAlignment="1">
      <alignment horizontal="center"/>
    </xf>
    <xf numFmtId="49" fontId="5" fillId="25" borderId="0" xfId="0" applyNumberFormat="1" applyFont="1" applyFill="1" applyBorder="1" applyAlignment="1">
      <alignment horizontal="center"/>
    </xf>
    <xf numFmtId="0" fontId="0" fillId="25" borderId="0" xfId="0" applyNumberFormat="1" applyFill="1" applyBorder="1" applyAlignment="1">
      <alignment horizontal="center"/>
    </xf>
    <xf numFmtId="2" fontId="5" fillId="25" borderId="14" xfId="0" applyNumberFormat="1" applyFont="1" applyFill="1" applyBorder="1" applyAlignment="1">
      <alignment horizontal="center"/>
    </xf>
    <xf numFmtId="1" fontId="5" fillId="25" borderId="10" xfId="0" applyNumberFormat="1" applyFont="1" applyFill="1" applyBorder="1" applyAlignment="1">
      <alignment horizontal="center"/>
    </xf>
    <xf numFmtId="1" fontId="5" fillId="25" borderId="0" xfId="0" applyNumberFormat="1" applyFont="1" applyFill="1" applyBorder="1" applyAlignment="1">
      <alignment horizontal="center"/>
    </xf>
    <xf numFmtId="0" fontId="0" fillId="25" borderId="14" xfId="0" applyFill="1" applyBorder="1" applyAlignment="1">
      <alignment horizontal="center"/>
    </xf>
    <xf numFmtId="2" fontId="0" fillId="25" borderId="10" xfId="0" applyNumberFormat="1" applyFill="1" applyBorder="1" applyAlignment="1">
      <alignment horizontal="center"/>
    </xf>
    <xf numFmtId="0" fontId="5" fillId="25" borderId="10" xfId="0" applyFont="1" applyFill="1" applyBorder="1" applyAlignment="1">
      <alignment horizontal="center"/>
    </xf>
    <xf numFmtId="164" fontId="0" fillId="25" borderId="10" xfId="0" applyNumberFormat="1" applyFont="1" applyFill="1" applyBorder="1" applyAlignment="1">
      <alignment horizontal="center"/>
    </xf>
    <xf numFmtId="164" fontId="0" fillId="25" borderId="10" xfId="0" applyNumberFormat="1" applyFill="1" applyBorder="1" applyAlignment="1">
      <alignment horizontal="center"/>
    </xf>
    <xf numFmtId="0" fontId="5" fillId="25" borderId="25" xfId="0" applyFont="1" applyFill="1" applyBorder="1" applyAlignment="1">
      <alignment horizontal="center"/>
    </xf>
    <xf numFmtId="0" fontId="0" fillId="25" borderId="26" xfId="0" applyFill="1" applyBorder="1" applyAlignment="1">
      <alignment horizontal="center"/>
    </xf>
    <xf numFmtId="49" fontId="0" fillId="25" borderId="26" xfId="0" applyNumberFormat="1" applyFill="1" applyBorder="1" applyAlignment="1">
      <alignment horizontal="center"/>
    </xf>
    <xf numFmtId="0" fontId="0" fillId="25" borderId="26" xfId="0" applyNumberFormat="1" applyFill="1" applyBorder="1" applyAlignment="1">
      <alignment horizontal="center"/>
    </xf>
    <xf numFmtId="2" fontId="5" fillId="25" borderId="27" xfId="0" applyNumberFormat="1" applyFont="1" applyFill="1" applyBorder="1" applyAlignment="1">
      <alignment horizontal="center"/>
    </xf>
    <xf numFmtId="2" fontId="5" fillId="25" borderId="25" xfId="0" applyNumberFormat="1" applyFont="1" applyFill="1" applyBorder="1" applyAlignment="1">
      <alignment horizontal="center"/>
    </xf>
    <xf numFmtId="1" fontId="5" fillId="25" borderId="27" xfId="0" applyNumberFormat="1" applyFont="1" applyFill="1" applyBorder="1" applyAlignment="1">
      <alignment horizontal="center"/>
    </xf>
    <xf numFmtId="0" fontId="0" fillId="25" borderId="25" xfId="0" applyFill="1" applyBorder="1" applyAlignment="1">
      <alignment horizontal="center"/>
    </xf>
    <xf numFmtId="2" fontId="0" fillId="25" borderId="27" xfId="0" applyNumberFormat="1" applyFill="1" applyBorder="1" applyAlignment="1">
      <alignment horizontal="center"/>
    </xf>
    <xf numFmtId="0" fontId="5" fillId="25" borderId="27" xfId="0" applyFont="1" applyFill="1" applyBorder="1" applyAlignment="1">
      <alignment horizontal="center"/>
    </xf>
    <xf numFmtId="164" fontId="0" fillId="25" borderId="27" xfId="0" applyNumberFormat="1" applyFill="1" applyBorder="1" applyAlignment="1">
      <alignment horizontal="center"/>
    </xf>
  </cellXfs>
  <cellStyles count="43">
    <cellStyle name="20% - Akzent1" xfId="1"/>
    <cellStyle name="20% - Akzent2" xfId="2"/>
    <cellStyle name="20% - Akzent3" xfId="3"/>
    <cellStyle name="20% - Akzent4" xfId="4"/>
    <cellStyle name="20% - Akzent5" xfId="5"/>
    <cellStyle name="20% - Akzent6" xfId="6"/>
    <cellStyle name="40% - Akzent1" xfId="7"/>
    <cellStyle name="40% - Akzent2" xfId="8"/>
    <cellStyle name="40% - Akzent3" xfId="9"/>
    <cellStyle name="40% - Akzent4" xfId="10"/>
    <cellStyle name="40% - Akzent5" xfId="11"/>
    <cellStyle name="40% - Akzent6" xfId="12"/>
    <cellStyle name="60% - Akzent1" xfId="13"/>
    <cellStyle name="60% - Akzent2" xfId="14"/>
    <cellStyle name="60% - Akzent3" xfId="15"/>
    <cellStyle name="60% - Akzent4" xfId="16"/>
    <cellStyle name="60% - Akzent5" xfId="17"/>
    <cellStyle name="60% - Akzent6" xfId="18"/>
    <cellStyle name="Akzent1" xfId="19"/>
    <cellStyle name="Akzent2" xfId="20"/>
    <cellStyle name="Akzent3" xfId="21"/>
    <cellStyle name="Akzent4" xfId="22"/>
    <cellStyle name="Akzent5" xfId="23"/>
    <cellStyle name="Akzent6" xfId="24"/>
    <cellStyle name="Ausgabe" xfId="25"/>
    <cellStyle name="Berechnung" xfId="26"/>
    <cellStyle name="Eingabe" xfId="27"/>
    <cellStyle name="Ergebnis" xfId="28"/>
    <cellStyle name="Erklärender Text" xfId="29"/>
    <cellStyle name="Gut" xfId="30"/>
    <cellStyle name="Neutral" xfId="31"/>
    <cellStyle name="Normal" xfId="0" builtinId="0"/>
    <cellStyle name="Notiz" xfId="32"/>
    <cellStyle name="Schlecht" xfId="33"/>
    <cellStyle name="Standaard_Test_results_29_04_09 overtopping" xfId="34"/>
    <cellStyle name="Überschrift" xfId="35"/>
    <cellStyle name="Überschrift 1" xfId="36"/>
    <cellStyle name="Überschrift 2" xfId="37"/>
    <cellStyle name="Überschrift 3" xfId="38"/>
    <cellStyle name="Überschrift 4" xfId="39"/>
    <cellStyle name="Verknüpfte Zelle" xfId="40"/>
    <cellStyle name="Warnender Text" xfId="41"/>
    <cellStyle name="Zelle überprüfen" xfId="4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1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3.xml"/></Relationships>
</file>

<file path=xl/charts/_rels/chart1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4.xml"/></Relationships>
</file>

<file path=xl/charts/_rels/chart1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5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6746987951807241"/>
          <c:y val="3.4545454545454546E-2"/>
          <c:w val="0.80883534136546187"/>
          <c:h val="0.8181818181818189"/>
        </c:manualLayout>
      </c:layout>
      <c:scatterChart>
        <c:scatterStyle val="lineMarker"/>
        <c:varyColors val="0"/>
        <c:ser>
          <c:idx val="7"/>
          <c:order val="0"/>
          <c:tx>
            <c:v>EurOtop</c:v>
          </c:tx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Figures!$O$2:$O$3</c:f>
              <c:numCache>
                <c:formatCode>General</c:formatCode>
                <c:ptCount val="2"/>
                <c:pt idx="0">
                  <c:v>0.2</c:v>
                </c:pt>
                <c:pt idx="1">
                  <c:v>1.8</c:v>
                </c:pt>
              </c:numCache>
            </c:numRef>
          </c:xVal>
          <c:yVal>
            <c:numRef>
              <c:f>Figures!$P$2:$P$3</c:f>
              <c:numCache>
                <c:formatCode>General</c:formatCode>
                <c:ptCount val="2"/>
                <c:pt idx="0">
                  <c:v>2.5911648571451579E-2</c:v>
                </c:pt>
                <c:pt idx="1">
                  <c:v>1.2967521670392288E-5</c:v>
                </c:pt>
              </c:numCache>
            </c:numRef>
          </c:yVal>
          <c:smooth val="0"/>
        </c:ser>
        <c:ser>
          <c:idx val="8"/>
          <c:order val="1"/>
          <c:spPr>
            <a:ln w="12700">
              <a:solidFill>
                <a:srgbClr val="000000"/>
              </a:solidFill>
              <a:prstDash val="lgDash"/>
            </a:ln>
          </c:spPr>
          <c:marker>
            <c:symbol val="none"/>
          </c:marker>
          <c:xVal>
            <c:numRef>
              <c:f>Figures!$O$5:$O$6</c:f>
              <c:numCache>
                <c:formatCode>General</c:formatCode>
                <c:ptCount val="2"/>
                <c:pt idx="0">
                  <c:v>0.2</c:v>
                </c:pt>
                <c:pt idx="1">
                  <c:v>1.8</c:v>
                </c:pt>
              </c:numCache>
            </c:numRef>
          </c:xVal>
          <c:yVal>
            <c:numRef>
              <c:f>Figures!$P$5:$P$6</c:f>
              <c:numCache>
                <c:formatCode>General</c:formatCode>
                <c:ptCount val="2"/>
                <c:pt idx="0">
                  <c:v>2.1992304998783182E-2</c:v>
                </c:pt>
                <c:pt idx="1">
                  <c:v>2.9637278904352227E-6</c:v>
                </c:pt>
              </c:numCache>
            </c:numRef>
          </c:yVal>
          <c:smooth val="0"/>
        </c:ser>
        <c:ser>
          <c:idx val="9"/>
          <c:order val="2"/>
          <c:spPr>
            <a:ln w="12700">
              <a:solidFill>
                <a:srgbClr val="000000"/>
              </a:solidFill>
              <a:prstDash val="lgDash"/>
            </a:ln>
          </c:spPr>
          <c:marker>
            <c:symbol val="none"/>
          </c:marker>
          <c:xVal>
            <c:numRef>
              <c:f>Figures!$O$8:$O$9</c:f>
              <c:numCache>
                <c:formatCode>General</c:formatCode>
                <c:ptCount val="2"/>
                <c:pt idx="0">
                  <c:v>0.2</c:v>
                </c:pt>
                <c:pt idx="1">
                  <c:v>1.8</c:v>
                </c:pt>
              </c:numCache>
            </c:numRef>
          </c:xVal>
          <c:yVal>
            <c:numRef>
              <c:f>Figures!$P$8:$P$9</c:f>
              <c:numCache>
                <c:formatCode>General</c:formatCode>
                <c:ptCount val="2"/>
                <c:pt idx="0">
                  <c:v>3.0529475274536137E-2</c:v>
                </c:pt>
                <c:pt idx="1">
                  <c:v>5.6738210958833902E-5</c:v>
                </c:pt>
              </c:numCache>
            </c:numRef>
          </c:yVal>
          <c:smooth val="0"/>
        </c:ser>
        <c:ser>
          <c:idx val="0"/>
          <c:order val="3"/>
          <c:tx>
            <c:v>Flowdike 2; 1:6 br</c:v>
          </c:tx>
          <c:spPr>
            <a:ln w="28575">
              <a:noFill/>
            </a:ln>
          </c:spPr>
          <c:marker>
            <c:symbol val="diamond"/>
            <c:size val="7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'First analysis'!$U$7:$U$32</c:f>
              <c:numCache>
                <c:formatCode>General</c:formatCode>
                <c:ptCount val="26"/>
                <c:pt idx="0">
                  <c:v>0.51693551020304518</c:v>
                </c:pt>
                <c:pt idx="1">
                  <c:v>0.76483455064886774</c:v>
                </c:pt>
                <c:pt idx="2">
                  <c:v>0.41312313403430817</c:v>
                </c:pt>
                <c:pt idx="3">
                  <c:v>0.5916577571828775</c:v>
                </c:pt>
                <c:pt idx="4">
                  <c:v>0.31285946091724209</c:v>
                </c:pt>
                <c:pt idx="5">
                  <c:v>0.46759783678185662</c:v>
                </c:pt>
                <c:pt idx="6">
                  <c:v>0.51693551020304518</c:v>
                </c:pt>
                <c:pt idx="7">
                  <c:v>0.76483455064886774</c:v>
                </c:pt>
                <c:pt idx="8">
                  <c:v>0.41312313403430817</c:v>
                </c:pt>
                <c:pt idx="9">
                  <c:v>0.5916577571828775</c:v>
                </c:pt>
                <c:pt idx="10">
                  <c:v>0.31285946091724209</c:v>
                </c:pt>
                <c:pt idx="11">
                  <c:v>0.46759783678185662</c:v>
                </c:pt>
                <c:pt idx="12">
                  <c:v>1.2726572524293509</c:v>
                </c:pt>
                <c:pt idx="13">
                  <c:v>0.97926189262544694</c:v>
                </c:pt>
                <c:pt idx="14">
                  <c:v>1.4122624236685368</c:v>
                </c:pt>
                <c:pt idx="15">
                  <c:v>1.2726572524293509</c:v>
                </c:pt>
                <c:pt idx="16">
                  <c:v>0.97926189262544694</c:v>
                </c:pt>
                <c:pt idx="17">
                  <c:v>1.4122624236685368</c:v>
                </c:pt>
                <c:pt idx="18">
                  <c:v>0.97634288188627805</c:v>
                </c:pt>
                <c:pt idx="19">
                  <c:v>0.63126657881365655</c:v>
                </c:pt>
                <c:pt idx="20">
                  <c:v>0.94594890051343827</c:v>
                </c:pt>
                <c:pt idx="21">
                  <c:v>0.97634288188627805</c:v>
                </c:pt>
                <c:pt idx="22">
                  <c:v>0.63126657881365655</c:v>
                </c:pt>
                <c:pt idx="23">
                  <c:v>0.94594890051343827</c:v>
                </c:pt>
                <c:pt idx="24">
                  <c:v>1.302201721894944</c:v>
                </c:pt>
                <c:pt idx="25">
                  <c:v>1.302201721894944</c:v>
                </c:pt>
              </c:numCache>
            </c:numRef>
          </c:xVal>
          <c:yVal>
            <c:numRef>
              <c:f>'First analysis'!$Y$7:$Y$32</c:f>
              <c:numCache>
                <c:formatCode>General</c:formatCode>
                <c:ptCount val="26"/>
                <c:pt idx="0">
                  <c:v>6.0067458474327177E-3</c:v>
                </c:pt>
                <c:pt idx="1">
                  <c:v>1.6793300306038484E-3</c:v>
                </c:pt>
                <c:pt idx="2">
                  <c:v>1.0957872942195161E-2</c:v>
                </c:pt>
                <c:pt idx="3">
                  <c:v>4.7331660419306764E-3</c:v>
                </c:pt>
                <c:pt idx="4">
                  <c:v>1.4916058444068745E-2</c:v>
                </c:pt>
                <c:pt idx="5">
                  <c:v>9.4014335105898576E-3</c:v>
                </c:pt>
                <c:pt idx="6">
                  <c:v>7.4664419712701068E-3</c:v>
                </c:pt>
                <c:pt idx="7">
                  <c:v>1.4419268277787005E-3</c:v>
                </c:pt>
                <c:pt idx="8">
                  <c:v>7.9005675439406085E-3</c:v>
                </c:pt>
                <c:pt idx="9">
                  <c:v>4.0429705631210558E-3</c:v>
                </c:pt>
                <c:pt idx="10">
                  <c:v>1.1360377877621022E-2</c:v>
                </c:pt>
                <c:pt idx="11">
                  <c:v>8.2056399795256314E-3</c:v>
                </c:pt>
                <c:pt idx="12">
                  <c:v>1.030950884087279E-4</c:v>
                </c:pt>
                <c:pt idx="13">
                  <c:v>5.3240691706786297E-4</c:v>
                </c:pt>
                <c:pt idx="14">
                  <c:v>7.9313656214570236E-5</c:v>
                </c:pt>
                <c:pt idx="15">
                  <c:v>2.759975094076917E-4</c:v>
                </c:pt>
                <c:pt idx="16">
                  <c:v>1.9175578270913805E-3</c:v>
                </c:pt>
                <c:pt idx="17">
                  <c:v>8.3574307168245493E-5</c:v>
                </c:pt>
                <c:pt idx="18">
                  <c:v>6.6706256618973784E-4</c:v>
                </c:pt>
                <c:pt idx="20">
                  <c:v>1.040164926671978E-3</c:v>
                </c:pt>
                <c:pt idx="21">
                  <c:v>3.6348918277404871E-4</c:v>
                </c:pt>
                <c:pt idx="23">
                  <c:v>7.8905640906891449E-4</c:v>
                </c:pt>
                <c:pt idx="24">
                  <c:v>1.3389179572695264E-4</c:v>
                </c:pt>
                <c:pt idx="25">
                  <c:v>2.7955185874002224E-4</c:v>
                </c:pt>
              </c:numCache>
            </c:numRef>
          </c:yVal>
          <c:smooth val="0"/>
        </c:ser>
        <c:ser>
          <c:idx val="1"/>
          <c:order val="4"/>
          <c:tx>
            <c:v>LWI 958; 1:6 br</c:v>
          </c:tx>
          <c:spPr>
            <a:ln w="28575">
              <a:noFill/>
            </a:ln>
          </c:spPr>
          <c:marker>
            <c:symbol val="square"/>
            <c:size val="7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xVal>
            <c:numRef>
              <c:f>Figures!$O$13:$O$17</c:f>
              <c:numCache>
                <c:formatCode>General</c:formatCode>
                <c:ptCount val="5"/>
                <c:pt idx="0">
                  <c:v>0.63436611765314621</c:v>
                </c:pt>
                <c:pt idx="1">
                  <c:v>0.92389352161920812</c:v>
                </c:pt>
                <c:pt idx="2">
                  <c:v>1.1143948379913382</c:v>
                </c:pt>
                <c:pt idx="3">
                  <c:v>1.3208780138258334</c:v>
                </c:pt>
                <c:pt idx="4">
                  <c:v>1.3187612221370097</c:v>
                </c:pt>
              </c:numCache>
            </c:numRef>
          </c:xVal>
          <c:yVal>
            <c:numRef>
              <c:f>Figures!$P$13:$P$17</c:f>
              <c:numCache>
                <c:formatCode>General</c:formatCode>
                <c:ptCount val="5"/>
                <c:pt idx="0">
                  <c:v>8.070048947136087E-4</c:v>
                </c:pt>
                <c:pt idx="1">
                  <c:v>1.264730988131774E-3</c:v>
                </c:pt>
                <c:pt idx="2">
                  <c:v>7.8964557460166123E-4</c:v>
                </c:pt>
                <c:pt idx="3">
                  <c:v>3.5920858759522857E-4</c:v>
                </c:pt>
                <c:pt idx="4">
                  <c:v>3.6913080617488386E-4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8616576"/>
        <c:axId val="238903296"/>
      </c:scatterChart>
      <c:valAx>
        <c:axId val="238616576"/>
        <c:scaling>
          <c:orientation val="minMax"/>
          <c:max val="2"/>
        </c:scaling>
        <c:delete val="0"/>
        <c:axPos val="b"/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nl-NL" sz="1675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R</a:t>
                </a:r>
                <a:r>
                  <a:rPr lang="nl-NL" sz="1675" b="1" i="0" u="none" strike="noStrike" baseline="-25000">
                    <a:solidFill>
                      <a:srgbClr val="000000"/>
                    </a:solidFill>
                    <a:latin typeface="Arial"/>
                    <a:cs typeface="Arial"/>
                  </a:rPr>
                  <a:t>c</a:t>
                </a:r>
                <a:r>
                  <a:rPr lang="nl-NL" sz="1675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/(H</a:t>
                </a:r>
                <a:r>
                  <a:rPr lang="nl-NL" sz="1675" b="1" i="0" u="none" strike="noStrike" baseline="-25000">
                    <a:solidFill>
                      <a:srgbClr val="000000"/>
                    </a:solidFill>
                    <a:latin typeface="Arial"/>
                    <a:cs typeface="Arial"/>
                  </a:rPr>
                  <a:t>m0</a:t>
                </a:r>
                <a:r>
                  <a:rPr lang="nl-NL" sz="1675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nl-NL" sz="1675" b="1" i="0" u="none" strike="noStrike" baseline="0">
                    <a:solidFill>
                      <a:srgbClr val="000000"/>
                    </a:solidFill>
                    <a:latin typeface="Symbol"/>
                  </a:rPr>
                  <a:t>x</a:t>
                </a:r>
                <a:r>
                  <a:rPr lang="nl-NL" sz="1675" b="1" i="0" u="none" strike="noStrike" baseline="-25000">
                    <a:solidFill>
                      <a:srgbClr val="000000"/>
                    </a:solidFill>
                    <a:latin typeface="Arial"/>
                    <a:cs typeface="Arial"/>
                  </a:rPr>
                  <a:t>m-1,0</a:t>
                </a:r>
                <a:r>
                  <a:rPr lang="nl-NL" sz="1675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in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nl-NL"/>
          </a:p>
        </c:txPr>
        <c:crossAx val="238903296"/>
        <c:crossesAt val="1.0000000000000023E-6"/>
        <c:crossBetween val="midCat"/>
      </c:valAx>
      <c:valAx>
        <c:axId val="238903296"/>
        <c:scaling>
          <c:logBase val="10"/>
          <c:orientation val="minMax"/>
          <c:max val="0.1"/>
          <c:min val="1.0000000000000023E-6"/>
        </c:scaling>
        <c:delete val="0"/>
        <c:axPos val="l"/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nl-NL" sz="1675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q/(gH</a:t>
                </a:r>
                <a:r>
                  <a:rPr lang="nl-NL" sz="1675" b="1" i="0" u="none" strike="noStrike" baseline="-25000">
                    <a:solidFill>
                      <a:srgbClr val="000000"/>
                    </a:solidFill>
                    <a:latin typeface="Arial"/>
                    <a:cs typeface="Arial"/>
                  </a:rPr>
                  <a:t>m0</a:t>
                </a:r>
                <a:r>
                  <a:rPr lang="nl-NL" sz="1675" b="1" i="0" u="none" strike="noStrike" baseline="30000">
                    <a:solidFill>
                      <a:srgbClr val="000000"/>
                    </a:solidFill>
                    <a:latin typeface="Arial"/>
                    <a:cs typeface="Arial"/>
                  </a:rPr>
                  <a:t>3</a:t>
                </a:r>
                <a:r>
                  <a:rPr lang="nl-NL" sz="1675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)</a:t>
                </a:r>
                <a:r>
                  <a:rPr lang="nl-NL" sz="1675" b="1" i="0" u="none" strike="noStrike" baseline="30000">
                    <a:solidFill>
                      <a:srgbClr val="000000"/>
                    </a:solidFill>
                    <a:latin typeface="Arial"/>
                    <a:cs typeface="Arial"/>
                  </a:rPr>
                  <a:t>0.5</a:t>
                </a:r>
                <a:r>
                  <a:rPr lang="nl-NL" sz="1675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(s</a:t>
                </a:r>
                <a:r>
                  <a:rPr lang="nl-NL" sz="1675" b="1" i="0" u="none" strike="noStrike" baseline="-25000">
                    <a:solidFill>
                      <a:srgbClr val="000000"/>
                    </a:solidFill>
                    <a:latin typeface="Arial"/>
                    <a:cs typeface="Arial"/>
                  </a:rPr>
                  <a:t>m-1,0</a:t>
                </a:r>
                <a:r>
                  <a:rPr lang="nl-NL" sz="1675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/tan</a:t>
                </a:r>
                <a:r>
                  <a:rPr lang="nl-NL" sz="1675" b="1" i="0" u="none" strike="noStrike" baseline="0">
                    <a:solidFill>
                      <a:srgbClr val="000000"/>
                    </a:solidFill>
                    <a:latin typeface="Symbol"/>
                  </a:rPr>
                  <a:t>a</a:t>
                </a:r>
                <a:r>
                  <a:rPr lang="nl-NL" sz="1675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)</a:t>
                </a:r>
                <a:r>
                  <a:rPr lang="nl-NL" sz="1675" b="1" i="0" u="none" strike="noStrike" baseline="30000">
                    <a:solidFill>
                      <a:srgbClr val="000000"/>
                    </a:solidFill>
                    <a:latin typeface="Arial"/>
                    <a:cs typeface="Arial"/>
                  </a:rPr>
                  <a:t>0.5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0.E+00" sourceLinked="0"/>
        <c:majorTickMark val="in"/>
        <c:minorTickMark val="in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nl-NL"/>
          </a:p>
        </c:txPr>
        <c:crossAx val="238616576"/>
        <c:crosses val="autoZero"/>
        <c:crossBetween val="midCat"/>
      </c:valAx>
      <c:spPr>
        <a:noFill/>
        <a:ln w="3175">
          <a:solidFill>
            <a:srgbClr val="000000"/>
          </a:solidFill>
          <a:prstDash val="solid"/>
        </a:ln>
      </c:spPr>
    </c:plotArea>
    <c:legend>
      <c:legendPos val="r"/>
      <c:legendEntry>
        <c:idx val="0"/>
        <c:delete val="1"/>
      </c:legendEntry>
      <c:legendEntry>
        <c:idx val="1"/>
        <c:delete val="1"/>
      </c:legendEntry>
      <c:legendEntry>
        <c:idx val="2"/>
        <c:delete val="1"/>
      </c:legendEntry>
      <c:layout>
        <c:manualLayout>
          <c:xMode val="edge"/>
          <c:yMode val="edge"/>
          <c:x val="0.22507630522088357"/>
          <c:y val="0.56934554998806952"/>
          <c:w val="0.17251405622489971"/>
          <c:h val="0.11343011214507281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6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nl-NL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nl-NL"/>
    </a:p>
  </c:txPr>
  <c:printSettings>
    <c:headerFooter alignWithMargins="0"/>
    <c:pageMargins b="1" l="0.75000000000000056" r="0.75000000000000056" t="1" header="0.5" footer="0.5"/>
    <c:pageSetup/>
  </c:printSettings>
  <c:userShapes r:id="rId1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541679285281669"/>
          <c:y val="6.2801932367149774E-2"/>
          <c:w val="0.8485581903065551"/>
          <c:h val="0.79831070029289819"/>
        </c:manualLayout>
      </c:layout>
      <c:scatterChart>
        <c:scatterStyle val="lineMarker"/>
        <c:varyColors val="0"/>
        <c:ser>
          <c:idx val="7"/>
          <c:order val="0"/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Figures!$O$2:$O$3</c:f>
              <c:numCache>
                <c:formatCode>General</c:formatCode>
                <c:ptCount val="2"/>
                <c:pt idx="0">
                  <c:v>0.2</c:v>
                </c:pt>
                <c:pt idx="1">
                  <c:v>1.8</c:v>
                </c:pt>
              </c:numCache>
            </c:numRef>
          </c:xVal>
          <c:yVal>
            <c:numRef>
              <c:f>Figures!$P$2:$P$3</c:f>
              <c:numCache>
                <c:formatCode>General</c:formatCode>
                <c:ptCount val="2"/>
                <c:pt idx="0">
                  <c:v>2.5911648571451579E-2</c:v>
                </c:pt>
                <c:pt idx="1">
                  <c:v>1.2967521670392288E-5</c:v>
                </c:pt>
              </c:numCache>
            </c:numRef>
          </c:yVal>
          <c:smooth val="0"/>
        </c:ser>
        <c:ser>
          <c:idx val="0"/>
          <c:order val="1"/>
          <c:tx>
            <c:v>|B|=45; u=0 m/s</c:v>
          </c:tx>
          <c:spPr>
            <a:ln w="28575">
              <a:noFill/>
            </a:ln>
          </c:spPr>
          <c:marker>
            <c:symbol val="diamond"/>
            <c:size val="7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trendline>
            <c:trendlineType val="exp"/>
            <c:intercept val="6.7000000000000004E-2"/>
            <c:dispRSqr val="1"/>
            <c:dispEq val="1"/>
            <c:trendlineLbl>
              <c:layout>
                <c:manualLayout>
                  <c:x val="-0.1136084191399151"/>
                  <c:y val="-0.46967933356156566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sz="1025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nl-NL"/>
                </a:p>
              </c:txPr>
            </c:trendlineLbl>
          </c:trendline>
          <c:xVal>
            <c:numRef>
              <c:f>'First analysis'!$U$64:$U$78</c:f>
              <c:numCache>
                <c:formatCode>General</c:formatCode>
                <c:ptCount val="15"/>
                <c:pt idx="0">
                  <c:v>0.5251819539045891</c:v>
                </c:pt>
                <c:pt idx="1">
                  <c:v>0.81832391365485779</c:v>
                </c:pt>
                <c:pt idx="2">
                  <c:v>0.38953553491715598</c:v>
                </c:pt>
                <c:pt idx="3">
                  <c:v>0.60183375582957954</c:v>
                </c:pt>
                <c:pt idx="4">
                  <c:v>0.32278333219805894</c:v>
                </c:pt>
                <c:pt idx="5">
                  <c:v>0.44439871538459835</c:v>
                </c:pt>
                <c:pt idx="6">
                  <c:v>0.5251819539045891</c:v>
                </c:pt>
                <c:pt idx="7">
                  <c:v>0.81832391365485779</c:v>
                </c:pt>
                <c:pt idx="8">
                  <c:v>0.38953553491715598</c:v>
                </c:pt>
                <c:pt idx="9">
                  <c:v>0.60183375582957954</c:v>
                </c:pt>
                <c:pt idx="10">
                  <c:v>0.32278333219805894</c:v>
                </c:pt>
                <c:pt idx="11">
                  <c:v>0.44439871538459835</c:v>
                </c:pt>
                <c:pt idx="12">
                  <c:v>1.1026310362543119</c:v>
                </c:pt>
                <c:pt idx="13">
                  <c:v>0.92285784345085176</c:v>
                </c:pt>
                <c:pt idx="14">
                  <c:v>0.92285784345085176</c:v>
                </c:pt>
              </c:numCache>
            </c:numRef>
          </c:xVal>
          <c:yVal>
            <c:numRef>
              <c:f>'First analysis'!$Y$64:$Y$78</c:f>
              <c:numCache>
                <c:formatCode>General</c:formatCode>
                <c:ptCount val="15"/>
                <c:pt idx="0">
                  <c:v>1.9134643576969419E-3</c:v>
                </c:pt>
                <c:pt idx="1">
                  <c:v>3.0784605185429437E-4</c:v>
                </c:pt>
                <c:pt idx="2">
                  <c:v>4.4991551959031031E-3</c:v>
                </c:pt>
                <c:pt idx="3">
                  <c:v>1.4301994955672435E-3</c:v>
                </c:pt>
                <c:pt idx="4">
                  <c:v>6.4035853806998196E-3</c:v>
                </c:pt>
                <c:pt idx="5">
                  <c:v>2.7125319699003703E-3</c:v>
                </c:pt>
                <c:pt idx="6">
                  <c:v>1.7137502715589669E-3</c:v>
                </c:pt>
                <c:pt idx="7">
                  <c:v>4.1046140247239253E-4</c:v>
                </c:pt>
                <c:pt idx="8">
                  <c:v>3.9430699430830947E-3</c:v>
                </c:pt>
                <c:pt idx="9">
                  <c:v>1.5773413337506026E-3</c:v>
                </c:pt>
                <c:pt idx="10">
                  <c:v>5.4865734436831872E-3</c:v>
                </c:pt>
                <c:pt idx="11">
                  <c:v>2.6721900003217123E-3</c:v>
                </c:pt>
                <c:pt idx="12">
                  <c:v>8.6996173199117949E-5</c:v>
                </c:pt>
                <c:pt idx="13">
                  <c:v>1.3778819681898262E-4</c:v>
                </c:pt>
                <c:pt idx="14">
                  <c:v>2.6586183012123119E-4</c:v>
                </c:pt>
              </c:numCache>
            </c:numRef>
          </c:yVal>
          <c:smooth val="0"/>
        </c:ser>
        <c:ser>
          <c:idx val="1"/>
          <c:order val="2"/>
          <c:tx>
            <c:v>B=-45; u=0.15 m/s</c:v>
          </c:tx>
          <c:spPr>
            <a:ln>
              <a:noFill/>
            </a:ln>
          </c:spPr>
          <c:trendline>
            <c:trendlineType val="exp"/>
            <c:intercept val="6.7000000000000004E-2"/>
            <c:dispRSqr val="1"/>
            <c:dispEq val="1"/>
            <c:trendlineLbl>
              <c:layout>
                <c:manualLayout>
                  <c:x val="9.1723576620230202E-2"/>
                  <c:y val="-0.3696485221955953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sz="1025" b="0" i="0" u="none" strike="noStrike" baseline="0">
                      <a:solidFill>
                        <a:srgbClr val="C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nl-NL"/>
                </a:p>
              </c:txPr>
            </c:trendlineLbl>
          </c:trendline>
          <c:xVal>
            <c:numRef>
              <c:f>'First analysis'!$U$243:$U$256</c:f>
              <c:numCache>
                <c:formatCode>General</c:formatCode>
                <c:ptCount val="14"/>
                <c:pt idx="0">
                  <c:v>0.54021289883192203</c:v>
                </c:pt>
                <c:pt idx="1">
                  <c:v>0.87733403728159154</c:v>
                </c:pt>
                <c:pt idx="2">
                  <c:v>0.38565108817594113</c:v>
                </c:pt>
                <c:pt idx="3">
                  <c:v>0.64010681111585976</c:v>
                </c:pt>
                <c:pt idx="4">
                  <c:v>0.31483615695159195</c:v>
                </c:pt>
                <c:pt idx="5">
                  <c:v>0.48721540065535612</c:v>
                </c:pt>
                <c:pt idx="6">
                  <c:v>0.54021289883192203</c:v>
                </c:pt>
                <c:pt idx="7">
                  <c:v>0.87733403728159154</c:v>
                </c:pt>
                <c:pt idx="8">
                  <c:v>0.38565108817594113</c:v>
                </c:pt>
                <c:pt idx="9">
                  <c:v>0.64010681111585976</c:v>
                </c:pt>
                <c:pt idx="10">
                  <c:v>0.31483615695159195</c:v>
                </c:pt>
                <c:pt idx="11">
                  <c:v>0.48721540065535612</c:v>
                </c:pt>
                <c:pt idx="12">
                  <c:v>0.95431052903535674</c:v>
                </c:pt>
                <c:pt idx="13">
                  <c:v>0.95431052903535674</c:v>
                </c:pt>
              </c:numCache>
            </c:numRef>
          </c:xVal>
          <c:yVal>
            <c:numRef>
              <c:f>'First analysis'!$Y$243:$Y$256</c:f>
              <c:numCache>
                <c:formatCode>General</c:formatCode>
                <c:ptCount val="14"/>
                <c:pt idx="0">
                  <c:v>2.4212546054918575E-3</c:v>
                </c:pt>
                <c:pt idx="1">
                  <c:v>2.1813910334138353E-4</c:v>
                </c:pt>
                <c:pt idx="2">
                  <c:v>5.9118509276160896E-3</c:v>
                </c:pt>
                <c:pt idx="3">
                  <c:v>1.5609582143875013E-3</c:v>
                </c:pt>
                <c:pt idx="4">
                  <c:v>7.110755583037847E-3</c:v>
                </c:pt>
                <c:pt idx="5">
                  <c:v>4.6105237741328534E-3</c:v>
                </c:pt>
                <c:pt idx="6">
                  <c:v>3.0424653830624961E-3</c:v>
                </c:pt>
                <c:pt idx="7">
                  <c:v>4.6530478091770928E-4</c:v>
                </c:pt>
                <c:pt idx="8">
                  <c:v>5.0481120769966907E-3</c:v>
                </c:pt>
                <c:pt idx="9">
                  <c:v>2.1063989798177987E-3</c:v>
                </c:pt>
                <c:pt idx="10">
                  <c:v>6.7878320430821253E-3</c:v>
                </c:pt>
                <c:pt idx="11">
                  <c:v>5.5661200364635951E-3</c:v>
                </c:pt>
                <c:pt idx="12">
                  <c:v>1.6493644313423476E-4</c:v>
                </c:pt>
                <c:pt idx="13">
                  <c:v>2.1539257869457906E-4</c:v>
                </c:pt>
              </c:numCache>
            </c:numRef>
          </c:yVal>
          <c:smooth val="0"/>
        </c:ser>
        <c:ser>
          <c:idx val="2"/>
          <c:order val="3"/>
          <c:tx>
            <c:v>B=-45; u=0.30 m/s</c:v>
          </c:tx>
          <c:spPr>
            <a:ln>
              <a:noFill/>
            </a:ln>
          </c:spPr>
          <c:marker>
            <c:symbol val="triangle"/>
            <c:size val="7"/>
          </c:marker>
          <c:trendline>
            <c:trendlineType val="exp"/>
            <c:intercept val="6.7000000000000004E-2"/>
            <c:dispRSqr val="1"/>
            <c:dispEq val="1"/>
            <c:trendlineLbl>
              <c:layout>
                <c:manualLayout>
                  <c:x val="0.25190099434686092"/>
                  <c:y val="-0.3503250408916278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sz="1025" b="0" i="0" u="none" strike="noStrike" baseline="0">
                      <a:solidFill>
                        <a:srgbClr val="99CC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nl-NL"/>
                </a:p>
              </c:txPr>
            </c:trendlineLbl>
          </c:trendline>
          <c:xVal>
            <c:numRef>
              <c:f>'First analysis'!$U$257:$U$270</c:f>
              <c:numCache>
                <c:formatCode>General</c:formatCode>
                <c:ptCount val="14"/>
                <c:pt idx="0">
                  <c:v>0.56095181875846134</c:v>
                </c:pt>
                <c:pt idx="1">
                  <c:v>0.89854183325788339</c:v>
                </c:pt>
                <c:pt idx="2">
                  <c:v>0.3922584317450451</c:v>
                </c:pt>
                <c:pt idx="3">
                  <c:v>0.63145507850842741</c:v>
                </c:pt>
                <c:pt idx="4">
                  <c:v>0.31460225567700023</c:v>
                </c:pt>
                <c:pt idx="5">
                  <c:v>0.49713665588963629</c:v>
                </c:pt>
                <c:pt idx="6">
                  <c:v>0.56095181875846134</c:v>
                </c:pt>
                <c:pt idx="7">
                  <c:v>0.89854183325788339</c:v>
                </c:pt>
                <c:pt idx="8">
                  <c:v>0.3922584317450451</c:v>
                </c:pt>
                <c:pt idx="9">
                  <c:v>0.63145507850842741</c:v>
                </c:pt>
                <c:pt idx="10">
                  <c:v>0.31460225567700023</c:v>
                </c:pt>
                <c:pt idx="11">
                  <c:v>0.49713665588963629</c:v>
                </c:pt>
                <c:pt idx="12">
                  <c:v>0.97249074068761154</c:v>
                </c:pt>
                <c:pt idx="13">
                  <c:v>0.97249074068761154</c:v>
                </c:pt>
              </c:numCache>
            </c:numRef>
          </c:xVal>
          <c:yVal>
            <c:numRef>
              <c:f>'First analysis'!$Y$257:$Y$270</c:f>
              <c:numCache>
                <c:formatCode>General</c:formatCode>
                <c:ptCount val="14"/>
                <c:pt idx="0">
                  <c:v>3.3385677379705221E-3</c:v>
                </c:pt>
                <c:pt idx="1">
                  <c:v>3.4045118815154531E-4</c:v>
                </c:pt>
                <c:pt idx="2">
                  <c:v>6.7589027361405971E-3</c:v>
                </c:pt>
                <c:pt idx="3">
                  <c:v>1.5976642140482784E-3</c:v>
                </c:pt>
                <c:pt idx="4">
                  <c:v>8.319467311008983E-3</c:v>
                </c:pt>
                <c:pt idx="5">
                  <c:v>4.5088962270520942E-3</c:v>
                </c:pt>
                <c:pt idx="6">
                  <c:v>3.9851844910118901E-3</c:v>
                </c:pt>
                <c:pt idx="7">
                  <c:v>7.7039767508547518E-4</c:v>
                </c:pt>
                <c:pt idx="8">
                  <c:v>8.1327626433679093E-3</c:v>
                </c:pt>
                <c:pt idx="9">
                  <c:v>2.6819442536352043E-3</c:v>
                </c:pt>
                <c:pt idx="10">
                  <c:v>1.0351796991605156E-2</c:v>
                </c:pt>
                <c:pt idx="11">
                  <c:v>6.1390581249648971E-3</c:v>
                </c:pt>
                <c:pt idx="12">
                  <c:v>1.5851159762442186E-4</c:v>
                </c:pt>
                <c:pt idx="13">
                  <c:v>3.2671001510366953E-4</c:v>
                </c:pt>
              </c:numCache>
            </c:numRef>
          </c:yVal>
          <c:smooth val="0"/>
        </c:ser>
        <c:ser>
          <c:idx val="3"/>
          <c:order val="4"/>
          <c:tx>
            <c:v>B=-45; u=0.40 m/s</c:v>
          </c:tx>
          <c:spPr>
            <a:ln>
              <a:noFill/>
            </a:ln>
          </c:spPr>
          <c:marker>
            <c:symbol val="square"/>
            <c:size val="7"/>
          </c:marker>
          <c:trendline>
            <c:trendlineType val="exp"/>
            <c:intercept val="6.7000000000000004E-2"/>
            <c:dispRSqr val="1"/>
            <c:dispEq val="1"/>
            <c:trendlineLbl>
              <c:layout>
                <c:manualLayout>
                  <c:x val="0.42853371693922881"/>
                  <c:y val="-0.34761896610749793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sz="1025" b="0" i="0" u="none" strike="noStrike" baseline="0">
                      <a:solidFill>
                        <a:srgbClr val="666699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nl-NL"/>
                </a:p>
              </c:txPr>
            </c:trendlineLbl>
          </c:trendline>
          <c:xVal>
            <c:numRef>
              <c:f>'First analysis'!$U$271:$U$284</c:f>
              <c:numCache>
                <c:formatCode>General</c:formatCode>
                <c:ptCount val="14"/>
                <c:pt idx="0">
                  <c:v>0.58884216706080272</c:v>
                </c:pt>
                <c:pt idx="1">
                  <c:v>0.91461593382590456</c:v>
                </c:pt>
                <c:pt idx="2">
                  <c:v>0.40173484906069218</c:v>
                </c:pt>
                <c:pt idx="3">
                  <c:v>0.63633788184952589</c:v>
                </c:pt>
                <c:pt idx="4">
                  <c:v>0.31929683104355466</c:v>
                </c:pt>
                <c:pt idx="5">
                  <c:v>0.48988821018516854</c:v>
                </c:pt>
                <c:pt idx="6">
                  <c:v>0.58884216706080272</c:v>
                </c:pt>
                <c:pt idx="7">
                  <c:v>0.91461593382590456</c:v>
                </c:pt>
                <c:pt idx="8">
                  <c:v>0.40173484906069218</c:v>
                </c:pt>
                <c:pt idx="9">
                  <c:v>0.63633788184952589</c:v>
                </c:pt>
                <c:pt idx="10">
                  <c:v>0.31929683104355466</c:v>
                </c:pt>
                <c:pt idx="11">
                  <c:v>0.48988821018516854</c:v>
                </c:pt>
                <c:pt idx="12">
                  <c:v>0.95239458778466368</c:v>
                </c:pt>
                <c:pt idx="13">
                  <c:v>0.95239458778466368</c:v>
                </c:pt>
              </c:numCache>
            </c:numRef>
          </c:xVal>
          <c:yVal>
            <c:numRef>
              <c:f>'First analysis'!$Y$271:$Y$284</c:f>
              <c:numCache>
                <c:formatCode>General</c:formatCode>
                <c:ptCount val="14"/>
                <c:pt idx="0">
                  <c:v>2.7519676773529122E-3</c:v>
                </c:pt>
                <c:pt idx="1">
                  <c:v>3.6803586374681508E-4</c:v>
                </c:pt>
                <c:pt idx="2">
                  <c:v>6.1845925129404098E-3</c:v>
                </c:pt>
                <c:pt idx="3">
                  <c:v>1.9321729343610978E-3</c:v>
                </c:pt>
                <c:pt idx="4">
                  <c:v>8.575377319756522E-3</c:v>
                </c:pt>
                <c:pt idx="5">
                  <c:v>3.7178538472880506E-3</c:v>
                </c:pt>
                <c:pt idx="6">
                  <c:v>3.7719010552987953E-3</c:v>
                </c:pt>
                <c:pt idx="7">
                  <c:v>6.6724424128643354E-4</c:v>
                </c:pt>
                <c:pt idx="8">
                  <c:v>8.9658644727088673E-3</c:v>
                </c:pt>
                <c:pt idx="9">
                  <c:v>2.7916308896343092E-3</c:v>
                </c:pt>
                <c:pt idx="10">
                  <c:v>1.0689532064972971E-2</c:v>
                </c:pt>
                <c:pt idx="11">
                  <c:v>5.1279763613954902E-3</c:v>
                </c:pt>
                <c:pt idx="12">
                  <c:v>1.6892013556273012E-4</c:v>
                </c:pt>
                <c:pt idx="13">
                  <c:v>1.9446930606659303E-4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3650432"/>
        <c:axId val="43660800"/>
      </c:scatterChart>
      <c:valAx>
        <c:axId val="43650432"/>
        <c:scaling>
          <c:orientation val="minMax"/>
          <c:max val="2"/>
        </c:scaling>
        <c:delete val="0"/>
        <c:axPos val="b"/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nl-NL" sz="1675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R</a:t>
                </a:r>
                <a:r>
                  <a:rPr lang="nl-NL" sz="1675" b="1" i="0" u="none" strike="noStrike" baseline="-25000">
                    <a:solidFill>
                      <a:srgbClr val="000000"/>
                    </a:solidFill>
                    <a:latin typeface="Arial"/>
                    <a:cs typeface="Arial"/>
                  </a:rPr>
                  <a:t>c</a:t>
                </a:r>
                <a:r>
                  <a:rPr lang="nl-NL" sz="1675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/(H</a:t>
                </a:r>
                <a:r>
                  <a:rPr lang="nl-NL" sz="1675" b="1" i="0" u="none" strike="noStrike" baseline="-25000">
                    <a:solidFill>
                      <a:srgbClr val="000000"/>
                    </a:solidFill>
                    <a:latin typeface="Arial"/>
                    <a:cs typeface="Arial"/>
                  </a:rPr>
                  <a:t>m0</a:t>
                </a:r>
                <a:r>
                  <a:rPr lang="nl-NL" sz="1675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nl-NL" sz="1675" b="1" i="0" u="none" strike="noStrike" baseline="0">
                    <a:solidFill>
                      <a:srgbClr val="000000"/>
                    </a:solidFill>
                    <a:latin typeface="Symbol"/>
                  </a:rPr>
                  <a:t>x</a:t>
                </a:r>
                <a:r>
                  <a:rPr lang="nl-NL" sz="1675" b="1" i="0" u="none" strike="noStrike" baseline="-25000">
                    <a:solidFill>
                      <a:srgbClr val="000000"/>
                    </a:solidFill>
                    <a:latin typeface="Arial"/>
                    <a:cs typeface="Arial"/>
                  </a:rPr>
                  <a:t>m-1,0</a:t>
                </a:r>
                <a:r>
                  <a:rPr lang="nl-NL" sz="1675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)</a:t>
                </a:r>
              </a:p>
            </c:rich>
          </c:tx>
          <c:layout>
            <c:manualLayout>
              <c:xMode val="edge"/>
              <c:yMode val="edge"/>
              <c:x val="0.46274063698768431"/>
              <c:y val="0.9130449998098066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in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nl-NL"/>
          </a:p>
        </c:txPr>
        <c:crossAx val="43660800"/>
        <c:crossesAt val="1.0000000000000023E-6"/>
        <c:crossBetween val="midCat"/>
      </c:valAx>
      <c:valAx>
        <c:axId val="43660800"/>
        <c:scaling>
          <c:logBase val="10"/>
          <c:orientation val="minMax"/>
          <c:max val="0.1"/>
          <c:min val="1.0000000000000023E-6"/>
        </c:scaling>
        <c:delete val="0"/>
        <c:axPos val="l"/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nl-NL" sz="1675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q/(gH</a:t>
                </a:r>
                <a:r>
                  <a:rPr lang="nl-NL" sz="1675" b="1" i="0" u="none" strike="noStrike" baseline="-25000">
                    <a:solidFill>
                      <a:srgbClr val="000000"/>
                    </a:solidFill>
                    <a:latin typeface="Arial"/>
                    <a:cs typeface="Arial"/>
                  </a:rPr>
                  <a:t>m0</a:t>
                </a:r>
                <a:r>
                  <a:rPr lang="nl-NL" sz="1675" b="1" i="0" u="none" strike="noStrike" baseline="30000">
                    <a:solidFill>
                      <a:srgbClr val="000000"/>
                    </a:solidFill>
                    <a:latin typeface="Arial"/>
                    <a:cs typeface="Arial"/>
                  </a:rPr>
                  <a:t>3</a:t>
                </a:r>
                <a:r>
                  <a:rPr lang="nl-NL" sz="1675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)</a:t>
                </a:r>
                <a:r>
                  <a:rPr lang="nl-NL" sz="1675" b="1" i="0" u="none" strike="noStrike" baseline="30000">
                    <a:solidFill>
                      <a:srgbClr val="000000"/>
                    </a:solidFill>
                    <a:latin typeface="Arial"/>
                    <a:cs typeface="Arial"/>
                  </a:rPr>
                  <a:t>0.5</a:t>
                </a:r>
                <a:r>
                  <a:rPr lang="nl-NL" sz="1675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(s</a:t>
                </a:r>
                <a:r>
                  <a:rPr lang="nl-NL" sz="1675" b="1" i="0" u="none" strike="noStrike" baseline="-25000">
                    <a:solidFill>
                      <a:srgbClr val="000000"/>
                    </a:solidFill>
                    <a:latin typeface="Arial"/>
                    <a:cs typeface="Arial"/>
                  </a:rPr>
                  <a:t>m-1,0</a:t>
                </a:r>
                <a:r>
                  <a:rPr lang="nl-NL" sz="1675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/tan</a:t>
                </a:r>
                <a:r>
                  <a:rPr lang="nl-NL" sz="1675" b="1" i="0" u="none" strike="noStrike" baseline="0">
                    <a:solidFill>
                      <a:srgbClr val="000000"/>
                    </a:solidFill>
                    <a:latin typeface="Symbol"/>
                  </a:rPr>
                  <a:t>a</a:t>
                </a:r>
                <a:r>
                  <a:rPr lang="nl-NL" sz="1675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)</a:t>
                </a:r>
                <a:r>
                  <a:rPr lang="nl-NL" sz="1675" b="1" i="0" u="none" strike="noStrike" baseline="30000">
                    <a:solidFill>
                      <a:srgbClr val="000000"/>
                    </a:solidFill>
                    <a:latin typeface="Arial"/>
                    <a:cs typeface="Arial"/>
                  </a:rPr>
                  <a:t>0.5</a:t>
                </a:r>
              </a:p>
            </c:rich>
          </c:tx>
          <c:layout>
            <c:manualLayout>
              <c:xMode val="edge"/>
              <c:yMode val="edge"/>
              <c:x val="6.009615384615391E-3"/>
              <c:y val="0.21014530792346625"/>
            </c:manualLayout>
          </c:layout>
          <c:overlay val="0"/>
          <c:spPr>
            <a:noFill/>
            <a:ln w="25400">
              <a:noFill/>
            </a:ln>
          </c:spPr>
        </c:title>
        <c:numFmt formatCode="0.E+00" sourceLinked="0"/>
        <c:majorTickMark val="in"/>
        <c:minorTickMark val="in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nl-NL"/>
          </a:p>
        </c:txPr>
        <c:crossAx val="43650432"/>
        <c:crosses val="autoZero"/>
        <c:crossBetween val="midCat"/>
      </c:valAx>
      <c:spPr>
        <a:noFill/>
        <a:ln w="3175">
          <a:solidFill>
            <a:srgbClr val="000000"/>
          </a:solidFill>
          <a:prstDash val="solid"/>
        </a:ln>
      </c:spPr>
    </c:plotArea>
    <c:legend>
      <c:legendPos val="r"/>
      <c:legendEntry>
        <c:idx val="0"/>
        <c:delete val="1"/>
      </c:legendEntry>
      <c:legendEntry>
        <c:idx val="5"/>
        <c:delete val="1"/>
      </c:legendEntry>
      <c:legendEntry>
        <c:idx val="6"/>
        <c:delete val="1"/>
      </c:legendEntry>
      <c:legendEntry>
        <c:idx val="7"/>
        <c:delete val="1"/>
      </c:legendEntry>
      <c:legendEntry>
        <c:idx val="8"/>
        <c:delete val="1"/>
      </c:legendEntry>
      <c:layout>
        <c:manualLayout>
          <c:xMode val="edge"/>
          <c:yMode val="edge"/>
          <c:x val="0.21193922875025253"/>
          <c:y val="0.51872075773137061"/>
          <c:w val="0.19791666666666671"/>
          <c:h val="0.2344526227699798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6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nl-NL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nl-NL"/>
    </a:p>
  </c:txPr>
  <c:printSettings>
    <c:headerFooter alignWithMargins="0"/>
    <c:pageMargins b="1" l="0.75000000000000178" r="0.75000000000000178" t="1" header="0.5" footer="0.5"/>
    <c:pageSetup/>
  </c:printSettings>
  <c:userShapes r:id="rId1"/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134322218313854"/>
          <c:y val="4.886580276941821E-2"/>
          <c:w val="0.84696874429157942"/>
          <c:h val="0.79755800158488099"/>
        </c:manualLayout>
      </c:layout>
      <c:scatterChart>
        <c:scatterStyle val="lineMarker"/>
        <c:varyColors val="0"/>
        <c:ser>
          <c:idx val="0"/>
          <c:order val="0"/>
          <c:tx>
            <c:v>u=0 m/s</c:v>
          </c:tx>
          <c:spPr>
            <a:ln w="28575">
              <a:noFill/>
            </a:ln>
          </c:spPr>
          <c:marker>
            <c:symbol val="square"/>
            <c:size val="7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Summary!$A$3:$A$6</c:f>
              <c:numCache>
                <c:formatCode>General</c:formatCode>
                <c:ptCount val="4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45</c:v>
                </c:pt>
              </c:numCache>
            </c:numRef>
          </c:xVal>
          <c:yVal>
            <c:numRef>
              <c:f>Summary!$F$3:$F$6</c:f>
              <c:numCache>
                <c:formatCode>0.000</c:formatCode>
                <c:ptCount val="4"/>
                <c:pt idx="0">
                  <c:v>1</c:v>
                </c:pt>
                <c:pt idx="1">
                  <c:v>0.92233009708737879</c:v>
                </c:pt>
                <c:pt idx="2">
                  <c:v>0.80369475138121549</c:v>
                </c:pt>
                <c:pt idx="3">
                  <c:v>0.71980825730632447</c:v>
                </c:pt>
              </c:numCache>
            </c:numRef>
          </c:yVal>
          <c:smooth val="0"/>
        </c:ser>
        <c:ser>
          <c:idx val="1"/>
          <c:order val="1"/>
          <c:tx>
            <c:v>u=0.15 m/s</c:v>
          </c:tx>
          <c:spPr>
            <a:ln w="28575">
              <a:noFill/>
            </a:ln>
          </c:spPr>
          <c:marker>
            <c:symbol val="square"/>
            <c:size val="7"/>
            <c:spPr>
              <a:solidFill>
                <a:srgbClr val="00B050"/>
              </a:solidFill>
              <a:ln>
                <a:solidFill>
                  <a:srgbClr val="00B050"/>
                </a:solidFill>
                <a:prstDash val="solid"/>
              </a:ln>
            </c:spPr>
          </c:marker>
          <c:xVal>
            <c:numRef>
              <c:f>Summary!$A$25:$A$28</c:f>
              <c:numCache>
                <c:formatCode>General</c:formatCode>
                <c:ptCount val="4"/>
                <c:pt idx="0">
                  <c:v>0</c:v>
                </c:pt>
                <c:pt idx="1">
                  <c:v>30</c:v>
                </c:pt>
                <c:pt idx="2">
                  <c:v>-30</c:v>
                </c:pt>
                <c:pt idx="3">
                  <c:v>-45</c:v>
                </c:pt>
              </c:numCache>
            </c:numRef>
          </c:xVal>
          <c:yVal>
            <c:numRef>
              <c:f>Summary!$F$25:$F$28</c:f>
              <c:numCache>
                <c:formatCode>0.000</c:formatCode>
                <c:ptCount val="4"/>
                <c:pt idx="0">
                  <c:v>1.0008600301010537</c:v>
                </c:pt>
                <c:pt idx="1">
                  <c:v>0.82098765432098775</c:v>
                </c:pt>
                <c:pt idx="2">
                  <c:v>0.91382018060463288</c:v>
                </c:pt>
                <c:pt idx="3">
                  <c:v>0.7724858944573515</c:v>
                </c:pt>
              </c:numCache>
            </c:numRef>
          </c:yVal>
          <c:smooth val="0"/>
        </c:ser>
        <c:ser>
          <c:idx val="2"/>
          <c:order val="2"/>
          <c:tx>
            <c:v>u=0.30 m/s</c:v>
          </c:tx>
          <c:spPr>
            <a:ln w="28575">
              <a:noFill/>
            </a:ln>
          </c:spPr>
          <c:marker>
            <c:symbol val="triangle"/>
            <c:size val="7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xVal>
            <c:numRef>
              <c:f>Summary!$A$30:$A$35</c:f>
              <c:numCache>
                <c:formatCode>General</c:formatCode>
                <c:ptCount val="6"/>
                <c:pt idx="0">
                  <c:v>0</c:v>
                </c:pt>
                <c:pt idx="1">
                  <c:v>15</c:v>
                </c:pt>
                <c:pt idx="2">
                  <c:v>-15</c:v>
                </c:pt>
                <c:pt idx="3">
                  <c:v>30</c:v>
                </c:pt>
                <c:pt idx="4">
                  <c:v>-30</c:v>
                </c:pt>
                <c:pt idx="5">
                  <c:v>-45</c:v>
                </c:pt>
              </c:numCache>
            </c:numRef>
          </c:xVal>
          <c:yVal>
            <c:numRef>
              <c:f>Summary!$F$30:$F$35</c:f>
              <c:numCache>
                <c:formatCode>0.000</c:formatCode>
                <c:ptCount val="6"/>
                <c:pt idx="0">
                  <c:v>1.010418927718689</c:v>
                </c:pt>
                <c:pt idx="1">
                  <c:v>0.93586650583031772</c:v>
                </c:pt>
                <c:pt idx="2">
                  <c:v>0.90038684719535789</c:v>
                </c:pt>
                <c:pt idx="3">
                  <c:v>0.91078066914498146</c:v>
                </c:pt>
                <c:pt idx="4">
                  <c:v>0.97855791465209174</c:v>
                </c:pt>
                <c:pt idx="5">
                  <c:v>0.83753148614609574</c:v>
                </c:pt>
              </c:numCache>
            </c:numRef>
          </c:yVal>
          <c:smooth val="0"/>
        </c:ser>
        <c:ser>
          <c:idx val="3"/>
          <c:order val="3"/>
          <c:tx>
            <c:v>u=0.40 m/s</c:v>
          </c:tx>
          <c:spPr>
            <a:ln w="28575">
              <a:noFill/>
            </a:ln>
          </c:spPr>
          <c:marker>
            <c:symbol val="triangle"/>
            <c:size val="7"/>
            <c:spPr>
              <a:solidFill>
                <a:srgbClr val="0070C0"/>
              </a:solidFill>
              <a:ln>
                <a:solidFill>
                  <a:srgbClr val="0070C0"/>
                </a:solidFill>
                <a:prstDash val="solid"/>
              </a:ln>
            </c:spPr>
          </c:marker>
          <c:xVal>
            <c:numRef>
              <c:f>Summary!$A$37:$A$40</c:f>
              <c:numCache>
                <c:formatCode>General</c:formatCode>
                <c:ptCount val="4"/>
                <c:pt idx="0">
                  <c:v>0</c:v>
                </c:pt>
                <c:pt idx="1">
                  <c:v>30</c:v>
                </c:pt>
                <c:pt idx="2">
                  <c:v>-30</c:v>
                </c:pt>
                <c:pt idx="3">
                  <c:v>-45</c:v>
                </c:pt>
              </c:numCache>
            </c:numRef>
          </c:xVal>
          <c:yVal>
            <c:numRef>
              <c:f>Summary!$F$37:$F$40</c:f>
              <c:numCache>
                <c:formatCode>0.000</c:formatCode>
                <c:ptCount val="4"/>
                <c:pt idx="0">
                  <c:v>1.004965457685665</c:v>
                </c:pt>
                <c:pt idx="1">
                  <c:v>0.8502283105022832</c:v>
                </c:pt>
                <c:pt idx="2">
                  <c:v>1.0170417303910859</c:v>
                </c:pt>
                <c:pt idx="3">
                  <c:v>0.82652698863636376</c:v>
                </c:pt>
              </c:numCache>
            </c:numRef>
          </c:yVal>
          <c:smooth val="0"/>
        </c:ser>
        <c:ser>
          <c:idx val="6"/>
          <c:order val="4"/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Summary!$X$43:$X$44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xVal>
          <c:yVal>
            <c:numRef>
              <c:f>Summary!$Y$43:$Y$44</c:f>
              <c:numCache>
                <c:formatCode>General</c:formatCode>
                <c:ptCount val="2"/>
                <c:pt idx="0">
                  <c:v>0</c:v>
                </c:pt>
                <c:pt idx="1">
                  <c:v>1.2</c:v>
                </c:pt>
              </c:numCache>
            </c:numRef>
          </c:yVal>
          <c:smooth val="0"/>
        </c:ser>
        <c:ser>
          <c:idx val="7"/>
          <c:order val="5"/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Summary!$A$53:$A$135</c:f>
              <c:numCache>
                <c:formatCode>General</c:formatCode>
                <c:ptCount val="83"/>
                <c:pt idx="0">
                  <c:v>-50</c:v>
                </c:pt>
                <c:pt idx="1">
                  <c:v>-49</c:v>
                </c:pt>
                <c:pt idx="2">
                  <c:v>-48</c:v>
                </c:pt>
                <c:pt idx="3">
                  <c:v>-47</c:v>
                </c:pt>
                <c:pt idx="4">
                  <c:v>-46</c:v>
                </c:pt>
                <c:pt idx="5">
                  <c:v>-45</c:v>
                </c:pt>
                <c:pt idx="6">
                  <c:v>-44</c:v>
                </c:pt>
                <c:pt idx="7">
                  <c:v>-43</c:v>
                </c:pt>
                <c:pt idx="8">
                  <c:v>-42</c:v>
                </c:pt>
                <c:pt idx="9">
                  <c:v>-41</c:v>
                </c:pt>
                <c:pt idx="10">
                  <c:v>-40</c:v>
                </c:pt>
                <c:pt idx="11">
                  <c:v>-39</c:v>
                </c:pt>
                <c:pt idx="12">
                  <c:v>-38</c:v>
                </c:pt>
                <c:pt idx="13">
                  <c:v>-37</c:v>
                </c:pt>
                <c:pt idx="14">
                  <c:v>-36</c:v>
                </c:pt>
                <c:pt idx="15">
                  <c:v>-35</c:v>
                </c:pt>
                <c:pt idx="16">
                  <c:v>-34</c:v>
                </c:pt>
                <c:pt idx="17">
                  <c:v>-33</c:v>
                </c:pt>
                <c:pt idx="18">
                  <c:v>-32</c:v>
                </c:pt>
                <c:pt idx="19">
                  <c:v>-31</c:v>
                </c:pt>
                <c:pt idx="20">
                  <c:v>-30</c:v>
                </c:pt>
                <c:pt idx="21">
                  <c:v>-29</c:v>
                </c:pt>
                <c:pt idx="22">
                  <c:v>-28</c:v>
                </c:pt>
                <c:pt idx="23">
                  <c:v>-27</c:v>
                </c:pt>
                <c:pt idx="24">
                  <c:v>-26</c:v>
                </c:pt>
                <c:pt idx="25">
                  <c:v>-25</c:v>
                </c:pt>
                <c:pt idx="26">
                  <c:v>-24</c:v>
                </c:pt>
                <c:pt idx="27">
                  <c:v>-23</c:v>
                </c:pt>
                <c:pt idx="28">
                  <c:v>-22</c:v>
                </c:pt>
                <c:pt idx="29">
                  <c:v>-21</c:v>
                </c:pt>
                <c:pt idx="30">
                  <c:v>-20</c:v>
                </c:pt>
                <c:pt idx="31">
                  <c:v>-19</c:v>
                </c:pt>
                <c:pt idx="32">
                  <c:v>-18</c:v>
                </c:pt>
                <c:pt idx="33">
                  <c:v>-17</c:v>
                </c:pt>
                <c:pt idx="34">
                  <c:v>-16</c:v>
                </c:pt>
                <c:pt idx="35">
                  <c:v>-15</c:v>
                </c:pt>
                <c:pt idx="36">
                  <c:v>-14</c:v>
                </c:pt>
                <c:pt idx="37">
                  <c:v>-13</c:v>
                </c:pt>
                <c:pt idx="38">
                  <c:v>-12</c:v>
                </c:pt>
                <c:pt idx="39">
                  <c:v>-11</c:v>
                </c:pt>
                <c:pt idx="40">
                  <c:v>-10</c:v>
                </c:pt>
                <c:pt idx="41">
                  <c:v>0</c:v>
                </c:pt>
                <c:pt idx="42">
                  <c:v>10</c:v>
                </c:pt>
                <c:pt idx="43">
                  <c:v>11</c:v>
                </c:pt>
                <c:pt idx="44">
                  <c:v>12</c:v>
                </c:pt>
                <c:pt idx="45">
                  <c:v>13</c:v>
                </c:pt>
                <c:pt idx="46">
                  <c:v>14</c:v>
                </c:pt>
                <c:pt idx="47">
                  <c:v>15</c:v>
                </c:pt>
                <c:pt idx="48">
                  <c:v>16</c:v>
                </c:pt>
                <c:pt idx="49">
                  <c:v>17</c:v>
                </c:pt>
                <c:pt idx="50">
                  <c:v>18</c:v>
                </c:pt>
                <c:pt idx="51">
                  <c:v>19</c:v>
                </c:pt>
                <c:pt idx="52">
                  <c:v>20</c:v>
                </c:pt>
                <c:pt idx="53">
                  <c:v>21</c:v>
                </c:pt>
                <c:pt idx="54">
                  <c:v>22</c:v>
                </c:pt>
                <c:pt idx="55">
                  <c:v>23</c:v>
                </c:pt>
                <c:pt idx="56">
                  <c:v>24</c:v>
                </c:pt>
                <c:pt idx="57">
                  <c:v>25</c:v>
                </c:pt>
                <c:pt idx="58">
                  <c:v>26</c:v>
                </c:pt>
                <c:pt idx="59">
                  <c:v>27</c:v>
                </c:pt>
                <c:pt idx="60">
                  <c:v>28</c:v>
                </c:pt>
                <c:pt idx="61">
                  <c:v>29</c:v>
                </c:pt>
                <c:pt idx="62">
                  <c:v>30</c:v>
                </c:pt>
                <c:pt idx="63">
                  <c:v>31</c:v>
                </c:pt>
                <c:pt idx="64">
                  <c:v>32</c:v>
                </c:pt>
                <c:pt idx="65">
                  <c:v>33</c:v>
                </c:pt>
                <c:pt idx="66">
                  <c:v>34</c:v>
                </c:pt>
                <c:pt idx="67">
                  <c:v>35</c:v>
                </c:pt>
                <c:pt idx="68">
                  <c:v>36</c:v>
                </c:pt>
                <c:pt idx="69">
                  <c:v>37</c:v>
                </c:pt>
                <c:pt idx="70">
                  <c:v>38</c:v>
                </c:pt>
                <c:pt idx="71">
                  <c:v>39</c:v>
                </c:pt>
                <c:pt idx="72">
                  <c:v>40</c:v>
                </c:pt>
                <c:pt idx="73">
                  <c:v>41</c:v>
                </c:pt>
                <c:pt idx="74">
                  <c:v>42</c:v>
                </c:pt>
                <c:pt idx="75">
                  <c:v>43</c:v>
                </c:pt>
                <c:pt idx="76">
                  <c:v>44</c:v>
                </c:pt>
                <c:pt idx="77">
                  <c:v>45</c:v>
                </c:pt>
                <c:pt idx="78">
                  <c:v>46</c:v>
                </c:pt>
                <c:pt idx="79">
                  <c:v>47</c:v>
                </c:pt>
                <c:pt idx="80">
                  <c:v>48</c:v>
                </c:pt>
                <c:pt idx="81">
                  <c:v>49</c:v>
                </c:pt>
                <c:pt idx="82">
                  <c:v>50</c:v>
                </c:pt>
              </c:numCache>
            </c:numRef>
          </c:xVal>
          <c:yVal>
            <c:numRef>
              <c:f>Summary!$B$53:$B$135</c:f>
              <c:numCache>
                <c:formatCode>General</c:formatCode>
                <c:ptCount val="83"/>
                <c:pt idx="0">
                  <c:v>0.58682408883346515</c:v>
                </c:pt>
                <c:pt idx="1">
                  <c:v>0.6039558454088797</c:v>
                </c:pt>
                <c:pt idx="2">
                  <c:v>0.62096094779983391</c:v>
                </c:pt>
                <c:pt idx="3">
                  <c:v>0.63781867790849955</c:v>
                </c:pt>
                <c:pt idx="4">
                  <c:v>0.65450849718747373</c:v>
                </c:pt>
                <c:pt idx="5">
                  <c:v>0.67101007166283433</c:v>
                </c:pt>
                <c:pt idx="6">
                  <c:v>0.68730329670795587</c:v>
                </c:pt>
                <c:pt idx="7">
                  <c:v>0.70336832153790019</c:v>
                </c:pt>
                <c:pt idx="8">
                  <c:v>0.7191855733945387</c:v>
                </c:pt>
                <c:pt idx="9">
                  <c:v>0.73473578139294549</c:v>
                </c:pt>
                <c:pt idx="10">
                  <c:v>0.75000000000000011</c:v>
                </c:pt>
                <c:pt idx="11">
                  <c:v>0.76495963211660234</c:v>
                </c:pt>
                <c:pt idx="12">
                  <c:v>0.77959645173537351</c:v>
                </c:pt>
                <c:pt idx="13">
                  <c:v>0.79389262614623668</c:v>
                </c:pt>
                <c:pt idx="14">
                  <c:v>0.8078307376628292</c:v>
                </c:pt>
                <c:pt idx="15">
                  <c:v>0.82139380484326963</c:v>
                </c:pt>
                <c:pt idx="16">
                  <c:v>0.83456530317942901</c:v>
                </c:pt>
                <c:pt idx="17">
                  <c:v>0.84732918522949874</c:v>
                </c:pt>
                <c:pt idx="18">
                  <c:v>0.85966990016932565</c:v>
                </c:pt>
                <c:pt idx="19">
                  <c:v>0.87157241273869712</c:v>
                </c:pt>
                <c:pt idx="20">
                  <c:v>0.88302222155948906</c:v>
                </c:pt>
                <c:pt idx="21">
                  <c:v>0.89400537680336101</c:v>
                </c:pt>
                <c:pt idx="22">
                  <c:v>0.90450849718747361</c:v>
                </c:pt>
                <c:pt idx="23">
                  <c:v>0.91451878627752081</c:v>
                </c:pt>
                <c:pt idx="24">
                  <c:v>0.92402404807821303</c:v>
                </c:pt>
                <c:pt idx="25">
                  <c:v>0.93301270189221941</c:v>
                </c:pt>
                <c:pt idx="26">
                  <c:v>0.94147379642946349</c:v>
                </c:pt>
                <c:pt idx="27">
                  <c:v>0.94939702314958352</c:v>
                </c:pt>
                <c:pt idx="28">
                  <c:v>0.9567727288213006</c:v>
                </c:pt>
                <c:pt idx="29">
                  <c:v>0.96359192728339371</c:v>
                </c:pt>
                <c:pt idx="30">
                  <c:v>0.9698463103929541</c:v>
                </c:pt>
                <c:pt idx="31">
                  <c:v>0.97552825814757682</c:v>
                </c:pt>
                <c:pt idx="32">
                  <c:v>0.98063084796915956</c:v>
                </c:pt>
                <c:pt idx="33">
                  <c:v>0.98514786313799818</c:v>
                </c:pt>
                <c:pt idx="34">
                  <c:v>0.98907380036690273</c:v>
                </c:pt>
                <c:pt idx="35">
                  <c:v>0.99240387650610407</c:v>
                </c:pt>
                <c:pt idx="36">
                  <c:v>0.99513403437078507</c:v>
                </c:pt>
                <c:pt idx="37">
                  <c:v>0.99726094768413653</c:v>
                </c:pt>
                <c:pt idx="38">
                  <c:v>0.99878202512991221</c:v>
                </c:pt>
                <c:pt idx="39">
                  <c:v>0.99969541350954794</c:v>
                </c:pt>
                <c:pt idx="40">
                  <c:v>1</c:v>
                </c:pt>
                <c:pt idx="41" formatCode="0.00">
                  <c:v>1</c:v>
                </c:pt>
                <c:pt idx="42" formatCode="0.00">
                  <c:v>1</c:v>
                </c:pt>
                <c:pt idx="43">
                  <c:v>0.99969541350954794</c:v>
                </c:pt>
                <c:pt idx="44">
                  <c:v>0.99878202512991221</c:v>
                </c:pt>
                <c:pt idx="45">
                  <c:v>0.99726094768413653</c:v>
                </c:pt>
                <c:pt idx="46">
                  <c:v>0.99513403437078507</c:v>
                </c:pt>
                <c:pt idx="47">
                  <c:v>0.99240387650610407</c:v>
                </c:pt>
                <c:pt idx="48">
                  <c:v>0.98907380036690273</c:v>
                </c:pt>
                <c:pt idx="49">
                  <c:v>0.98514786313799818</c:v>
                </c:pt>
                <c:pt idx="50">
                  <c:v>0.98063084796915956</c:v>
                </c:pt>
                <c:pt idx="51">
                  <c:v>0.97552825814757682</c:v>
                </c:pt>
                <c:pt idx="52">
                  <c:v>0.9698463103929541</c:v>
                </c:pt>
                <c:pt idx="53">
                  <c:v>0.96359192728339371</c:v>
                </c:pt>
                <c:pt idx="54">
                  <c:v>0.9567727288213006</c:v>
                </c:pt>
                <c:pt idx="55">
                  <c:v>0.94939702314958352</c:v>
                </c:pt>
                <c:pt idx="56">
                  <c:v>0.94147379642946349</c:v>
                </c:pt>
                <c:pt idx="57">
                  <c:v>0.93301270189221941</c:v>
                </c:pt>
                <c:pt idx="58">
                  <c:v>0.92402404807821303</c:v>
                </c:pt>
                <c:pt idx="59">
                  <c:v>0.91451878627752081</c:v>
                </c:pt>
                <c:pt idx="60">
                  <c:v>0.90450849718747361</c:v>
                </c:pt>
                <c:pt idx="61">
                  <c:v>0.89400537680336101</c:v>
                </c:pt>
                <c:pt idx="62">
                  <c:v>0.88302222155948906</c:v>
                </c:pt>
                <c:pt idx="63">
                  <c:v>0.87157241273869712</c:v>
                </c:pt>
                <c:pt idx="64">
                  <c:v>0.85966990016932565</c:v>
                </c:pt>
                <c:pt idx="65">
                  <c:v>0.84732918522949874</c:v>
                </c:pt>
                <c:pt idx="66">
                  <c:v>0.83456530317942901</c:v>
                </c:pt>
                <c:pt idx="67">
                  <c:v>0.82139380484326963</c:v>
                </c:pt>
                <c:pt idx="68">
                  <c:v>0.8078307376628292</c:v>
                </c:pt>
                <c:pt idx="69">
                  <c:v>0.79389262614623668</c:v>
                </c:pt>
                <c:pt idx="70">
                  <c:v>0.77959645173537351</c:v>
                </c:pt>
                <c:pt idx="71">
                  <c:v>0.76495963211660234</c:v>
                </c:pt>
                <c:pt idx="72">
                  <c:v>0.75000000000000011</c:v>
                </c:pt>
                <c:pt idx="73">
                  <c:v>0.73473578139294549</c:v>
                </c:pt>
                <c:pt idx="74">
                  <c:v>0.7191855733945387</c:v>
                </c:pt>
                <c:pt idx="75">
                  <c:v>0.70336832153790019</c:v>
                </c:pt>
                <c:pt idx="76">
                  <c:v>0.68730329670795587</c:v>
                </c:pt>
                <c:pt idx="77">
                  <c:v>0.67101007166283433</c:v>
                </c:pt>
                <c:pt idx="78">
                  <c:v>0.65450849718747373</c:v>
                </c:pt>
                <c:pt idx="79">
                  <c:v>0.63781867790849955</c:v>
                </c:pt>
                <c:pt idx="80">
                  <c:v>0.62096094779983391</c:v>
                </c:pt>
                <c:pt idx="81">
                  <c:v>0.6039558454088797</c:v>
                </c:pt>
                <c:pt idx="82">
                  <c:v>0.58682408883346515</c:v>
                </c:pt>
              </c:numCache>
            </c:numRef>
          </c:yVal>
          <c:smooth val="0"/>
        </c:ser>
        <c:ser>
          <c:idx val="8"/>
          <c:order val="6"/>
          <c:spPr>
            <a:ln w="28575">
              <a:noFill/>
            </a:ln>
          </c:spPr>
          <c:marker>
            <c:symbol val="square"/>
            <c:size val="7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Summary!$G$46:$G$48</c:f>
              <c:numCache>
                <c:formatCode>General</c:formatCode>
                <c:ptCount val="3"/>
                <c:pt idx="0">
                  <c:v>-15</c:v>
                </c:pt>
                <c:pt idx="1">
                  <c:v>-30</c:v>
                </c:pt>
                <c:pt idx="2">
                  <c:v>-45</c:v>
                </c:pt>
              </c:numCache>
            </c:numRef>
          </c:xVal>
          <c:yVal>
            <c:numRef>
              <c:f>Summary!$H$46:$H$48</c:f>
              <c:numCache>
                <c:formatCode>0.000</c:formatCode>
                <c:ptCount val="3"/>
                <c:pt idx="0">
                  <c:v>0.92233009708737879</c:v>
                </c:pt>
                <c:pt idx="1">
                  <c:v>0.80369475138121549</c:v>
                </c:pt>
                <c:pt idx="2">
                  <c:v>0.71980825730632447</c:v>
                </c:pt>
              </c:numCache>
            </c:numRef>
          </c:yVal>
          <c:smooth val="0"/>
        </c:ser>
        <c:ser>
          <c:idx val="9"/>
          <c:order val="7"/>
          <c:spPr>
            <a:ln w="28575">
              <a:noFill/>
            </a:ln>
          </c:spPr>
          <c:marker>
            <c:symbol val="square"/>
            <c:size val="7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Summary!$G$46:$G$48</c:f>
              <c:numCache>
                <c:formatCode>General</c:formatCode>
                <c:ptCount val="3"/>
                <c:pt idx="0">
                  <c:v>-15</c:v>
                </c:pt>
                <c:pt idx="1">
                  <c:v>-30</c:v>
                </c:pt>
                <c:pt idx="2">
                  <c:v>-45</c:v>
                </c:pt>
              </c:numCache>
            </c:numRef>
          </c:xVal>
          <c:yVal>
            <c:numRef>
              <c:f>Summary!$I$46:$I$48</c:f>
              <c:numCache>
                <c:formatCode>General</c:formatCode>
                <c:ptCount val="3"/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3744256"/>
        <c:axId val="43755008"/>
      </c:scatterChart>
      <c:valAx>
        <c:axId val="43744256"/>
        <c:scaling>
          <c:orientation val="minMax"/>
          <c:max val="60"/>
          <c:min val="-60"/>
        </c:scaling>
        <c:delete val="0"/>
        <c:axPos val="b"/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nl-NL" sz="160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Angle of wave attack </a:t>
                </a:r>
                <a:r>
                  <a:rPr lang="nl-NL" sz="1600" b="1" i="0" u="none" strike="noStrike" baseline="0">
                    <a:solidFill>
                      <a:srgbClr val="000000"/>
                    </a:solidFill>
                    <a:latin typeface="Symbol"/>
                  </a:rPr>
                  <a:t>b</a:t>
                </a:r>
                <a:r>
                  <a:rPr lang="nl-NL" sz="160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(degr)</a:t>
                </a:r>
              </a:p>
            </c:rich>
          </c:tx>
          <c:layout>
            <c:manualLayout>
              <c:xMode val="edge"/>
              <c:yMode val="edge"/>
              <c:x val="0.30280868737561734"/>
              <c:y val="0.9249580189910816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in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nl-NL"/>
          </a:p>
        </c:txPr>
        <c:crossAx val="43755008"/>
        <c:crosses val="autoZero"/>
        <c:crossBetween val="midCat"/>
      </c:valAx>
      <c:valAx>
        <c:axId val="43755008"/>
        <c:scaling>
          <c:orientation val="minMax"/>
          <c:max val="1.2"/>
        </c:scaling>
        <c:delete val="0"/>
        <c:axPos val="l"/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nl-NL" sz="160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Influence factor </a:t>
                </a:r>
                <a:r>
                  <a:rPr lang="nl-NL" sz="1600" b="1" i="0" u="none" strike="noStrike" baseline="0">
                    <a:solidFill>
                      <a:srgbClr val="000000"/>
                    </a:solidFill>
                    <a:latin typeface="Symbol"/>
                  </a:rPr>
                  <a:t>g</a:t>
                </a:r>
              </a:p>
            </c:rich>
          </c:tx>
          <c:layout>
            <c:manualLayout>
              <c:xMode val="edge"/>
              <c:yMode val="edge"/>
              <c:x val="6.1050061050061119E-3"/>
              <c:y val="0.31588187602204243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in"/>
        <c:minorTickMark val="in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nl-NL"/>
          </a:p>
        </c:txPr>
        <c:crossAx val="43744256"/>
        <c:crossesAt val="-60"/>
        <c:crossBetween val="midCat"/>
      </c:valAx>
      <c:spPr>
        <a:noFill/>
        <a:ln w="3175">
          <a:solidFill>
            <a:srgbClr val="000000"/>
          </a:solidFill>
          <a:prstDash val="solid"/>
        </a:ln>
      </c:spPr>
    </c:plotArea>
    <c:legend>
      <c:legendPos val="r"/>
      <c:legendEntry>
        <c:idx val="4"/>
        <c:delete val="1"/>
      </c:legendEntry>
      <c:legendEntry>
        <c:idx val="5"/>
        <c:delete val="1"/>
      </c:legendEntry>
      <c:legendEntry>
        <c:idx val="6"/>
        <c:delete val="1"/>
      </c:legendEntry>
      <c:legendEntry>
        <c:idx val="7"/>
        <c:delete val="1"/>
      </c:legendEntry>
      <c:layout>
        <c:manualLayout>
          <c:xMode val="edge"/>
          <c:yMode val="edge"/>
          <c:x val="0.44647970285765592"/>
          <c:y val="0.34089678580753352"/>
          <c:w val="0.14814840452635752"/>
          <c:h val="0.24083806278141948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nl-NL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nl-NL"/>
    </a:p>
  </c:txPr>
  <c:printSettings>
    <c:headerFooter alignWithMargins="0"/>
    <c:pageMargins b="1" l="0.75000000000000033" r="0.75000000000000033" t="1" header="0.5" footer="0.5"/>
    <c:pageSetup orientation="portrait"/>
  </c:printSettings>
  <c:userShapes r:id="rId1"/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097335596933447"/>
          <c:y val="9.7345216870520529E-2"/>
          <c:w val="0.77494009340320691"/>
          <c:h val="0.74690330035199493"/>
        </c:manualLayout>
      </c:layout>
      <c:scatterChart>
        <c:scatterStyle val="lineMarker"/>
        <c:varyColors val="0"/>
        <c:ser>
          <c:idx val="0"/>
          <c:order val="0"/>
          <c:tx>
            <c:strRef>
              <c:f>Summary!$F$2</c:f>
              <c:strCache>
                <c:ptCount val="1"/>
              </c:strCache>
            </c:strRef>
          </c:tx>
          <c:spPr>
            <a:ln w="28575">
              <a:noFill/>
            </a:ln>
          </c:spPr>
          <c:marker>
            <c:symbol val="square"/>
            <c:size val="7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Summary!$A$3:$A$6</c:f>
              <c:numCache>
                <c:formatCode>General</c:formatCode>
                <c:ptCount val="4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45</c:v>
                </c:pt>
              </c:numCache>
            </c:numRef>
          </c:xVal>
          <c:yVal>
            <c:numRef>
              <c:f>Summary!$F$3:$F$6</c:f>
              <c:numCache>
                <c:formatCode>0.000</c:formatCode>
                <c:ptCount val="4"/>
                <c:pt idx="0">
                  <c:v>1</c:v>
                </c:pt>
                <c:pt idx="1">
                  <c:v>0.92233009708737879</c:v>
                </c:pt>
                <c:pt idx="2">
                  <c:v>0.80369475138121549</c:v>
                </c:pt>
                <c:pt idx="3">
                  <c:v>0.71980825730632447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Summary!$H$2</c:f>
              <c:strCache>
                <c:ptCount val="1"/>
              </c:strCache>
            </c:strRef>
          </c:tx>
          <c:spPr>
            <a:ln w="28575">
              <a:noFill/>
            </a:ln>
          </c:spPr>
          <c:marker>
            <c:symbol val="square"/>
            <c:size val="7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Summary!$A$3:$A$6</c:f>
              <c:numCache>
                <c:formatCode>General</c:formatCode>
                <c:ptCount val="4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45</c:v>
                </c:pt>
              </c:numCache>
            </c:numRef>
          </c:xVal>
          <c:yVal>
            <c:numRef>
              <c:f>Summary!$H$3:$H$6</c:f>
              <c:numCache>
                <c:formatCode>0.000</c:formatCode>
                <c:ptCount val="4"/>
              </c:numCache>
            </c:numRef>
          </c:yVal>
          <c:smooth val="0"/>
        </c:ser>
        <c:ser>
          <c:idx val="2"/>
          <c:order val="2"/>
          <c:tx>
            <c:v>g-br 0.15 m/s</c:v>
          </c:tx>
          <c:spPr>
            <a:ln w="28575">
              <a:noFill/>
            </a:ln>
          </c:spPr>
          <c:marker>
            <c:symbol val="triangle"/>
            <c:size val="7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xVal>
            <c:numRef>
              <c:f>Summary!$I$21:$I$26</c:f>
              <c:numCache>
                <c:formatCode>General</c:formatCode>
                <c:ptCount val="6"/>
                <c:pt idx="0">
                  <c:v>0</c:v>
                </c:pt>
                <c:pt idx="1">
                  <c:v>30</c:v>
                </c:pt>
                <c:pt idx="2">
                  <c:v>45</c:v>
                </c:pt>
                <c:pt idx="3">
                  <c:v>0</c:v>
                </c:pt>
                <c:pt idx="4">
                  <c:v>0</c:v>
                </c:pt>
                <c:pt idx="5">
                  <c:v>15</c:v>
                </c:pt>
              </c:numCache>
            </c:numRef>
          </c:xVal>
          <c:yVal>
            <c:numRef>
              <c:f>Summary!$F$25:$F$31</c:f>
              <c:numCache>
                <c:formatCode>0.000</c:formatCode>
                <c:ptCount val="7"/>
                <c:pt idx="0">
                  <c:v>1.0008600301010537</c:v>
                </c:pt>
                <c:pt idx="1">
                  <c:v>0.82098765432098775</c:v>
                </c:pt>
                <c:pt idx="2">
                  <c:v>0.91382018060463288</c:v>
                </c:pt>
                <c:pt idx="3">
                  <c:v>0.7724858944573515</c:v>
                </c:pt>
                <c:pt idx="5">
                  <c:v>1.010418927718689</c:v>
                </c:pt>
                <c:pt idx="6">
                  <c:v>0.93586650583031772</c:v>
                </c:pt>
              </c:numCache>
            </c:numRef>
          </c:yVal>
          <c:smooth val="0"/>
        </c:ser>
        <c:ser>
          <c:idx val="3"/>
          <c:order val="3"/>
          <c:tx>
            <c:v>g-non br 0.15 m/s</c:v>
          </c:tx>
          <c:spPr>
            <a:ln w="28575">
              <a:noFill/>
            </a:ln>
          </c:spPr>
          <c:marker>
            <c:symbol val="triangle"/>
            <c:size val="7"/>
            <c:spPr>
              <a:noFill/>
              <a:ln>
                <a:solidFill>
                  <a:srgbClr val="FF0000"/>
                </a:solidFill>
                <a:prstDash val="solid"/>
              </a:ln>
            </c:spPr>
          </c:marker>
          <c:xVal>
            <c:numRef>
              <c:f>Summary!$I$21:$I$26</c:f>
              <c:numCache>
                <c:formatCode>General</c:formatCode>
                <c:ptCount val="6"/>
                <c:pt idx="0">
                  <c:v>0</c:v>
                </c:pt>
                <c:pt idx="1">
                  <c:v>30</c:v>
                </c:pt>
                <c:pt idx="2">
                  <c:v>45</c:v>
                </c:pt>
                <c:pt idx="3">
                  <c:v>0</c:v>
                </c:pt>
                <c:pt idx="4">
                  <c:v>0</c:v>
                </c:pt>
                <c:pt idx="5">
                  <c:v>15</c:v>
                </c:pt>
              </c:numCache>
            </c:numRef>
          </c:xVal>
          <c:yVal>
            <c:numRef>
              <c:f>Summary!$H$21:$H$26</c:f>
              <c:numCache>
                <c:formatCode>0.000</c:formatCode>
                <c:ptCount val="6"/>
              </c:numCache>
            </c:numRef>
          </c:yVal>
          <c:smooth val="0"/>
        </c:ser>
        <c:ser>
          <c:idx val="4"/>
          <c:order val="4"/>
          <c:tx>
            <c:v>g-br u=0.30 m/s</c:v>
          </c:tx>
          <c:spPr>
            <a:ln w="28575">
              <a:noFill/>
            </a:ln>
          </c:spPr>
          <c:marker>
            <c:symbol val="diamond"/>
            <c:size val="7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xVal>
            <c:numRef>
              <c:f>Summary!$I$28:$I$33</c:f>
              <c:numCache>
                <c:formatCode>General</c:formatCode>
                <c:ptCount val="6"/>
                <c:pt idx="0">
                  <c:v>30</c:v>
                </c:pt>
                <c:pt idx="1">
                  <c:v>30</c:v>
                </c:pt>
                <c:pt idx="2">
                  <c:v>45</c:v>
                </c:pt>
                <c:pt idx="3">
                  <c:v>0</c:v>
                </c:pt>
                <c:pt idx="4">
                  <c:v>0</c:v>
                </c:pt>
                <c:pt idx="5">
                  <c:v>30</c:v>
                </c:pt>
              </c:numCache>
            </c:numRef>
          </c:xVal>
          <c:yVal>
            <c:numRef>
              <c:f>Summary!$F$33:$F$38</c:f>
              <c:numCache>
                <c:formatCode>0.000</c:formatCode>
                <c:ptCount val="6"/>
                <c:pt idx="0">
                  <c:v>0.91078066914498146</c:v>
                </c:pt>
                <c:pt idx="1">
                  <c:v>0.97855791465209174</c:v>
                </c:pt>
                <c:pt idx="2">
                  <c:v>0.83753148614609574</c:v>
                </c:pt>
                <c:pt idx="4">
                  <c:v>1.004965457685665</c:v>
                </c:pt>
                <c:pt idx="5">
                  <c:v>0.8502283105022832</c:v>
                </c:pt>
              </c:numCache>
            </c:numRef>
          </c:yVal>
          <c:smooth val="0"/>
        </c:ser>
        <c:ser>
          <c:idx val="5"/>
          <c:order val="5"/>
          <c:tx>
            <c:v>g-non br u=0.30 m/s</c:v>
          </c:tx>
          <c:spPr>
            <a:ln w="28575">
              <a:noFill/>
            </a:ln>
          </c:spPr>
          <c:marker>
            <c:symbol val="diamond"/>
            <c:size val="7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xVal>
            <c:numRef>
              <c:f>Summary!$I$28:$I$33</c:f>
              <c:numCache>
                <c:formatCode>General</c:formatCode>
                <c:ptCount val="6"/>
                <c:pt idx="0">
                  <c:v>30</c:v>
                </c:pt>
                <c:pt idx="1">
                  <c:v>30</c:v>
                </c:pt>
                <c:pt idx="2">
                  <c:v>45</c:v>
                </c:pt>
                <c:pt idx="3">
                  <c:v>0</c:v>
                </c:pt>
                <c:pt idx="4">
                  <c:v>0</c:v>
                </c:pt>
                <c:pt idx="5">
                  <c:v>30</c:v>
                </c:pt>
              </c:numCache>
            </c:numRef>
          </c:xVal>
          <c:yVal>
            <c:numRef>
              <c:f>Summary!$H$28:$H$33</c:f>
              <c:numCache>
                <c:formatCode>0.000</c:formatCode>
                <c:ptCount val="6"/>
              </c:numCache>
            </c:numRef>
          </c:yVal>
          <c:smooth val="0"/>
        </c:ser>
        <c:ser>
          <c:idx val="6"/>
          <c:order val="6"/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Summary!$A$94:$A$135</c:f>
              <c:numCache>
                <c:formatCode>General</c:formatCode>
                <c:ptCount val="42"/>
                <c:pt idx="0">
                  <c:v>0</c:v>
                </c:pt>
                <c:pt idx="1">
                  <c:v>10</c:v>
                </c:pt>
                <c:pt idx="2">
                  <c:v>11</c:v>
                </c:pt>
                <c:pt idx="3">
                  <c:v>12</c:v>
                </c:pt>
                <c:pt idx="4">
                  <c:v>13</c:v>
                </c:pt>
                <c:pt idx="5">
                  <c:v>14</c:v>
                </c:pt>
                <c:pt idx="6">
                  <c:v>15</c:v>
                </c:pt>
                <c:pt idx="7">
                  <c:v>16</c:v>
                </c:pt>
                <c:pt idx="8">
                  <c:v>17</c:v>
                </c:pt>
                <c:pt idx="9">
                  <c:v>18</c:v>
                </c:pt>
                <c:pt idx="10">
                  <c:v>19</c:v>
                </c:pt>
                <c:pt idx="11">
                  <c:v>20</c:v>
                </c:pt>
                <c:pt idx="12">
                  <c:v>21</c:v>
                </c:pt>
                <c:pt idx="13">
                  <c:v>22</c:v>
                </c:pt>
                <c:pt idx="14">
                  <c:v>23</c:v>
                </c:pt>
                <c:pt idx="15">
                  <c:v>24</c:v>
                </c:pt>
                <c:pt idx="16">
                  <c:v>25</c:v>
                </c:pt>
                <c:pt idx="17">
                  <c:v>26</c:v>
                </c:pt>
                <c:pt idx="18">
                  <c:v>27</c:v>
                </c:pt>
                <c:pt idx="19">
                  <c:v>28</c:v>
                </c:pt>
                <c:pt idx="20">
                  <c:v>29</c:v>
                </c:pt>
                <c:pt idx="21">
                  <c:v>30</c:v>
                </c:pt>
                <c:pt idx="22">
                  <c:v>31</c:v>
                </c:pt>
                <c:pt idx="23">
                  <c:v>32</c:v>
                </c:pt>
                <c:pt idx="24">
                  <c:v>33</c:v>
                </c:pt>
                <c:pt idx="25">
                  <c:v>34</c:v>
                </c:pt>
                <c:pt idx="26">
                  <c:v>35</c:v>
                </c:pt>
                <c:pt idx="27">
                  <c:v>36</c:v>
                </c:pt>
                <c:pt idx="28">
                  <c:v>37</c:v>
                </c:pt>
                <c:pt idx="29">
                  <c:v>38</c:v>
                </c:pt>
                <c:pt idx="30">
                  <c:v>39</c:v>
                </c:pt>
                <c:pt idx="31">
                  <c:v>40</c:v>
                </c:pt>
                <c:pt idx="32">
                  <c:v>41</c:v>
                </c:pt>
                <c:pt idx="33">
                  <c:v>42</c:v>
                </c:pt>
                <c:pt idx="34">
                  <c:v>43</c:v>
                </c:pt>
                <c:pt idx="35">
                  <c:v>44</c:v>
                </c:pt>
                <c:pt idx="36">
                  <c:v>45</c:v>
                </c:pt>
                <c:pt idx="37">
                  <c:v>46</c:v>
                </c:pt>
                <c:pt idx="38">
                  <c:v>47</c:v>
                </c:pt>
                <c:pt idx="39">
                  <c:v>48</c:v>
                </c:pt>
                <c:pt idx="40">
                  <c:v>49</c:v>
                </c:pt>
                <c:pt idx="41">
                  <c:v>50</c:v>
                </c:pt>
              </c:numCache>
            </c:numRef>
          </c:xVal>
          <c:yVal>
            <c:numRef>
              <c:f>Summary!$B$94:$B$135</c:f>
              <c:numCache>
                <c:formatCode>0.00</c:formatCode>
                <c:ptCount val="42"/>
                <c:pt idx="0">
                  <c:v>1</c:v>
                </c:pt>
                <c:pt idx="1">
                  <c:v>1</c:v>
                </c:pt>
                <c:pt idx="2" formatCode="General">
                  <c:v>0.99969541350954794</c:v>
                </c:pt>
                <c:pt idx="3" formatCode="General">
                  <c:v>0.99878202512991221</c:v>
                </c:pt>
                <c:pt idx="4" formatCode="General">
                  <c:v>0.99726094768413653</c:v>
                </c:pt>
                <c:pt idx="5" formatCode="General">
                  <c:v>0.99513403437078507</c:v>
                </c:pt>
                <c:pt idx="6" formatCode="General">
                  <c:v>0.99240387650610407</c:v>
                </c:pt>
                <c:pt idx="7" formatCode="General">
                  <c:v>0.98907380036690273</c:v>
                </c:pt>
                <c:pt idx="8" formatCode="General">
                  <c:v>0.98514786313799818</c:v>
                </c:pt>
                <c:pt idx="9" formatCode="General">
                  <c:v>0.98063084796915956</c:v>
                </c:pt>
                <c:pt idx="10" formatCode="General">
                  <c:v>0.97552825814757682</c:v>
                </c:pt>
                <c:pt idx="11" formatCode="General">
                  <c:v>0.9698463103929541</c:v>
                </c:pt>
                <c:pt idx="12" formatCode="General">
                  <c:v>0.96359192728339371</c:v>
                </c:pt>
                <c:pt idx="13" formatCode="General">
                  <c:v>0.9567727288213006</c:v>
                </c:pt>
                <c:pt idx="14" formatCode="General">
                  <c:v>0.94939702314958352</c:v>
                </c:pt>
                <c:pt idx="15" formatCode="General">
                  <c:v>0.94147379642946349</c:v>
                </c:pt>
                <c:pt idx="16" formatCode="General">
                  <c:v>0.93301270189221941</c:v>
                </c:pt>
                <c:pt idx="17" formatCode="General">
                  <c:v>0.92402404807821303</c:v>
                </c:pt>
                <c:pt idx="18" formatCode="General">
                  <c:v>0.91451878627752081</c:v>
                </c:pt>
                <c:pt idx="19" formatCode="General">
                  <c:v>0.90450849718747361</c:v>
                </c:pt>
                <c:pt idx="20" formatCode="General">
                  <c:v>0.89400537680336101</c:v>
                </c:pt>
                <c:pt idx="21" formatCode="General">
                  <c:v>0.88302222155948906</c:v>
                </c:pt>
                <c:pt idx="22" formatCode="General">
                  <c:v>0.87157241273869712</c:v>
                </c:pt>
                <c:pt idx="23" formatCode="General">
                  <c:v>0.85966990016932565</c:v>
                </c:pt>
                <c:pt idx="24" formatCode="General">
                  <c:v>0.84732918522949874</c:v>
                </c:pt>
                <c:pt idx="25" formatCode="General">
                  <c:v>0.83456530317942901</c:v>
                </c:pt>
                <c:pt idx="26" formatCode="General">
                  <c:v>0.82139380484326963</c:v>
                </c:pt>
                <c:pt idx="27" formatCode="General">
                  <c:v>0.8078307376628292</c:v>
                </c:pt>
                <c:pt idx="28" formatCode="General">
                  <c:v>0.79389262614623668</c:v>
                </c:pt>
                <c:pt idx="29" formatCode="General">
                  <c:v>0.77959645173537351</c:v>
                </c:pt>
                <c:pt idx="30" formatCode="General">
                  <c:v>0.76495963211660234</c:v>
                </c:pt>
                <c:pt idx="31" formatCode="General">
                  <c:v>0.75000000000000011</c:v>
                </c:pt>
                <c:pt idx="32" formatCode="General">
                  <c:v>0.73473578139294549</c:v>
                </c:pt>
                <c:pt idx="33" formatCode="General">
                  <c:v>0.7191855733945387</c:v>
                </c:pt>
                <c:pt idx="34" formatCode="General">
                  <c:v>0.70336832153790019</c:v>
                </c:pt>
                <c:pt idx="35" formatCode="General">
                  <c:v>0.68730329670795587</c:v>
                </c:pt>
                <c:pt idx="36" formatCode="General">
                  <c:v>0.67101007166283433</c:v>
                </c:pt>
                <c:pt idx="37" formatCode="General">
                  <c:v>0.65450849718747373</c:v>
                </c:pt>
                <c:pt idx="38" formatCode="General">
                  <c:v>0.63781867790849955</c:v>
                </c:pt>
                <c:pt idx="39" formatCode="General">
                  <c:v>0.62096094779983391</c:v>
                </c:pt>
                <c:pt idx="40" formatCode="General">
                  <c:v>0.6039558454088797</c:v>
                </c:pt>
                <c:pt idx="41" formatCode="General">
                  <c:v>0.58682408883346515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3794432"/>
        <c:axId val="43796352"/>
      </c:scatterChart>
      <c:valAx>
        <c:axId val="43794432"/>
        <c:scaling>
          <c:orientation val="minMax"/>
          <c:max val="60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nl-NL" sz="160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Angle of wave attack </a:t>
                </a:r>
                <a:r>
                  <a:rPr lang="nl-NL" sz="1600" b="1" i="0" u="none" strike="noStrike" baseline="0">
                    <a:solidFill>
                      <a:srgbClr val="000000"/>
                    </a:solidFill>
                    <a:latin typeface="Symbol"/>
                  </a:rPr>
                  <a:t>b</a:t>
                </a:r>
                <a:r>
                  <a:rPr lang="nl-NL" sz="160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(degr)</a:t>
                </a:r>
              </a:p>
            </c:rich>
          </c:tx>
          <c:layout>
            <c:manualLayout>
              <c:xMode val="edge"/>
              <c:yMode val="edge"/>
              <c:x val="0.30535318121731164"/>
              <c:y val="0.9238945485796576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in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nl-NL"/>
          </a:p>
        </c:txPr>
        <c:crossAx val="43796352"/>
        <c:crosses val="autoZero"/>
        <c:crossBetween val="midCat"/>
      </c:valAx>
      <c:valAx>
        <c:axId val="43796352"/>
        <c:scaling>
          <c:orientation val="minMax"/>
          <c:max val="1.2"/>
        </c:scaling>
        <c:delete val="0"/>
        <c:axPos val="l"/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nl-NL" sz="160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Influence factor </a:t>
                </a:r>
                <a:r>
                  <a:rPr lang="nl-NL" sz="1600" b="1" i="0" u="none" strike="noStrike" baseline="0">
                    <a:solidFill>
                      <a:srgbClr val="000000"/>
                    </a:solidFill>
                    <a:latin typeface="Symbol"/>
                  </a:rPr>
                  <a:t>g</a:t>
                </a:r>
              </a:p>
            </c:rich>
          </c:tx>
          <c:layout>
            <c:manualLayout>
              <c:xMode val="edge"/>
              <c:yMode val="edge"/>
              <c:x val="6.082725060827251E-3"/>
              <c:y val="0.31327452210066697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in"/>
        <c:minorTickMark val="in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nl-NL"/>
          </a:p>
        </c:txPr>
        <c:crossAx val="43794432"/>
        <c:crossesAt val="0"/>
        <c:crossBetween val="midCat"/>
      </c:valAx>
      <c:spPr>
        <a:noFill/>
        <a:ln w="3175">
          <a:solidFill>
            <a:srgbClr val="000000"/>
          </a:solidFill>
          <a:prstDash val="solid"/>
        </a:ln>
      </c:spPr>
    </c:plotArea>
    <c:legend>
      <c:legendPos val="r"/>
      <c:legendEntry>
        <c:idx val="6"/>
        <c:delete val="1"/>
      </c:legendEntry>
      <c:layout>
        <c:manualLayout>
          <c:xMode val="edge"/>
          <c:yMode val="edge"/>
          <c:x val="0.17153310215785084"/>
          <c:y val="0.486726035351776"/>
          <c:w val="0.19951363743765621"/>
          <c:h val="0.2566373539590737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nl-NL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nl-NL"/>
    </a:p>
  </c:txPr>
  <c:printSettings>
    <c:headerFooter alignWithMargins="0"/>
    <c:pageMargins b="1" l="0.75000000000000056" r="0.75000000000000056" t="1" header="0.5" footer="0.5"/>
    <c:pageSetup paperSize="9" orientation="landscape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nl-NL"/>
              <a:t>No currents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57589916645034"/>
          <c:y val="8.4763686454086898E-2"/>
          <c:w val="0.85920644534817825"/>
          <c:h val="0.74557714860110569"/>
        </c:manualLayout>
      </c:layout>
      <c:scatterChart>
        <c:scatterStyle val="lineMarker"/>
        <c:varyColors val="0"/>
        <c:ser>
          <c:idx val="2"/>
          <c:order val="0"/>
          <c:tx>
            <c:v>cos(B-10)^2</c:v>
          </c:tx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Summary!$A$94:$A$135</c:f>
              <c:numCache>
                <c:formatCode>General</c:formatCode>
                <c:ptCount val="42"/>
                <c:pt idx="0">
                  <c:v>0</c:v>
                </c:pt>
                <c:pt idx="1">
                  <c:v>10</c:v>
                </c:pt>
                <c:pt idx="2">
                  <c:v>11</c:v>
                </c:pt>
                <c:pt idx="3">
                  <c:v>12</c:v>
                </c:pt>
                <c:pt idx="4">
                  <c:v>13</c:v>
                </c:pt>
                <c:pt idx="5">
                  <c:v>14</c:v>
                </c:pt>
                <c:pt idx="6">
                  <c:v>15</c:v>
                </c:pt>
                <c:pt idx="7">
                  <c:v>16</c:v>
                </c:pt>
                <c:pt idx="8">
                  <c:v>17</c:v>
                </c:pt>
                <c:pt idx="9">
                  <c:v>18</c:v>
                </c:pt>
                <c:pt idx="10">
                  <c:v>19</c:v>
                </c:pt>
                <c:pt idx="11">
                  <c:v>20</c:v>
                </c:pt>
                <c:pt idx="12">
                  <c:v>21</c:v>
                </c:pt>
                <c:pt idx="13">
                  <c:v>22</c:v>
                </c:pt>
                <c:pt idx="14">
                  <c:v>23</c:v>
                </c:pt>
                <c:pt idx="15">
                  <c:v>24</c:v>
                </c:pt>
                <c:pt idx="16">
                  <c:v>25</c:v>
                </c:pt>
                <c:pt idx="17">
                  <c:v>26</c:v>
                </c:pt>
                <c:pt idx="18">
                  <c:v>27</c:v>
                </c:pt>
                <c:pt idx="19">
                  <c:v>28</c:v>
                </c:pt>
                <c:pt idx="20">
                  <c:v>29</c:v>
                </c:pt>
                <c:pt idx="21">
                  <c:v>30</c:v>
                </c:pt>
                <c:pt idx="22">
                  <c:v>31</c:v>
                </c:pt>
                <c:pt idx="23">
                  <c:v>32</c:v>
                </c:pt>
                <c:pt idx="24">
                  <c:v>33</c:v>
                </c:pt>
                <c:pt idx="25">
                  <c:v>34</c:v>
                </c:pt>
                <c:pt idx="26">
                  <c:v>35</c:v>
                </c:pt>
                <c:pt idx="27">
                  <c:v>36</c:v>
                </c:pt>
                <c:pt idx="28">
                  <c:v>37</c:v>
                </c:pt>
                <c:pt idx="29">
                  <c:v>38</c:v>
                </c:pt>
                <c:pt idx="30">
                  <c:v>39</c:v>
                </c:pt>
                <c:pt idx="31">
                  <c:v>40</c:v>
                </c:pt>
                <c:pt idx="32">
                  <c:v>41</c:v>
                </c:pt>
                <c:pt idx="33">
                  <c:v>42</c:v>
                </c:pt>
                <c:pt idx="34">
                  <c:v>43</c:v>
                </c:pt>
                <c:pt idx="35">
                  <c:v>44</c:v>
                </c:pt>
                <c:pt idx="36">
                  <c:v>45</c:v>
                </c:pt>
                <c:pt idx="37">
                  <c:v>46</c:v>
                </c:pt>
                <c:pt idx="38">
                  <c:v>47</c:v>
                </c:pt>
                <c:pt idx="39">
                  <c:v>48</c:v>
                </c:pt>
                <c:pt idx="40">
                  <c:v>49</c:v>
                </c:pt>
                <c:pt idx="41">
                  <c:v>50</c:v>
                </c:pt>
              </c:numCache>
            </c:numRef>
          </c:xVal>
          <c:yVal>
            <c:numRef>
              <c:f>Summary!$B$94:$B$135</c:f>
              <c:numCache>
                <c:formatCode>0.00</c:formatCode>
                <c:ptCount val="42"/>
                <c:pt idx="0">
                  <c:v>1</c:v>
                </c:pt>
                <c:pt idx="1">
                  <c:v>1</c:v>
                </c:pt>
                <c:pt idx="2" formatCode="General">
                  <c:v>0.99969541350954794</c:v>
                </c:pt>
                <c:pt idx="3" formatCode="General">
                  <c:v>0.99878202512991221</c:v>
                </c:pt>
                <c:pt idx="4" formatCode="General">
                  <c:v>0.99726094768413653</c:v>
                </c:pt>
                <c:pt idx="5" formatCode="General">
                  <c:v>0.99513403437078507</c:v>
                </c:pt>
                <c:pt idx="6" formatCode="General">
                  <c:v>0.99240387650610407</c:v>
                </c:pt>
                <c:pt idx="7" formatCode="General">
                  <c:v>0.98907380036690273</c:v>
                </c:pt>
                <c:pt idx="8" formatCode="General">
                  <c:v>0.98514786313799818</c:v>
                </c:pt>
                <c:pt idx="9" formatCode="General">
                  <c:v>0.98063084796915956</c:v>
                </c:pt>
                <c:pt idx="10" formatCode="General">
                  <c:v>0.97552825814757682</c:v>
                </c:pt>
                <c:pt idx="11" formatCode="General">
                  <c:v>0.9698463103929541</c:v>
                </c:pt>
                <c:pt idx="12" formatCode="General">
                  <c:v>0.96359192728339371</c:v>
                </c:pt>
                <c:pt idx="13" formatCode="General">
                  <c:v>0.9567727288213006</c:v>
                </c:pt>
                <c:pt idx="14" formatCode="General">
                  <c:v>0.94939702314958352</c:v>
                </c:pt>
                <c:pt idx="15" formatCode="General">
                  <c:v>0.94147379642946349</c:v>
                </c:pt>
                <c:pt idx="16" formatCode="General">
                  <c:v>0.93301270189221941</c:v>
                </c:pt>
                <c:pt idx="17" formatCode="General">
                  <c:v>0.92402404807821303</c:v>
                </c:pt>
                <c:pt idx="18" formatCode="General">
                  <c:v>0.91451878627752081</c:v>
                </c:pt>
                <c:pt idx="19" formatCode="General">
                  <c:v>0.90450849718747361</c:v>
                </c:pt>
                <c:pt idx="20" formatCode="General">
                  <c:v>0.89400537680336101</c:v>
                </c:pt>
                <c:pt idx="21" formatCode="General">
                  <c:v>0.88302222155948906</c:v>
                </c:pt>
                <c:pt idx="22" formatCode="General">
                  <c:v>0.87157241273869712</c:v>
                </c:pt>
                <c:pt idx="23" formatCode="General">
                  <c:v>0.85966990016932565</c:v>
                </c:pt>
                <c:pt idx="24" formatCode="General">
                  <c:v>0.84732918522949874</c:v>
                </c:pt>
                <c:pt idx="25" formatCode="General">
                  <c:v>0.83456530317942901</c:v>
                </c:pt>
                <c:pt idx="26" formatCode="General">
                  <c:v>0.82139380484326963</c:v>
                </c:pt>
                <c:pt idx="27" formatCode="General">
                  <c:v>0.8078307376628292</c:v>
                </c:pt>
                <c:pt idx="28" formatCode="General">
                  <c:v>0.79389262614623668</c:v>
                </c:pt>
                <c:pt idx="29" formatCode="General">
                  <c:v>0.77959645173537351</c:v>
                </c:pt>
                <c:pt idx="30" formatCode="General">
                  <c:v>0.76495963211660234</c:v>
                </c:pt>
                <c:pt idx="31" formatCode="General">
                  <c:v>0.75000000000000011</c:v>
                </c:pt>
                <c:pt idx="32" formatCode="General">
                  <c:v>0.73473578139294549</c:v>
                </c:pt>
                <c:pt idx="33" formatCode="General">
                  <c:v>0.7191855733945387</c:v>
                </c:pt>
                <c:pt idx="34" formatCode="General">
                  <c:v>0.70336832153790019</c:v>
                </c:pt>
                <c:pt idx="35" formatCode="General">
                  <c:v>0.68730329670795587</c:v>
                </c:pt>
                <c:pt idx="36" formatCode="General">
                  <c:v>0.67101007166283433</c:v>
                </c:pt>
                <c:pt idx="37" formatCode="General">
                  <c:v>0.65450849718747373</c:v>
                </c:pt>
                <c:pt idx="38" formatCode="General">
                  <c:v>0.63781867790849955</c:v>
                </c:pt>
                <c:pt idx="39" formatCode="General">
                  <c:v>0.62096094779983391</c:v>
                </c:pt>
                <c:pt idx="40" formatCode="General">
                  <c:v>0.6039558454088797</c:v>
                </c:pt>
                <c:pt idx="41" formatCode="General">
                  <c:v>0.58682408883346515</c:v>
                </c:pt>
              </c:numCache>
            </c:numRef>
          </c:yVal>
          <c:smooth val="0"/>
        </c:ser>
        <c:ser>
          <c:idx val="0"/>
          <c:order val="1"/>
          <c:tx>
            <c:v>Flowdike 1; 1:3 br</c:v>
          </c:tx>
          <c:spPr>
            <a:ln w="28575">
              <a:noFill/>
            </a:ln>
          </c:spPr>
          <c:marker>
            <c:symbol val="square"/>
            <c:size val="7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Summary!$AT$38:$AT$41</c:f>
              <c:numCache>
                <c:formatCode>General</c:formatCode>
                <c:ptCount val="4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45</c:v>
                </c:pt>
              </c:numCache>
            </c:numRef>
          </c:xVal>
          <c:yVal>
            <c:numRef>
              <c:f>Summary!$AW$38:$AW$41</c:f>
              <c:numCache>
                <c:formatCode>0.000</c:formatCode>
                <c:ptCount val="4"/>
                <c:pt idx="0">
                  <c:v>1</c:v>
                </c:pt>
                <c:pt idx="1">
                  <c:v>0.93738489871086561</c:v>
                </c:pt>
                <c:pt idx="2">
                  <c:v>0.83579638752052543</c:v>
                </c:pt>
                <c:pt idx="3">
                  <c:v>0.71791255289139633</c:v>
                </c:pt>
              </c:numCache>
            </c:numRef>
          </c:yVal>
          <c:smooth val="0"/>
        </c:ser>
        <c:ser>
          <c:idx val="1"/>
          <c:order val="2"/>
          <c:tx>
            <c:v> Flowdike 1; 1:3 non br</c:v>
          </c:tx>
          <c:spPr>
            <a:ln w="28575">
              <a:noFill/>
            </a:ln>
          </c:spPr>
          <c:marker>
            <c:symbol val="square"/>
            <c:size val="7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Summary!$AT$38:$AT$41</c:f>
              <c:numCache>
                <c:formatCode>General</c:formatCode>
                <c:ptCount val="4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45</c:v>
                </c:pt>
              </c:numCache>
            </c:numRef>
          </c:xVal>
          <c:yVal>
            <c:numRef>
              <c:f>Summary!$AY$38:$AY$41</c:f>
              <c:numCache>
                <c:formatCode>0.000</c:formatCode>
                <c:ptCount val="4"/>
                <c:pt idx="0">
                  <c:v>1</c:v>
                </c:pt>
                <c:pt idx="1">
                  <c:v>0.96193771626297564</c:v>
                </c:pt>
                <c:pt idx="2">
                  <c:v>0.82985074626865662</c:v>
                </c:pt>
                <c:pt idx="3">
                  <c:v>0.64055299539170507</c:v>
                </c:pt>
              </c:numCache>
            </c:numRef>
          </c:yVal>
          <c:smooth val="0"/>
        </c:ser>
        <c:ser>
          <c:idx val="3"/>
          <c:order val="3"/>
          <c:tx>
            <c:v> LWI 859; 1:6 br</c:v>
          </c:tx>
          <c:spPr>
            <a:ln w="28575">
              <a:noFill/>
            </a:ln>
          </c:spPr>
          <c:marker>
            <c:symbol val="diamond"/>
            <c:size val="7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xVal>
            <c:numRef>
              <c:f>Summary!$AB$39:$AB$45</c:f>
              <c:numCache>
                <c:formatCode>General</c:formatCode>
                <c:ptCount val="7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30</c:v>
                </c:pt>
                <c:pt idx="6">
                  <c:v>40</c:v>
                </c:pt>
              </c:numCache>
            </c:numRef>
          </c:xVal>
          <c:yVal>
            <c:numRef>
              <c:f>Summary!$AD$39:$AD$45</c:f>
              <c:numCache>
                <c:formatCode>0.000</c:formatCode>
                <c:ptCount val="7"/>
                <c:pt idx="0">
                  <c:v>1</c:v>
                </c:pt>
                <c:pt idx="1">
                  <c:v>0.94600330110822917</c:v>
                </c:pt>
                <c:pt idx="2">
                  <c:v>0.95478343645882902</c:v>
                </c:pt>
                <c:pt idx="3">
                  <c:v>0.9448893075836079</c:v>
                </c:pt>
                <c:pt idx="4">
                  <c:v>0.91598173515981729</c:v>
                </c:pt>
                <c:pt idx="5">
                  <c:v>0.84020942408376953</c:v>
                </c:pt>
                <c:pt idx="6">
                  <c:v>0.74739195230998501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3820160"/>
        <c:axId val="43822464"/>
      </c:scatterChart>
      <c:valAx>
        <c:axId val="43820160"/>
        <c:scaling>
          <c:orientation val="minMax"/>
          <c:max val="60"/>
        </c:scaling>
        <c:delete val="0"/>
        <c:axPos val="b"/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nl-NL" sz="160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Angle of wave attack |</a:t>
                </a:r>
                <a:r>
                  <a:rPr lang="nl-NL" sz="1600" b="1" i="0" u="none" strike="noStrike" baseline="0">
                    <a:solidFill>
                      <a:srgbClr val="000000"/>
                    </a:solidFill>
                    <a:latin typeface="Symbol"/>
                  </a:rPr>
                  <a:t>b|</a:t>
                </a:r>
                <a:r>
                  <a:rPr lang="nl-NL" sz="160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(degr)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in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nl-NL"/>
          </a:p>
        </c:txPr>
        <c:crossAx val="43822464"/>
        <c:crosses val="autoZero"/>
        <c:crossBetween val="midCat"/>
      </c:valAx>
      <c:valAx>
        <c:axId val="438224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nl-NL" sz="160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Influence factor </a:t>
                </a:r>
                <a:r>
                  <a:rPr lang="nl-NL" sz="1600" b="1" i="0" u="none" strike="noStrike" baseline="0">
                    <a:solidFill>
                      <a:srgbClr val="000000"/>
                    </a:solidFill>
                    <a:latin typeface="Symbol"/>
                  </a:rPr>
                  <a:t>g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0.0" sourceLinked="0"/>
        <c:majorTickMark val="in"/>
        <c:minorTickMark val="in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nl-NL"/>
          </a:p>
        </c:txPr>
        <c:crossAx val="43820160"/>
        <c:crosses val="autoZero"/>
        <c:crossBetween val="midCat"/>
      </c:valAx>
      <c:spPr>
        <a:noFill/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6730972730972718"/>
          <c:y val="0.54035110212993287"/>
          <c:w val="0.28730972730972776"/>
          <c:h val="0.17179197733026741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nl-NL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nl-NL"/>
    </a:p>
  </c:txPr>
  <c:printSettings>
    <c:headerFooter alignWithMargins="0"/>
    <c:pageMargins b="1" l="0.75000000000000056" r="0.75000000000000056" t="1" header="0.5" footer="0.5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nl-NL"/>
              <a:t>No currents</a:t>
            </a:r>
          </a:p>
        </c:rich>
      </c:tx>
      <c:layout>
        <c:manualLayout>
          <c:xMode val="edge"/>
          <c:yMode val="edge"/>
          <c:x val="0.44146367069969938"/>
          <c:y val="2.831858407079642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609756097560992"/>
          <c:y val="9.7345132743362844E-2"/>
          <c:w val="0.85243953652134963"/>
          <c:h val="0.74690330035199493"/>
        </c:manualLayout>
      </c:layout>
      <c:scatterChart>
        <c:scatterStyle val="lineMarker"/>
        <c:varyColors val="0"/>
        <c:ser>
          <c:idx val="2"/>
          <c:order val="0"/>
          <c:tx>
            <c:v>cos(B-10)^2</c:v>
          </c:tx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Summary!$A$94:$A$135</c:f>
              <c:numCache>
                <c:formatCode>General</c:formatCode>
                <c:ptCount val="42"/>
                <c:pt idx="0">
                  <c:v>0</c:v>
                </c:pt>
                <c:pt idx="1">
                  <c:v>10</c:v>
                </c:pt>
                <c:pt idx="2">
                  <c:v>11</c:v>
                </c:pt>
                <c:pt idx="3">
                  <c:v>12</c:v>
                </c:pt>
                <c:pt idx="4">
                  <c:v>13</c:v>
                </c:pt>
                <c:pt idx="5">
                  <c:v>14</c:v>
                </c:pt>
                <c:pt idx="6">
                  <c:v>15</c:v>
                </c:pt>
                <c:pt idx="7">
                  <c:v>16</c:v>
                </c:pt>
                <c:pt idx="8">
                  <c:v>17</c:v>
                </c:pt>
                <c:pt idx="9">
                  <c:v>18</c:v>
                </c:pt>
                <c:pt idx="10">
                  <c:v>19</c:v>
                </c:pt>
                <c:pt idx="11">
                  <c:v>20</c:v>
                </c:pt>
                <c:pt idx="12">
                  <c:v>21</c:v>
                </c:pt>
                <c:pt idx="13">
                  <c:v>22</c:v>
                </c:pt>
                <c:pt idx="14">
                  <c:v>23</c:v>
                </c:pt>
                <c:pt idx="15">
                  <c:v>24</c:v>
                </c:pt>
                <c:pt idx="16">
                  <c:v>25</c:v>
                </c:pt>
                <c:pt idx="17">
                  <c:v>26</c:v>
                </c:pt>
                <c:pt idx="18">
                  <c:v>27</c:v>
                </c:pt>
                <c:pt idx="19">
                  <c:v>28</c:v>
                </c:pt>
                <c:pt idx="20">
                  <c:v>29</c:v>
                </c:pt>
                <c:pt idx="21">
                  <c:v>30</c:v>
                </c:pt>
                <c:pt idx="22">
                  <c:v>31</c:v>
                </c:pt>
                <c:pt idx="23">
                  <c:v>32</c:v>
                </c:pt>
                <c:pt idx="24">
                  <c:v>33</c:v>
                </c:pt>
                <c:pt idx="25">
                  <c:v>34</c:v>
                </c:pt>
                <c:pt idx="26">
                  <c:v>35</c:v>
                </c:pt>
                <c:pt idx="27">
                  <c:v>36</c:v>
                </c:pt>
                <c:pt idx="28">
                  <c:v>37</c:v>
                </c:pt>
                <c:pt idx="29">
                  <c:v>38</c:v>
                </c:pt>
                <c:pt idx="30">
                  <c:v>39</c:v>
                </c:pt>
                <c:pt idx="31">
                  <c:v>40</c:v>
                </c:pt>
                <c:pt idx="32">
                  <c:v>41</c:v>
                </c:pt>
                <c:pt idx="33">
                  <c:v>42</c:v>
                </c:pt>
                <c:pt idx="34">
                  <c:v>43</c:v>
                </c:pt>
                <c:pt idx="35">
                  <c:v>44</c:v>
                </c:pt>
                <c:pt idx="36">
                  <c:v>45</c:v>
                </c:pt>
                <c:pt idx="37">
                  <c:v>46</c:v>
                </c:pt>
                <c:pt idx="38">
                  <c:v>47</c:v>
                </c:pt>
                <c:pt idx="39">
                  <c:v>48</c:v>
                </c:pt>
                <c:pt idx="40">
                  <c:v>49</c:v>
                </c:pt>
                <c:pt idx="41">
                  <c:v>50</c:v>
                </c:pt>
              </c:numCache>
            </c:numRef>
          </c:xVal>
          <c:yVal>
            <c:numRef>
              <c:f>Summary!$B$94:$B$135</c:f>
              <c:numCache>
                <c:formatCode>0.00</c:formatCode>
                <c:ptCount val="42"/>
                <c:pt idx="0">
                  <c:v>1</c:v>
                </c:pt>
                <c:pt idx="1">
                  <c:v>1</c:v>
                </c:pt>
                <c:pt idx="2" formatCode="General">
                  <c:v>0.99969541350954794</c:v>
                </c:pt>
                <c:pt idx="3" formatCode="General">
                  <c:v>0.99878202512991221</c:v>
                </c:pt>
                <c:pt idx="4" formatCode="General">
                  <c:v>0.99726094768413653</c:v>
                </c:pt>
                <c:pt idx="5" formatCode="General">
                  <c:v>0.99513403437078507</c:v>
                </c:pt>
                <c:pt idx="6" formatCode="General">
                  <c:v>0.99240387650610407</c:v>
                </c:pt>
                <c:pt idx="7" formatCode="General">
                  <c:v>0.98907380036690273</c:v>
                </c:pt>
                <c:pt idx="8" formatCode="General">
                  <c:v>0.98514786313799818</c:v>
                </c:pt>
                <c:pt idx="9" formatCode="General">
                  <c:v>0.98063084796915956</c:v>
                </c:pt>
                <c:pt idx="10" formatCode="General">
                  <c:v>0.97552825814757682</c:v>
                </c:pt>
                <c:pt idx="11" formatCode="General">
                  <c:v>0.9698463103929541</c:v>
                </c:pt>
                <c:pt idx="12" formatCode="General">
                  <c:v>0.96359192728339371</c:v>
                </c:pt>
                <c:pt idx="13" formatCode="General">
                  <c:v>0.9567727288213006</c:v>
                </c:pt>
                <c:pt idx="14" formatCode="General">
                  <c:v>0.94939702314958352</c:v>
                </c:pt>
                <c:pt idx="15" formatCode="General">
                  <c:v>0.94147379642946349</c:v>
                </c:pt>
                <c:pt idx="16" formatCode="General">
                  <c:v>0.93301270189221941</c:v>
                </c:pt>
                <c:pt idx="17" formatCode="General">
                  <c:v>0.92402404807821303</c:v>
                </c:pt>
                <c:pt idx="18" formatCode="General">
                  <c:v>0.91451878627752081</c:v>
                </c:pt>
                <c:pt idx="19" formatCode="General">
                  <c:v>0.90450849718747361</c:v>
                </c:pt>
                <c:pt idx="20" formatCode="General">
                  <c:v>0.89400537680336101</c:v>
                </c:pt>
                <c:pt idx="21" formatCode="General">
                  <c:v>0.88302222155948906</c:v>
                </c:pt>
                <c:pt idx="22" formatCode="General">
                  <c:v>0.87157241273869712</c:v>
                </c:pt>
                <c:pt idx="23" formatCode="General">
                  <c:v>0.85966990016932565</c:v>
                </c:pt>
                <c:pt idx="24" formatCode="General">
                  <c:v>0.84732918522949874</c:v>
                </c:pt>
                <c:pt idx="25" formatCode="General">
                  <c:v>0.83456530317942901</c:v>
                </c:pt>
                <c:pt idx="26" formatCode="General">
                  <c:v>0.82139380484326963</c:v>
                </c:pt>
                <c:pt idx="27" formatCode="General">
                  <c:v>0.8078307376628292</c:v>
                </c:pt>
                <c:pt idx="28" formatCode="General">
                  <c:v>0.79389262614623668</c:v>
                </c:pt>
                <c:pt idx="29" formatCode="General">
                  <c:v>0.77959645173537351</c:v>
                </c:pt>
                <c:pt idx="30" formatCode="General">
                  <c:v>0.76495963211660234</c:v>
                </c:pt>
                <c:pt idx="31" formatCode="General">
                  <c:v>0.75000000000000011</c:v>
                </c:pt>
                <c:pt idx="32" formatCode="General">
                  <c:v>0.73473578139294549</c:v>
                </c:pt>
                <c:pt idx="33" formatCode="General">
                  <c:v>0.7191855733945387</c:v>
                </c:pt>
                <c:pt idx="34" formatCode="General">
                  <c:v>0.70336832153790019</c:v>
                </c:pt>
                <c:pt idx="35" formatCode="General">
                  <c:v>0.68730329670795587</c:v>
                </c:pt>
                <c:pt idx="36" formatCode="General">
                  <c:v>0.67101007166283433</c:v>
                </c:pt>
                <c:pt idx="37" formatCode="General">
                  <c:v>0.65450849718747373</c:v>
                </c:pt>
                <c:pt idx="38" formatCode="General">
                  <c:v>0.63781867790849955</c:v>
                </c:pt>
                <c:pt idx="39" formatCode="General">
                  <c:v>0.62096094779983391</c:v>
                </c:pt>
                <c:pt idx="40" formatCode="General">
                  <c:v>0.6039558454088797</c:v>
                </c:pt>
                <c:pt idx="41" formatCode="General">
                  <c:v>0.58682408883346515</c:v>
                </c:pt>
              </c:numCache>
            </c:numRef>
          </c:yVal>
          <c:smooth val="0"/>
        </c:ser>
        <c:ser>
          <c:idx val="0"/>
          <c:order val="1"/>
          <c:tx>
            <c:v>Flowdike 1; 1:3 br</c:v>
          </c:tx>
          <c:spPr>
            <a:ln w="28575">
              <a:noFill/>
            </a:ln>
          </c:spPr>
          <c:marker>
            <c:symbol val="square"/>
            <c:size val="7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Summary!$AT$38:$AT$41</c:f>
              <c:numCache>
                <c:formatCode>General</c:formatCode>
                <c:ptCount val="4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45</c:v>
                </c:pt>
              </c:numCache>
            </c:numRef>
          </c:xVal>
          <c:yVal>
            <c:numRef>
              <c:f>Summary!$AW$38:$AW$41</c:f>
              <c:numCache>
                <c:formatCode>0.000</c:formatCode>
                <c:ptCount val="4"/>
                <c:pt idx="0">
                  <c:v>1</c:v>
                </c:pt>
                <c:pt idx="1">
                  <c:v>0.93738489871086561</c:v>
                </c:pt>
                <c:pt idx="2">
                  <c:v>0.83579638752052543</c:v>
                </c:pt>
                <c:pt idx="3">
                  <c:v>0.71791255289139633</c:v>
                </c:pt>
              </c:numCache>
            </c:numRef>
          </c:yVal>
          <c:smooth val="0"/>
        </c:ser>
        <c:ser>
          <c:idx val="1"/>
          <c:order val="2"/>
          <c:tx>
            <c:v>Flowdike 1; 1:3 non br</c:v>
          </c:tx>
          <c:spPr>
            <a:ln w="28575">
              <a:noFill/>
            </a:ln>
          </c:spPr>
          <c:marker>
            <c:symbol val="square"/>
            <c:size val="7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Summary!$AT$38:$AT$41</c:f>
              <c:numCache>
                <c:formatCode>General</c:formatCode>
                <c:ptCount val="4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45</c:v>
                </c:pt>
              </c:numCache>
            </c:numRef>
          </c:xVal>
          <c:yVal>
            <c:numRef>
              <c:f>Summary!$AY$38:$AY$41</c:f>
              <c:numCache>
                <c:formatCode>0.000</c:formatCode>
                <c:ptCount val="4"/>
                <c:pt idx="0">
                  <c:v>1</c:v>
                </c:pt>
                <c:pt idx="1">
                  <c:v>0.96193771626297564</c:v>
                </c:pt>
                <c:pt idx="2">
                  <c:v>0.82985074626865662</c:v>
                </c:pt>
                <c:pt idx="3">
                  <c:v>0.64055299539170507</c:v>
                </c:pt>
              </c:numCache>
            </c:numRef>
          </c:yVal>
          <c:smooth val="0"/>
        </c:ser>
        <c:ser>
          <c:idx val="3"/>
          <c:order val="3"/>
          <c:tx>
            <c:v>LWI 859; 1:6 br</c:v>
          </c:tx>
          <c:spPr>
            <a:ln w="28575">
              <a:noFill/>
            </a:ln>
          </c:spPr>
          <c:marker>
            <c:symbol val="diamond"/>
            <c:size val="7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xVal>
            <c:numRef>
              <c:f>Summary!$AB$39:$AB$45</c:f>
              <c:numCache>
                <c:formatCode>General</c:formatCode>
                <c:ptCount val="7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30</c:v>
                </c:pt>
                <c:pt idx="6">
                  <c:v>40</c:v>
                </c:pt>
              </c:numCache>
            </c:numRef>
          </c:xVal>
          <c:yVal>
            <c:numRef>
              <c:f>Summary!$AD$39:$AD$45</c:f>
              <c:numCache>
                <c:formatCode>0.000</c:formatCode>
                <c:ptCount val="7"/>
                <c:pt idx="0">
                  <c:v>1</c:v>
                </c:pt>
                <c:pt idx="1">
                  <c:v>0.94600330110822917</c:v>
                </c:pt>
                <c:pt idx="2">
                  <c:v>0.95478343645882902</c:v>
                </c:pt>
                <c:pt idx="3">
                  <c:v>0.9448893075836079</c:v>
                </c:pt>
                <c:pt idx="4">
                  <c:v>0.91598173515981729</c:v>
                </c:pt>
                <c:pt idx="5">
                  <c:v>0.84020942408376953</c:v>
                </c:pt>
                <c:pt idx="6">
                  <c:v>0.74739195230998501</c:v>
                </c:pt>
              </c:numCache>
            </c:numRef>
          </c:yVal>
          <c:smooth val="0"/>
        </c:ser>
        <c:ser>
          <c:idx val="4"/>
          <c:order val="4"/>
          <c:tx>
            <c:v>H638; 1:4 br</c:v>
          </c:tx>
          <c:spPr>
            <a:ln w="28575">
              <a:noFill/>
            </a:ln>
          </c:spPr>
          <c:marker>
            <c:symbol val="triangle"/>
            <c:size val="7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xVal>
            <c:numRef>
              <c:f>Summary!$AF$39:$AF$49</c:f>
              <c:numCache>
                <c:formatCode>General</c:formatCode>
                <c:ptCount val="1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30</c:v>
                </c:pt>
                <c:pt idx="6">
                  <c:v>40</c:v>
                </c:pt>
                <c:pt idx="7">
                  <c:v>50</c:v>
                </c:pt>
                <c:pt idx="8">
                  <c:v>60</c:v>
                </c:pt>
                <c:pt idx="9">
                  <c:v>70</c:v>
                </c:pt>
                <c:pt idx="10">
                  <c:v>80</c:v>
                </c:pt>
              </c:numCache>
            </c:numRef>
          </c:xVal>
          <c:yVal>
            <c:numRef>
              <c:f>Summary!$AH$39:$AH$49</c:f>
              <c:numCache>
                <c:formatCode>0.000</c:formatCode>
                <c:ptCount val="11"/>
                <c:pt idx="0">
                  <c:v>1</c:v>
                </c:pt>
                <c:pt idx="1">
                  <c:v>0.93486816214088952</c:v>
                </c:pt>
                <c:pt idx="2">
                  <c:v>0.95535893826663998</c:v>
                </c:pt>
                <c:pt idx="3">
                  <c:v>0.90391933028919336</c:v>
                </c:pt>
                <c:pt idx="4">
                  <c:v>0.88704256908140411</c:v>
                </c:pt>
                <c:pt idx="5">
                  <c:v>0.90737203972498104</c:v>
                </c:pt>
                <c:pt idx="6">
                  <c:v>0.72094081942336885</c:v>
                </c:pt>
                <c:pt idx="7">
                  <c:v>0.69621922626025801</c:v>
                </c:pt>
                <c:pt idx="8">
                  <c:v>0.49764323871373206</c:v>
                </c:pt>
                <c:pt idx="9">
                  <c:v>0.56741908515466388</c:v>
                </c:pt>
                <c:pt idx="10">
                  <c:v>0.77656096763648252</c:v>
                </c:pt>
              </c:numCache>
            </c:numRef>
          </c:yVal>
          <c:smooth val="0"/>
        </c:ser>
        <c:ser>
          <c:idx val="5"/>
          <c:order val="5"/>
          <c:spPr>
            <a:ln w="38100">
              <a:solidFill>
                <a:srgbClr val="000000"/>
              </a:solidFill>
              <a:prstDash val="lgDash"/>
            </a:ln>
          </c:spPr>
          <c:marker>
            <c:symbol val="none"/>
          </c:marker>
          <c:xVal>
            <c:numRef>
              <c:f>Summary!$AA$47:$AA$48</c:f>
              <c:numCache>
                <c:formatCode>General</c:formatCode>
                <c:ptCount val="2"/>
                <c:pt idx="0">
                  <c:v>49</c:v>
                </c:pt>
                <c:pt idx="1">
                  <c:v>85</c:v>
                </c:pt>
              </c:numCache>
            </c:numRef>
          </c:xVal>
          <c:yVal>
            <c:numRef>
              <c:f>Summary!$AB$47:$AB$48</c:f>
              <c:numCache>
                <c:formatCode>General</c:formatCode>
                <c:ptCount val="2"/>
                <c:pt idx="0">
                  <c:v>0.6</c:v>
                </c:pt>
                <c:pt idx="1">
                  <c:v>0.6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3877120"/>
        <c:axId val="43879040"/>
      </c:scatterChart>
      <c:valAx>
        <c:axId val="43877120"/>
        <c:scaling>
          <c:orientation val="minMax"/>
          <c:max val="90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nl-NL" sz="160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Angle of wave attack |</a:t>
                </a:r>
                <a:r>
                  <a:rPr lang="nl-NL" sz="1600" b="1" i="0" u="none" strike="noStrike" baseline="0">
                    <a:solidFill>
                      <a:srgbClr val="000000"/>
                    </a:solidFill>
                    <a:latin typeface="Symbol"/>
                  </a:rPr>
                  <a:t>b|</a:t>
                </a:r>
                <a:r>
                  <a:rPr lang="nl-NL" sz="160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(degr)</a:t>
                </a:r>
              </a:p>
            </c:rich>
          </c:tx>
          <c:layout>
            <c:manualLayout>
              <c:xMode val="edge"/>
              <c:yMode val="edge"/>
              <c:x val="0.30487817681326479"/>
              <c:y val="0.9238945485796576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in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nl-NL"/>
          </a:p>
        </c:txPr>
        <c:crossAx val="43879040"/>
        <c:crosses val="autoZero"/>
        <c:crossBetween val="midCat"/>
      </c:valAx>
      <c:valAx>
        <c:axId val="438790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nl-NL" sz="160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Influence factor </a:t>
                </a:r>
                <a:r>
                  <a:rPr lang="nl-NL" sz="1600" b="1" i="0" u="none" strike="noStrike" baseline="0">
                    <a:solidFill>
                      <a:srgbClr val="000000"/>
                    </a:solidFill>
                    <a:latin typeface="Symbol"/>
                  </a:rPr>
                  <a:t>g</a:t>
                </a:r>
              </a:p>
            </c:rich>
          </c:tx>
          <c:layout>
            <c:manualLayout>
              <c:xMode val="edge"/>
              <c:yMode val="edge"/>
              <c:x val="6.0975609756097563E-3"/>
              <c:y val="0.31327452210066697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in"/>
        <c:minorTickMark val="in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nl-NL"/>
          </a:p>
        </c:txPr>
        <c:crossAx val="43877120"/>
        <c:crosses val="autoZero"/>
        <c:crossBetween val="midCat"/>
      </c:valAx>
      <c:spPr>
        <a:noFill/>
        <a:ln w="3175">
          <a:solidFill>
            <a:srgbClr val="000000"/>
          </a:solidFill>
          <a:prstDash val="solid"/>
        </a:ln>
      </c:spPr>
    </c:plotArea>
    <c:legend>
      <c:legendPos val="r"/>
      <c:legendEntry>
        <c:idx val="5"/>
        <c:delete val="1"/>
      </c:legendEntry>
      <c:layout>
        <c:manualLayout>
          <c:xMode val="edge"/>
          <c:yMode val="edge"/>
          <c:x val="0.18821151014659773"/>
          <c:y val="0.51740450142847183"/>
          <c:w val="0.24918711990269521"/>
          <c:h val="0.2353984159059764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nl-NL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nl-NL"/>
    </a:p>
  </c:txPr>
  <c:printSettings>
    <c:headerFooter alignWithMargins="0"/>
    <c:pageMargins b="1" l="0.75000000000000056" r="0.75000000000000056" t="1" header="0.5" footer="0.5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nl-NL"/>
              <a:t>No currents</a:t>
            </a:r>
          </a:p>
        </c:rich>
      </c:tx>
      <c:layout>
        <c:manualLayout>
          <c:xMode val="edge"/>
          <c:yMode val="edge"/>
          <c:x val="0.44146367069969938"/>
          <c:y val="2.831863331571183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121957246782849"/>
          <c:y val="9.7345216870520529E-2"/>
          <c:w val="0.84918750400102427"/>
          <c:h val="0.74690330035199493"/>
        </c:manualLayout>
      </c:layout>
      <c:scatterChart>
        <c:scatterStyle val="lineMarker"/>
        <c:varyColors val="0"/>
        <c:ser>
          <c:idx val="2"/>
          <c:order val="0"/>
          <c:tx>
            <c:v>cos(B-10)^2</c:v>
          </c:tx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Summary!$A$94:$A$135</c:f>
              <c:numCache>
                <c:formatCode>General</c:formatCode>
                <c:ptCount val="42"/>
                <c:pt idx="0">
                  <c:v>0</c:v>
                </c:pt>
                <c:pt idx="1">
                  <c:v>10</c:v>
                </c:pt>
                <c:pt idx="2">
                  <c:v>11</c:v>
                </c:pt>
                <c:pt idx="3">
                  <c:v>12</c:v>
                </c:pt>
                <c:pt idx="4">
                  <c:v>13</c:v>
                </c:pt>
                <c:pt idx="5">
                  <c:v>14</c:v>
                </c:pt>
                <c:pt idx="6">
                  <c:v>15</c:v>
                </c:pt>
                <c:pt idx="7">
                  <c:v>16</c:v>
                </c:pt>
                <c:pt idx="8">
                  <c:v>17</c:v>
                </c:pt>
                <c:pt idx="9">
                  <c:v>18</c:v>
                </c:pt>
                <c:pt idx="10">
                  <c:v>19</c:v>
                </c:pt>
                <c:pt idx="11">
                  <c:v>20</c:v>
                </c:pt>
                <c:pt idx="12">
                  <c:v>21</c:v>
                </c:pt>
                <c:pt idx="13">
                  <c:v>22</c:v>
                </c:pt>
                <c:pt idx="14">
                  <c:v>23</c:v>
                </c:pt>
                <c:pt idx="15">
                  <c:v>24</c:v>
                </c:pt>
                <c:pt idx="16">
                  <c:v>25</c:v>
                </c:pt>
                <c:pt idx="17">
                  <c:v>26</c:v>
                </c:pt>
                <c:pt idx="18">
                  <c:v>27</c:v>
                </c:pt>
                <c:pt idx="19">
                  <c:v>28</c:v>
                </c:pt>
                <c:pt idx="20">
                  <c:v>29</c:v>
                </c:pt>
                <c:pt idx="21">
                  <c:v>30</c:v>
                </c:pt>
                <c:pt idx="22">
                  <c:v>31</c:v>
                </c:pt>
                <c:pt idx="23">
                  <c:v>32</c:v>
                </c:pt>
                <c:pt idx="24">
                  <c:v>33</c:v>
                </c:pt>
                <c:pt idx="25">
                  <c:v>34</c:v>
                </c:pt>
                <c:pt idx="26">
                  <c:v>35</c:v>
                </c:pt>
                <c:pt idx="27">
                  <c:v>36</c:v>
                </c:pt>
                <c:pt idx="28">
                  <c:v>37</c:v>
                </c:pt>
                <c:pt idx="29">
                  <c:v>38</c:v>
                </c:pt>
                <c:pt idx="30">
                  <c:v>39</c:v>
                </c:pt>
                <c:pt idx="31">
                  <c:v>40</c:v>
                </c:pt>
                <c:pt idx="32">
                  <c:v>41</c:v>
                </c:pt>
                <c:pt idx="33">
                  <c:v>42</c:v>
                </c:pt>
                <c:pt idx="34">
                  <c:v>43</c:v>
                </c:pt>
                <c:pt idx="35">
                  <c:v>44</c:v>
                </c:pt>
                <c:pt idx="36">
                  <c:v>45</c:v>
                </c:pt>
                <c:pt idx="37">
                  <c:v>46</c:v>
                </c:pt>
                <c:pt idx="38">
                  <c:v>47</c:v>
                </c:pt>
                <c:pt idx="39">
                  <c:v>48</c:v>
                </c:pt>
                <c:pt idx="40">
                  <c:v>49</c:v>
                </c:pt>
                <c:pt idx="41">
                  <c:v>50</c:v>
                </c:pt>
              </c:numCache>
            </c:numRef>
          </c:xVal>
          <c:yVal>
            <c:numRef>
              <c:f>Summary!$B$94:$B$135</c:f>
              <c:numCache>
                <c:formatCode>0.00</c:formatCode>
                <c:ptCount val="42"/>
                <c:pt idx="0">
                  <c:v>1</c:v>
                </c:pt>
                <c:pt idx="1">
                  <c:v>1</c:v>
                </c:pt>
                <c:pt idx="2" formatCode="General">
                  <c:v>0.99969541350954794</c:v>
                </c:pt>
                <c:pt idx="3" formatCode="General">
                  <c:v>0.99878202512991221</c:v>
                </c:pt>
                <c:pt idx="4" formatCode="General">
                  <c:v>0.99726094768413653</c:v>
                </c:pt>
                <c:pt idx="5" formatCode="General">
                  <c:v>0.99513403437078507</c:v>
                </c:pt>
                <c:pt idx="6" formatCode="General">
                  <c:v>0.99240387650610407</c:v>
                </c:pt>
                <c:pt idx="7" formatCode="General">
                  <c:v>0.98907380036690273</c:v>
                </c:pt>
                <c:pt idx="8" formatCode="General">
                  <c:v>0.98514786313799818</c:v>
                </c:pt>
                <c:pt idx="9" formatCode="General">
                  <c:v>0.98063084796915956</c:v>
                </c:pt>
                <c:pt idx="10" formatCode="General">
                  <c:v>0.97552825814757682</c:v>
                </c:pt>
                <c:pt idx="11" formatCode="General">
                  <c:v>0.9698463103929541</c:v>
                </c:pt>
                <c:pt idx="12" formatCode="General">
                  <c:v>0.96359192728339371</c:v>
                </c:pt>
                <c:pt idx="13" formatCode="General">
                  <c:v>0.9567727288213006</c:v>
                </c:pt>
                <c:pt idx="14" formatCode="General">
                  <c:v>0.94939702314958352</c:v>
                </c:pt>
                <c:pt idx="15" formatCode="General">
                  <c:v>0.94147379642946349</c:v>
                </c:pt>
                <c:pt idx="16" formatCode="General">
                  <c:v>0.93301270189221941</c:v>
                </c:pt>
                <c:pt idx="17" formatCode="General">
                  <c:v>0.92402404807821303</c:v>
                </c:pt>
                <c:pt idx="18" formatCode="General">
                  <c:v>0.91451878627752081</c:v>
                </c:pt>
                <c:pt idx="19" formatCode="General">
                  <c:v>0.90450849718747361</c:v>
                </c:pt>
                <c:pt idx="20" formatCode="General">
                  <c:v>0.89400537680336101</c:v>
                </c:pt>
                <c:pt idx="21" formatCode="General">
                  <c:v>0.88302222155948906</c:v>
                </c:pt>
                <c:pt idx="22" formatCode="General">
                  <c:v>0.87157241273869712</c:v>
                </c:pt>
                <c:pt idx="23" formatCode="General">
                  <c:v>0.85966990016932565</c:v>
                </c:pt>
                <c:pt idx="24" formatCode="General">
                  <c:v>0.84732918522949874</c:v>
                </c:pt>
                <c:pt idx="25" formatCode="General">
                  <c:v>0.83456530317942901</c:v>
                </c:pt>
                <c:pt idx="26" formatCode="General">
                  <c:v>0.82139380484326963</c:v>
                </c:pt>
                <c:pt idx="27" formatCode="General">
                  <c:v>0.8078307376628292</c:v>
                </c:pt>
                <c:pt idx="28" formatCode="General">
                  <c:v>0.79389262614623668</c:v>
                </c:pt>
                <c:pt idx="29" formatCode="General">
                  <c:v>0.77959645173537351</c:v>
                </c:pt>
                <c:pt idx="30" formatCode="General">
                  <c:v>0.76495963211660234</c:v>
                </c:pt>
                <c:pt idx="31" formatCode="General">
                  <c:v>0.75000000000000011</c:v>
                </c:pt>
                <c:pt idx="32" formatCode="General">
                  <c:v>0.73473578139294549</c:v>
                </c:pt>
                <c:pt idx="33" formatCode="General">
                  <c:v>0.7191855733945387</c:v>
                </c:pt>
                <c:pt idx="34" formatCode="General">
                  <c:v>0.70336832153790019</c:v>
                </c:pt>
                <c:pt idx="35" formatCode="General">
                  <c:v>0.68730329670795587</c:v>
                </c:pt>
                <c:pt idx="36" formatCode="General">
                  <c:v>0.67101007166283433</c:v>
                </c:pt>
                <c:pt idx="37" formatCode="General">
                  <c:v>0.65450849718747373</c:v>
                </c:pt>
                <c:pt idx="38" formatCode="General">
                  <c:v>0.63781867790849955</c:v>
                </c:pt>
                <c:pt idx="39" formatCode="General">
                  <c:v>0.62096094779983391</c:v>
                </c:pt>
                <c:pt idx="40" formatCode="General">
                  <c:v>0.6039558454088797</c:v>
                </c:pt>
                <c:pt idx="41" formatCode="General">
                  <c:v>0.58682408883346515</c:v>
                </c:pt>
              </c:numCache>
            </c:numRef>
          </c:yVal>
          <c:smooth val="0"/>
        </c:ser>
        <c:ser>
          <c:idx val="0"/>
          <c:order val="1"/>
          <c:tx>
            <c:v>Flowdike 1; 1:3 br</c:v>
          </c:tx>
          <c:spPr>
            <a:ln w="28575">
              <a:noFill/>
            </a:ln>
          </c:spPr>
          <c:marker>
            <c:symbol val="square"/>
            <c:size val="7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Summary!$AT$38:$AT$41</c:f>
              <c:numCache>
                <c:formatCode>General</c:formatCode>
                <c:ptCount val="4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45</c:v>
                </c:pt>
              </c:numCache>
            </c:numRef>
          </c:xVal>
          <c:yVal>
            <c:numRef>
              <c:f>Summary!$AW$38:$AW$41</c:f>
              <c:numCache>
                <c:formatCode>0.000</c:formatCode>
                <c:ptCount val="4"/>
                <c:pt idx="0">
                  <c:v>1</c:v>
                </c:pt>
                <c:pt idx="1">
                  <c:v>0.93738489871086561</c:v>
                </c:pt>
                <c:pt idx="2">
                  <c:v>0.83579638752052543</c:v>
                </c:pt>
                <c:pt idx="3">
                  <c:v>0.71791255289139633</c:v>
                </c:pt>
              </c:numCache>
            </c:numRef>
          </c:yVal>
          <c:smooth val="0"/>
        </c:ser>
        <c:ser>
          <c:idx val="1"/>
          <c:order val="2"/>
          <c:tx>
            <c:v>Flowdike 1; 1:3 non br</c:v>
          </c:tx>
          <c:spPr>
            <a:ln w="28575">
              <a:noFill/>
            </a:ln>
          </c:spPr>
          <c:marker>
            <c:symbol val="square"/>
            <c:size val="7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Summary!$AT$38:$AT$41</c:f>
              <c:numCache>
                <c:formatCode>General</c:formatCode>
                <c:ptCount val="4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45</c:v>
                </c:pt>
              </c:numCache>
            </c:numRef>
          </c:xVal>
          <c:yVal>
            <c:numRef>
              <c:f>Summary!$AY$38:$AY$41</c:f>
              <c:numCache>
                <c:formatCode>0.000</c:formatCode>
                <c:ptCount val="4"/>
                <c:pt idx="0">
                  <c:v>1</c:v>
                </c:pt>
                <c:pt idx="1">
                  <c:v>0.96193771626297564</c:v>
                </c:pt>
                <c:pt idx="2">
                  <c:v>0.82985074626865662</c:v>
                </c:pt>
                <c:pt idx="3">
                  <c:v>0.64055299539170507</c:v>
                </c:pt>
              </c:numCache>
            </c:numRef>
          </c:yVal>
          <c:smooth val="0"/>
        </c:ser>
        <c:ser>
          <c:idx val="3"/>
          <c:order val="3"/>
          <c:tx>
            <c:v>LWI 859 br</c:v>
          </c:tx>
          <c:spPr>
            <a:ln w="28575">
              <a:noFill/>
            </a:ln>
          </c:spPr>
          <c:marker>
            <c:symbol val="diamond"/>
            <c:size val="7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xVal>
            <c:numRef>
              <c:f>Summary!$AB$39:$AB$45</c:f>
              <c:numCache>
                <c:formatCode>General</c:formatCode>
                <c:ptCount val="7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30</c:v>
                </c:pt>
                <c:pt idx="6">
                  <c:v>40</c:v>
                </c:pt>
              </c:numCache>
            </c:numRef>
          </c:xVal>
          <c:yVal>
            <c:numRef>
              <c:f>Summary!$AD$39:$AD$45</c:f>
              <c:numCache>
                <c:formatCode>0.000</c:formatCode>
                <c:ptCount val="7"/>
                <c:pt idx="0">
                  <c:v>1</c:v>
                </c:pt>
                <c:pt idx="1">
                  <c:v>0.94600330110822917</c:v>
                </c:pt>
                <c:pt idx="2">
                  <c:v>0.95478343645882902</c:v>
                </c:pt>
                <c:pt idx="3">
                  <c:v>0.9448893075836079</c:v>
                </c:pt>
                <c:pt idx="4">
                  <c:v>0.91598173515981729</c:v>
                </c:pt>
                <c:pt idx="5">
                  <c:v>0.84020942408376953</c:v>
                </c:pt>
                <c:pt idx="6">
                  <c:v>0.74739195230998501</c:v>
                </c:pt>
              </c:numCache>
            </c:numRef>
          </c:yVal>
          <c:smooth val="0"/>
        </c:ser>
        <c:ser>
          <c:idx val="4"/>
          <c:order val="4"/>
          <c:tx>
            <c:v>H638 1:4 br</c:v>
          </c:tx>
          <c:spPr>
            <a:ln w="28575">
              <a:noFill/>
            </a:ln>
          </c:spPr>
          <c:marker>
            <c:symbol val="triangle"/>
            <c:size val="7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xVal>
            <c:numRef>
              <c:f>Summary!$AF$39:$AF$47</c:f>
              <c:numCache>
                <c:formatCode>General</c:formatCode>
                <c:ptCount val="9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30</c:v>
                </c:pt>
                <c:pt idx="6">
                  <c:v>40</c:v>
                </c:pt>
                <c:pt idx="7">
                  <c:v>50</c:v>
                </c:pt>
                <c:pt idx="8">
                  <c:v>60</c:v>
                </c:pt>
              </c:numCache>
            </c:numRef>
          </c:xVal>
          <c:yVal>
            <c:numRef>
              <c:f>Summary!$AH$39:$AH$47</c:f>
              <c:numCache>
                <c:formatCode>0.000</c:formatCode>
                <c:ptCount val="9"/>
                <c:pt idx="0">
                  <c:v>1</c:v>
                </c:pt>
                <c:pt idx="1">
                  <c:v>0.93486816214088952</c:v>
                </c:pt>
                <c:pt idx="2">
                  <c:v>0.95535893826663998</c:v>
                </c:pt>
                <c:pt idx="3">
                  <c:v>0.90391933028919336</c:v>
                </c:pt>
                <c:pt idx="4">
                  <c:v>0.88704256908140411</c:v>
                </c:pt>
                <c:pt idx="5">
                  <c:v>0.90737203972498104</c:v>
                </c:pt>
                <c:pt idx="6">
                  <c:v>0.72094081942336885</c:v>
                </c:pt>
                <c:pt idx="7">
                  <c:v>0.69621922626025801</c:v>
                </c:pt>
                <c:pt idx="8">
                  <c:v>0.49764323871373206</c:v>
                </c:pt>
              </c:numCache>
            </c:numRef>
          </c:yVal>
          <c:smooth val="0"/>
        </c:ser>
        <c:ser>
          <c:idx val="5"/>
          <c:order val="5"/>
          <c:tx>
            <c:v>H638 1:4 non-br</c:v>
          </c:tx>
          <c:spPr>
            <a:ln w="28575">
              <a:noFill/>
            </a:ln>
          </c:spPr>
          <c:marker>
            <c:symbol val="triangle"/>
            <c:size val="7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xVal>
            <c:numRef>
              <c:f>Summary!$AI$39:$AI$42</c:f>
              <c:numCache>
                <c:formatCode>General</c:formatCode>
                <c:ptCount val="4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40</c:v>
                </c:pt>
              </c:numCache>
            </c:numRef>
          </c:xVal>
          <c:yVal>
            <c:numRef>
              <c:f>Summary!$AK$39:$AK$42</c:f>
              <c:numCache>
                <c:formatCode>0.000</c:formatCode>
                <c:ptCount val="4"/>
                <c:pt idx="0">
                  <c:v>1</c:v>
                </c:pt>
                <c:pt idx="1">
                  <c:v>0.80465421173385776</c:v>
                </c:pt>
                <c:pt idx="2">
                  <c:v>0.70851370851370854</c:v>
                </c:pt>
                <c:pt idx="3">
                  <c:v>0.67836418900248685</c:v>
                </c:pt>
              </c:numCache>
            </c:numRef>
          </c:yVal>
          <c:smooth val="0"/>
        </c:ser>
        <c:ser>
          <c:idx val="6"/>
          <c:order val="6"/>
          <c:tx>
            <c:v>H638 1:4+bemr br</c:v>
          </c:tx>
          <c:spPr>
            <a:ln w="28575">
              <a:noFill/>
            </a:ln>
          </c:spPr>
          <c:marker>
            <c:symbol val="circle"/>
            <c:size val="7"/>
            <c:spPr>
              <a:solidFill>
                <a:srgbClr val="FF6600"/>
              </a:solidFill>
              <a:ln>
                <a:solidFill>
                  <a:srgbClr val="FF6600"/>
                </a:solidFill>
                <a:prstDash val="solid"/>
              </a:ln>
            </c:spPr>
          </c:marker>
          <c:xVal>
            <c:numRef>
              <c:f>Summary!$AL$39:$AL$44</c:f>
              <c:numCache>
                <c:formatCode>General</c:formatCode>
                <c:ptCount val="6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</c:numCache>
            </c:numRef>
          </c:xVal>
          <c:yVal>
            <c:numRef>
              <c:f>Summary!$AN$39:$AN$44</c:f>
              <c:numCache>
                <c:formatCode>0.000</c:formatCode>
                <c:ptCount val="6"/>
                <c:pt idx="0">
                  <c:v>1</c:v>
                </c:pt>
                <c:pt idx="1">
                  <c:v>1.0144927536231882</c:v>
                </c:pt>
                <c:pt idx="2">
                  <c:v>1.0244402165959314</c:v>
                </c:pt>
                <c:pt idx="3">
                  <c:v>0.92238766635920411</c:v>
                </c:pt>
                <c:pt idx="4">
                  <c:v>0.84104289318755254</c:v>
                </c:pt>
                <c:pt idx="5">
                  <c:v>0.74563272262462721</c:v>
                </c:pt>
              </c:numCache>
            </c:numRef>
          </c:yVal>
          <c:smooth val="0"/>
        </c:ser>
        <c:ser>
          <c:idx val="7"/>
          <c:order val="7"/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Summary!$Z$47:$Z$48</c:f>
              <c:numCache>
                <c:formatCode>General</c:formatCode>
                <c:ptCount val="2"/>
                <c:pt idx="0">
                  <c:v>49</c:v>
                </c:pt>
                <c:pt idx="1">
                  <c:v>60</c:v>
                </c:pt>
              </c:numCache>
            </c:numRef>
          </c:xVal>
          <c:yVal>
            <c:numRef>
              <c:f>Summary!$AB$47:$AB$48</c:f>
              <c:numCache>
                <c:formatCode>General</c:formatCode>
                <c:ptCount val="2"/>
                <c:pt idx="0">
                  <c:v>0.6</c:v>
                </c:pt>
                <c:pt idx="1">
                  <c:v>0.6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3939712"/>
        <c:axId val="43970560"/>
      </c:scatterChart>
      <c:valAx>
        <c:axId val="43939712"/>
        <c:scaling>
          <c:orientation val="minMax"/>
          <c:max val="60"/>
        </c:scaling>
        <c:delete val="0"/>
        <c:axPos val="b"/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nl-NL" sz="160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Angle of wave attack |</a:t>
                </a:r>
                <a:r>
                  <a:rPr lang="nl-NL" sz="1600" b="1" i="0" u="none" strike="noStrike" baseline="0">
                    <a:solidFill>
                      <a:srgbClr val="000000"/>
                    </a:solidFill>
                    <a:latin typeface="Symbol"/>
                  </a:rPr>
                  <a:t>b|</a:t>
                </a:r>
                <a:r>
                  <a:rPr lang="nl-NL" sz="160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(degr)</a:t>
                </a:r>
              </a:p>
            </c:rich>
          </c:tx>
          <c:layout>
            <c:manualLayout>
              <c:xMode val="edge"/>
              <c:yMode val="edge"/>
              <c:x val="0.30487817681326479"/>
              <c:y val="0.9238945308514886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in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nl-NL"/>
          </a:p>
        </c:txPr>
        <c:crossAx val="43970560"/>
        <c:crosses val="autoZero"/>
        <c:crossBetween val="midCat"/>
      </c:valAx>
      <c:valAx>
        <c:axId val="4397056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nl-NL" sz="160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Influence factor </a:t>
                </a:r>
                <a:r>
                  <a:rPr lang="nl-NL" sz="1600" b="1" i="0" u="none" strike="noStrike" baseline="0">
                    <a:solidFill>
                      <a:srgbClr val="000000"/>
                    </a:solidFill>
                    <a:latin typeface="Symbol"/>
                  </a:rPr>
                  <a:t>g</a:t>
                </a:r>
              </a:p>
            </c:rich>
          </c:tx>
          <c:layout>
            <c:manualLayout>
              <c:xMode val="edge"/>
              <c:yMode val="edge"/>
              <c:x val="6.0975609756097563E-3"/>
              <c:y val="0.31327453326284826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in"/>
        <c:minorTickMark val="in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nl-NL"/>
          </a:p>
        </c:txPr>
        <c:crossAx val="43939712"/>
        <c:crosses val="autoZero"/>
        <c:crossBetween val="midCat"/>
      </c:valAx>
      <c:spPr>
        <a:noFill/>
        <a:ln w="3175">
          <a:solidFill>
            <a:srgbClr val="000000"/>
          </a:solidFill>
          <a:prstDash val="solid"/>
        </a:ln>
      </c:spPr>
    </c:plotArea>
    <c:legend>
      <c:legendPos val="r"/>
      <c:legendEntry>
        <c:idx val="7"/>
        <c:delete val="1"/>
      </c:legendEntry>
      <c:layout>
        <c:manualLayout>
          <c:xMode val="edge"/>
          <c:yMode val="edge"/>
          <c:x val="0.15243915242302056"/>
          <c:y val="0.48141620989955819"/>
          <c:w val="0.30650419307342708"/>
          <c:h val="0.2991152166049915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nl-NL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nl-NL"/>
    </a:p>
  </c:txPr>
  <c:printSettings>
    <c:headerFooter alignWithMargins="0"/>
    <c:pageMargins b="1" l="0.75000000000000056" r="0.75000000000000056" t="1" header="0.5" footer="0.5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nl-NL"/>
              <a:t>No currents</a:t>
            </a:r>
          </a:p>
        </c:rich>
      </c:tx>
      <c:layout>
        <c:manualLayout>
          <c:xMode val="edge"/>
          <c:yMode val="edge"/>
          <c:x val="0.44146367069969938"/>
          <c:y val="2.654869554733219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097567583822168"/>
          <c:y val="0.10088504293853974"/>
          <c:w val="0.85406555278151264"/>
          <c:h val="0.74690330035199493"/>
        </c:manualLayout>
      </c:layout>
      <c:scatterChart>
        <c:scatterStyle val="lineMarker"/>
        <c:varyColors val="0"/>
        <c:ser>
          <c:idx val="2"/>
          <c:order val="0"/>
          <c:tx>
            <c:v>cos(B-10)^2</c:v>
          </c:tx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Summary!$A$94:$A$135</c:f>
              <c:numCache>
                <c:formatCode>General</c:formatCode>
                <c:ptCount val="42"/>
                <c:pt idx="0">
                  <c:v>0</c:v>
                </c:pt>
                <c:pt idx="1">
                  <c:v>10</c:v>
                </c:pt>
                <c:pt idx="2">
                  <c:v>11</c:v>
                </c:pt>
                <c:pt idx="3">
                  <c:v>12</c:v>
                </c:pt>
                <c:pt idx="4">
                  <c:v>13</c:v>
                </c:pt>
                <c:pt idx="5">
                  <c:v>14</c:v>
                </c:pt>
                <c:pt idx="6">
                  <c:v>15</c:v>
                </c:pt>
                <c:pt idx="7">
                  <c:v>16</c:v>
                </c:pt>
                <c:pt idx="8">
                  <c:v>17</c:v>
                </c:pt>
                <c:pt idx="9">
                  <c:v>18</c:v>
                </c:pt>
                <c:pt idx="10">
                  <c:v>19</c:v>
                </c:pt>
                <c:pt idx="11">
                  <c:v>20</c:v>
                </c:pt>
                <c:pt idx="12">
                  <c:v>21</c:v>
                </c:pt>
                <c:pt idx="13">
                  <c:v>22</c:v>
                </c:pt>
                <c:pt idx="14">
                  <c:v>23</c:v>
                </c:pt>
                <c:pt idx="15">
                  <c:v>24</c:v>
                </c:pt>
                <c:pt idx="16">
                  <c:v>25</c:v>
                </c:pt>
                <c:pt idx="17">
                  <c:v>26</c:v>
                </c:pt>
                <c:pt idx="18">
                  <c:v>27</c:v>
                </c:pt>
                <c:pt idx="19">
                  <c:v>28</c:v>
                </c:pt>
                <c:pt idx="20">
                  <c:v>29</c:v>
                </c:pt>
                <c:pt idx="21">
                  <c:v>30</c:v>
                </c:pt>
                <c:pt idx="22">
                  <c:v>31</c:v>
                </c:pt>
                <c:pt idx="23">
                  <c:v>32</c:v>
                </c:pt>
                <c:pt idx="24">
                  <c:v>33</c:v>
                </c:pt>
                <c:pt idx="25">
                  <c:v>34</c:v>
                </c:pt>
                <c:pt idx="26">
                  <c:v>35</c:v>
                </c:pt>
                <c:pt idx="27">
                  <c:v>36</c:v>
                </c:pt>
                <c:pt idx="28">
                  <c:v>37</c:v>
                </c:pt>
                <c:pt idx="29">
                  <c:v>38</c:v>
                </c:pt>
                <c:pt idx="30">
                  <c:v>39</c:v>
                </c:pt>
                <c:pt idx="31">
                  <c:v>40</c:v>
                </c:pt>
                <c:pt idx="32">
                  <c:v>41</c:v>
                </c:pt>
                <c:pt idx="33">
                  <c:v>42</c:v>
                </c:pt>
                <c:pt idx="34">
                  <c:v>43</c:v>
                </c:pt>
                <c:pt idx="35">
                  <c:v>44</c:v>
                </c:pt>
                <c:pt idx="36">
                  <c:v>45</c:v>
                </c:pt>
                <c:pt idx="37">
                  <c:v>46</c:v>
                </c:pt>
                <c:pt idx="38">
                  <c:v>47</c:v>
                </c:pt>
                <c:pt idx="39">
                  <c:v>48</c:v>
                </c:pt>
                <c:pt idx="40">
                  <c:v>49</c:v>
                </c:pt>
                <c:pt idx="41">
                  <c:v>50</c:v>
                </c:pt>
              </c:numCache>
            </c:numRef>
          </c:xVal>
          <c:yVal>
            <c:numRef>
              <c:f>Summary!$B$94:$B$135</c:f>
              <c:numCache>
                <c:formatCode>0.00</c:formatCode>
                <c:ptCount val="42"/>
                <c:pt idx="0">
                  <c:v>1</c:v>
                </c:pt>
                <c:pt idx="1">
                  <c:v>1</c:v>
                </c:pt>
                <c:pt idx="2" formatCode="General">
                  <c:v>0.99969541350954794</c:v>
                </c:pt>
                <c:pt idx="3" formatCode="General">
                  <c:v>0.99878202512991221</c:v>
                </c:pt>
                <c:pt idx="4" formatCode="General">
                  <c:v>0.99726094768413653</c:v>
                </c:pt>
                <c:pt idx="5" formatCode="General">
                  <c:v>0.99513403437078507</c:v>
                </c:pt>
                <c:pt idx="6" formatCode="General">
                  <c:v>0.99240387650610407</c:v>
                </c:pt>
                <c:pt idx="7" formatCode="General">
                  <c:v>0.98907380036690273</c:v>
                </c:pt>
                <c:pt idx="8" formatCode="General">
                  <c:v>0.98514786313799818</c:v>
                </c:pt>
                <c:pt idx="9" formatCode="General">
                  <c:v>0.98063084796915956</c:v>
                </c:pt>
                <c:pt idx="10" formatCode="General">
                  <c:v>0.97552825814757682</c:v>
                </c:pt>
                <c:pt idx="11" formatCode="General">
                  <c:v>0.9698463103929541</c:v>
                </c:pt>
                <c:pt idx="12" formatCode="General">
                  <c:v>0.96359192728339371</c:v>
                </c:pt>
                <c:pt idx="13" formatCode="General">
                  <c:v>0.9567727288213006</c:v>
                </c:pt>
                <c:pt idx="14" formatCode="General">
                  <c:v>0.94939702314958352</c:v>
                </c:pt>
                <c:pt idx="15" formatCode="General">
                  <c:v>0.94147379642946349</c:v>
                </c:pt>
                <c:pt idx="16" formatCode="General">
                  <c:v>0.93301270189221941</c:v>
                </c:pt>
                <c:pt idx="17" formatCode="General">
                  <c:v>0.92402404807821303</c:v>
                </c:pt>
                <c:pt idx="18" formatCode="General">
                  <c:v>0.91451878627752081</c:v>
                </c:pt>
                <c:pt idx="19" formatCode="General">
                  <c:v>0.90450849718747361</c:v>
                </c:pt>
                <c:pt idx="20" formatCode="General">
                  <c:v>0.89400537680336101</c:v>
                </c:pt>
                <c:pt idx="21" formatCode="General">
                  <c:v>0.88302222155948906</c:v>
                </c:pt>
                <c:pt idx="22" formatCode="General">
                  <c:v>0.87157241273869712</c:v>
                </c:pt>
                <c:pt idx="23" formatCode="General">
                  <c:v>0.85966990016932565</c:v>
                </c:pt>
                <c:pt idx="24" formatCode="General">
                  <c:v>0.84732918522949874</c:v>
                </c:pt>
                <c:pt idx="25" formatCode="General">
                  <c:v>0.83456530317942901</c:v>
                </c:pt>
                <c:pt idx="26" formatCode="General">
                  <c:v>0.82139380484326963</c:v>
                </c:pt>
                <c:pt idx="27" formatCode="General">
                  <c:v>0.8078307376628292</c:v>
                </c:pt>
                <c:pt idx="28" formatCode="General">
                  <c:v>0.79389262614623668</c:v>
                </c:pt>
                <c:pt idx="29" formatCode="General">
                  <c:v>0.77959645173537351</c:v>
                </c:pt>
                <c:pt idx="30" formatCode="General">
                  <c:v>0.76495963211660234</c:v>
                </c:pt>
                <c:pt idx="31" formatCode="General">
                  <c:v>0.75000000000000011</c:v>
                </c:pt>
                <c:pt idx="32" formatCode="General">
                  <c:v>0.73473578139294549</c:v>
                </c:pt>
                <c:pt idx="33" formatCode="General">
                  <c:v>0.7191855733945387</c:v>
                </c:pt>
                <c:pt idx="34" formatCode="General">
                  <c:v>0.70336832153790019</c:v>
                </c:pt>
                <c:pt idx="35" formatCode="General">
                  <c:v>0.68730329670795587</c:v>
                </c:pt>
                <c:pt idx="36" formatCode="General">
                  <c:v>0.67101007166283433</c:v>
                </c:pt>
                <c:pt idx="37" formatCode="General">
                  <c:v>0.65450849718747373</c:v>
                </c:pt>
                <c:pt idx="38" formatCode="General">
                  <c:v>0.63781867790849955</c:v>
                </c:pt>
                <c:pt idx="39" formatCode="General">
                  <c:v>0.62096094779983391</c:v>
                </c:pt>
                <c:pt idx="40" formatCode="General">
                  <c:v>0.6039558454088797</c:v>
                </c:pt>
                <c:pt idx="41" formatCode="General">
                  <c:v>0.58682408883346515</c:v>
                </c:pt>
              </c:numCache>
            </c:numRef>
          </c:yVal>
          <c:smooth val="0"/>
        </c:ser>
        <c:ser>
          <c:idx val="3"/>
          <c:order val="1"/>
          <c:tx>
            <c:v>LWI 859; 1:6 br</c:v>
          </c:tx>
          <c:spPr>
            <a:ln w="28575">
              <a:noFill/>
            </a:ln>
          </c:spPr>
          <c:marker>
            <c:symbol val="diamond"/>
            <c:size val="7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xVal>
            <c:numRef>
              <c:f>Summary!$AB$39:$AB$45</c:f>
              <c:numCache>
                <c:formatCode>General</c:formatCode>
                <c:ptCount val="7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30</c:v>
                </c:pt>
                <c:pt idx="6">
                  <c:v>40</c:v>
                </c:pt>
              </c:numCache>
            </c:numRef>
          </c:xVal>
          <c:yVal>
            <c:numRef>
              <c:f>Summary!$AD$39:$AD$45</c:f>
              <c:numCache>
                <c:formatCode>0.000</c:formatCode>
                <c:ptCount val="7"/>
                <c:pt idx="0">
                  <c:v>1</c:v>
                </c:pt>
                <c:pt idx="1">
                  <c:v>0.94600330110822917</c:v>
                </c:pt>
                <c:pt idx="2">
                  <c:v>0.95478343645882902</c:v>
                </c:pt>
                <c:pt idx="3">
                  <c:v>0.9448893075836079</c:v>
                </c:pt>
                <c:pt idx="4">
                  <c:v>0.91598173515981729</c:v>
                </c:pt>
                <c:pt idx="5">
                  <c:v>0.84020942408376953</c:v>
                </c:pt>
                <c:pt idx="6">
                  <c:v>0.74739195230998501</c:v>
                </c:pt>
              </c:numCache>
            </c:numRef>
          </c:yVal>
          <c:smooth val="0"/>
        </c:ser>
        <c:ser>
          <c:idx val="0"/>
          <c:order val="2"/>
          <c:tx>
            <c:v>Flowdike 2; 1:6 br</c:v>
          </c:tx>
          <c:spPr>
            <a:ln w="28575">
              <a:noFill/>
            </a:ln>
          </c:spPr>
          <c:marker>
            <c:symbol val="diamond"/>
            <c:size val="7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Summary!$AP$38:$AP$41</c:f>
              <c:numCache>
                <c:formatCode>General</c:formatCode>
                <c:ptCount val="4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45</c:v>
                </c:pt>
              </c:numCache>
            </c:numRef>
          </c:xVal>
          <c:yVal>
            <c:numRef>
              <c:f>Summary!$AR$38:$AR$41</c:f>
              <c:numCache>
                <c:formatCode>0.000</c:formatCode>
                <c:ptCount val="4"/>
                <c:pt idx="0">
                  <c:v>1</c:v>
                </c:pt>
                <c:pt idx="1">
                  <c:v>0.92233009708737879</c:v>
                </c:pt>
                <c:pt idx="2">
                  <c:v>0.80369475138121549</c:v>
                </c:pt>
                <c:pt idx="3">
                  <c:v>0.71980825730632447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3981440"/>
        <c:axId val="44012672"/>
      </c:scatterChart>
      <c:valAx>
        <c:axId val="43981440"/>
        <c:scaling>
          <c:orientation val="minMax"/>
          <c:max val="60"/>
        </c:scaling>
        <c:delete val="0"/>
        <c:axPos val="b"/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nl-NL" sz="160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Angle of wave attack |</a:t>
                </a:r>
                <a:r>
                  <a:rPr lang="nl-NL" sz="1600" b="1" i="0" u="none" strike="noStrike" baseline="0">
                    <a:solidFill>
                      <a:srgbClr val="000000"/>
                    </a:solidFill>
                    <a:latin typeface="Symbol"/>
                  </a:rPr>
                  <a:t>b|</a:t>
                </a:r>
                <a:r>
                  <a:rPr lang="nl-NL" sz="160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(degr)</a:t>
                </a:r>
              </a:p>
            </c:rich>
          </c:tx>
          <c:layout>
            <c:manualLayout>
              <c:xMode val="edge"/>
              <c:yMode val="edge"/>
              <c:x val="0.31463427437424013"/>
              <c:y val="0.9221245930831090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in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nl-NL"/>
          </a:p>
        </c:txPr>
        <c:crossAx val="44012672"/>
        <c:crosses val="autoZero"/>
        <c:crossBetween val="midCat"/>
      </c:valAx>
      <c:valAx>
        <c:axId val="440126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nl-NL" sz="160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Influence factor </a:t>
                </a:r>
                <a:r>
                  <a:rPr lang="nl-NL" sz="1600" b="1" i="0" u="none" strike="noStrike" baseline="0">
                    <a:solidFill>
                      <a:srgbClr val="000000"/>
                    </a:solidFill>
                    <a:latin typeface="Symbol"/>
                  </a:rPr>
                  <a:t>g</a:t>
                </a:r>
              </a:p>
            </c:rich>
          </c:tx>
          <c:layout>
            <c:manualLayout>
              <c:xMode val="edge"/>
              <c:yMode val="edge"/>
              <c:x val="8.5365853658536713E-3"/>
              <c:y val="0.31681440879960759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in"/>
        <c:minorTickMark val="in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nl-NL"/>
          </a:p>
        </c:txPr>
        <c:crossAx val="43981440"/>
        <c:crosses val="autoZero"/>
        <c:crossBetween val="midCat"/>
      </c:valAx>
      <c:spPr>
        <a:noFill/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6666679469944304"/>
          <c:y val="0.45840738988898488"/>
          <c:w val="0.21138224185391474"/>
          <c:h val="0.1598822143698469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nl-NL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nl-NL"/>
    </a:p>
  </c:txPr>
  <c:printSettings>
    <c:headerFooter alignWithMargins="0"/>
    <c:pageMargins b="1" l="0.75000000000000056" r="0.75000000000000056" t="1" header="0.5" footer="0.5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134322218313857"/>
          <c:y val="4.886580276941821E-2"/>
          <c:w val="0.84696874429157964"/>
          <c:h val="0.79755800158488122"/>
        </c:manualLayout>
      </c:layout>
      <c:scatterChart>
        <c:scatterStyle val="lineMarker"/>
        <c:varyColors val="0"/>
        <c:ser>
          <c:idx val="0"/>
          <c:order val="0"/>
          <c:tx>
            <c:v>u=0 m/s</c:v>
          </c:tx>
          <c:spPr>
            <a:ln w="28575">
              <a:noFill/>
            </a:ln>
          </c:spPr>
          <c:marker>
            <c:symbol val="square"/>
            <c:size val="7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Summary!$A$3:$A$6</c:f>
              <c:numCache>
                <c:formatCode>General</c:formatCode>
                <c:ptCount val="4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45</c:v>
                </c:pt>
              </c:numCache>
            </c:numRef>
          </c:xVal>
          <c:yVal>
            <c:numRef>
              <c:f>Summary!$F$3:$F$6</c:f>
              <c:numCache>
                <c:formatCode>0.000</c:formatCode>
                <c:ptCount val="4"/>
                <c:pt idx="0">
                  <c:v>1</c:v>
                </c:pt>
                <c:pt idx="1">
                  <c:v>0.92233009708737879</c:v>
                </c:pt>
                <c:pt idx="2">
                  <c:v>0.80369475138121549</c:v>
                </c:pt>
                <c:pt idx="3">
                  <c:v>0.71980825730632447</c:v>
                </c:pt>
              </c:numCache>
            </c:numRef>
          </c:yVal>
          <c:smooth val="0"/>
        </c:ser>
        <c:ser>
          <c:idx val="1"/>
          <c:order val="1"/>
          <c:tx>
            <c:v>u=0.15 m/s</c:v>
          </c:tx>
          <c:spPr>
            <a:ln w="28575">
              <a:noFill/>
            </a:ln>
          </c:spPr>
          <c:marker>
            <c:symbol val="square"/>
            <c:size val="7"/>
            <c:spPr>
              <a:solidFill>
                <a:srgbClr val="00B050"/>
              </a:solidFill>
              <a:ln>
                <a:solidFill>
                  <a:srgbClr val="00B050"/>
                </a:solidFill>
                <a:prstDash val="solid"/>
              </a:ln>
            </c:spPr>
          </c:marker>
          <c:xVal>
            <c:numRef>
              <c:f>Summary!$C$25:$C$28</c:f>
              <c:numCache>
                <c:formatCode>0.0</c:formatCode>
                <c:ptCount val="4"/>
                <c:pt idx="0">
                  <c:v>6.4</c:v>
                </c:pt>
                <c:pt idx="1">
                  <c:v>35.1</c:v>
                </c:pt>
                <c:pt idx="2">
                  <c:v>-23.9</c:v>
                </c:pt>
                <c:pt idx="3">
                  <c:v>-39.700000000000003</c:v>
                </c:pt>
              </c:numCache>
            </c:numRef>
          </c:xVal>
          <c:yVal>
            <c:numRef>
              <c:f>Summary!$F$25:$F$28</c:f>
              <c:numCache>
                <c:formatCode>0.000</c:formatCode>
                <c:ptCount val="4"/>
                <c:pt idx="0">
                  <c:v>1.0008600301010537</c:v>
                </c:pt>
                <c:pt idx="1">
                  <c:v>0.82098765432098775</c:v>
                </c:pt>
                <c:pt idx="2">
                  <c:v>0.91382018060463288</c:v>
                </c:pt>
                <c:pt idx="3">
                  <c:v>0.7724858944573515</c:v>
                </c:pt>
              </c:numCache>
            </c:numRef>
          </c:yVal>
          <c:smooth val="0"/>
        </c:ser>
        <c:ser>
          <c:idx val="2"/>
          <c:order val="2"/>
          <c:tx>
            <c:v>u=0.30 m/s</c:v>
          </c:tx>
          <c:spPr>
            <a:ln w="28575">
              <a:noFill/>
            </a:ln>
          </c:spPr>
          <c:marker>
            <c:symbol val="triangle"/>
            <c:size val="7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xVal>
            <c:numRef>
              <c:f>Summary!$C$30:$C$35</c:f>
              <c:numCache>
                <c:formatCode>0.0</c:formatCode>
                <c:ptCount val="6"/>
                <c:pt idx="0">
                  <c:v>12.5</c:v>
                </c:pt>
                <c:pt idx="1">
                  <c:v>24.6</c:v>
                </c:pt>
                <c:pt idx="2">
                  <c:v>-3.1</c:v>
                </c:pt>
                <c:pt idx="3">
                  <c:v>39.200000000000003</c:v>
                </c:pt>
                <c:pt idx="4">
                  <c:v>-16.5</c:v>
                </c:pt>
                <c:pt idx="5">
                  <c:v>-32.1</c:v>
                </c:pt>
              </c:numCache>
            </c:numRef>
          </c:xVal>
          <c:yVal>
            <c:numRef>
              <c:f>Summary!$F$30:$F$35</c:f>
              <c:numCache>
                <c:formatCode>0.000</c:formatCode>
                <c:ptCount val="6"/>
                <c:pt idx="0">
                  <c:v>1.010418927718689</c:v>
                </c:pt>
                <c:pt idx="1">
                  <c:v>0.93586650583031772</c:v>
                </c:pt>
                <c:pt idx="2">
                  <c:v>0.90038684719535789</c:v>
                </c:pt>
                <c:pt idx="3">
                  <c:v>0.91078066914498146</c:v>
                </c:pt>
                <c:pt idx="4">
                  <c:v>0.97855791465209174</c:v>
                </c:pt>
                <c:pt idx="5">
                  <c:v>0.83753148614609574</c:v>
                </c:pt>
              </c:numCache>
            </c:numRef>
          </c:yVal>
          <c:smooth val="0"/>
        </c:ser>
        <c:ser>
          <c:idx val="3"/>
          <c:order val="3"/>
          <c:tx>
            <c:v>u=0.40 m/s</c:v>
          </c:tx>
          <c:spPr>
            <a:ln w="28575">
              <a:noFill/>
            </a:ln>
          </c:spPr>
          <c:marker>
            <c:symbol val="triangle"/>
            <c:size val="7"/>
            <c:spPr>
              <a:solidFill>
                <a:srgbClr val="0070C0"/>
              </a:solidFill>
              <a:ln>
                <a:solidFill>
                  <a:srgbClr val="0070C0"/>
                </a:solidFill>
                <a:prstDash val="solid"/>
              </a:ln>
            </c:spPr>
          </c:marker>
          <c:xVal>
            <c:numRef>
              <c:f>Summary!$C$37:$C$40</c:f>
              <c:numCache>
                <c:formatCode>0.0</c:formatCode>
                <c:ptCount val="4"/>
                <c:pt idx="0">
                  <c:v>16.3</c:v>
                </c:pt>
                <c:pt idx="1">
                  <c:v>41.6</c:v>
                </c:pt>
                <c:pt idx="2">
                  <c:v>-10.4</c:v>
                </c:pt>
                <c:pt idx="3">
                  <c:v>-24.6</c:v>
                </c:pt>
              </c:numCache>
            </c:numRef>
          </c:xVal>
          <c:yVal>
            <c:numRef>
              <c:f>Summary!$F$37:$F$40</c:f>
              <c:numCache>
                <c:formatCode>0.000</c:formatCode>
                <c:ptCount val="4"/>
                <c:pt idx="0">
                  <c:v>1.004965457685665</c:v>
                </c:pt>
                <c:pt idx="1">
                  <c:v>0.8502283105022832</c:v>
                </c:pt>
                <c:pt idx="2">
                  <c:v>1.0170417303910859</c:v>
                </c:pt>
                <c:pt idx="3">
                  <c:v>0.82652698863636376</c:v>
                </c:pt>
              </c:numCache>
            </c:numRef>
          </c:yVal>
          <c:smooth val="0"/>
        </c:ser>
        <c:ser>
          <c:idx val="6"/>
          <c:order val="4"/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Summary!$X$43:$X$44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xVal>
          <c:yVal>
            <c:numRef>
              <c:f>Summary!$Y$43:$Y$44</c:f>
              <c:numCache>
                <c:formatCode>General</c:formatCode>
                <c:ptCount val="2"/>
                <c:pt idx="0">
                  <c:v>0</c:v>
                </c:pt>
                <c:pt idx="1">
                  <c:v>1.2</c:v>
                </c:pt>
              </c:numCache>
            </c:numRef>
          </c:yVal>
          <c:smooth val="0"/>
        </c:ser>
        <c:ser>
          <c:idx val="7"/>
          <c:order val="5"/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Summary!$A$53:$A$135</c:f>
              <c:numCache>
                <c:formatCode>General</c:formatCode>
                <c:ptCount val="83"/>
                <c:pt idx="0">
                  <c:v>-50</c:v>
                </c:pt>
                <c:pt idx="1">
                  <c:v>-49</c:v>
                </c:pt>
                <c:pt idx="2">
                  <c:v>-48</c:v>
                </c:pt>
                <c:pt idx="3">
                  <c:v>-47</c:v>
                </c:pt>
                <c:pt idx="4">
                  <c:v>-46</c:v>
                </c:pt>
                <c:pt idx="5">
                  <c:v>-45</c:v>
                </c:pt>
                <c:pt idx="6">
                  <c:v>-44</c:v>
                </c:pt>
                <c:pt idx="7">
                  <c:v>-43</c:v>
                </c:pt>
                <c:pt idx="8">
                  <c:v>-42</c:v>
                </c:pt>
                <c:pt idx="9">
                  <c:v>-41</c:v>
                </c:pt>
                <c:pt idx="10">
                  <c:v>-40</c:v>
                </c:pt>
                <c:pt idx="11">
                  <c:v>-39</c:v>
                </c:pt>
                <c:pt idx="12">
                  <c:v>-38</c:v>
                </c:pt>
                <c:pt idx="13">
                  <c:v>-37</c:v>
                </c:pt>
                <c:pt idx="14">
                  <c:v>-36</c:v>
                </c:pt>
                <c:pt idx="15">
                  <c:v>-35</c:v>
                </c:pt>
                <c:pt idx="16">
                  <c:v>-34</c:v>
                </c:pt>
                <c:pt idx="17">
                  <c:v>-33</c:v>
                </c:pt>
                <c:pt idx="18">
                  <c:v>-32</c:v>
                </c:pt>
                <c:pt idx="19">
                  <c:v>-31</c:v>
                </c:pt>
                <c:pt idx="20">
                  <c:v>-30</c:v>
                </c:pt>
                <c:pt idx="21">
                  <c:v>-29</c:v>
                </c:pt>
                <c:pt idx="22">
                  <c:v>-28</c:v>
                </c:pt>
                <c:pt idx="23">
                  <c:v>-27</c:v>
                </c:pt>
                <c:pt idx="24">
                  <c:v>-26</c:v>
                </c:pt>
                <c:pt idx="25">
                  <c:v>-25</c:v>
                </c:pt>
                <c:pt idx="26">
                  <c:v>-24</c:v>
                </c:pt>
                <c:pt idx="27">
                  <c:v>-23</c:v>
                </c:pt>
                <c:pt idx="28">
                  <c:v>-22</c:v>
                </c:pt>
                <c:pt idx="29">
                  <c:v>-21</c:v>
                </c:pt>
                <c:pt idx="30">
                  <c:v>-20</c:v>
                </c:pt>
                <c:pt idx="31">
                  <c:v>-19</c:v>
                </c:pt>
                <c:pt idx="32">
                  <c:v>-18</c:v>
                </c:pt>
                <c:pt idx="33">
                  <c:v>-17</c:v>
                </c:pt>
                <c:pt idx="34">
                  <c:v>-16</c:v>
                </c:pt>
                <c:pt idx="35">
                  <c:v>-15</c:v>
                </c:pt>
                <c:pt idx="36">
                  <c:v>-14</c:v>
                </c:pt>
                <c:pt idx="37">
                  <c:v>-13</c:v>
                </c:pt>
                <c:pt idx="38">
                  <c:v>-12</c:v>
                </c:pt>
                <c:pt idx="39">
                  <c:v>-11</c:v>
                </c:pt>
                <c:pt idx="40">
                  <c:v>-10</c:v>
                </c:pt>
                <c:pt idx="41">
                  <c:v>0</c:v>
                </c:pt>
                <c:pt idx="42">
                  <c:v>10</c:v>
                </c:pt>
                <c:pt idx="43">
                  <c:v>11</c:v>
                </c:pt>
                <c:pt idx="44">
                  <c:v>12</c:v>
                </c:pt>
                <c:pt idx="45">
                  <c:v>13</c:v>
                </c:pt>
                <c:pt idx="46">
                  <c:v>14</c:v>
                </c:pt>
                <c:pt idx="47">
                  <c:v>15</c:v>
                </c:pt>
                <c:pt idx="48">
                  <c:v>16</c:v>
                </c:pt>
                <c:pt idx="49">
                  <c:v>17</c:v>
                </c:pt>
                <c:pt idx="50">
                  <c:v>18</c:v>
                </c:pt>
                <c:pt idx="51">
                  <c:v>19</c:v>
                </c:pt>
                <c:pt idx="52">
                  <c:v>20</c:v>
                </c:pt>
                <c:pt idx="53">
                  <c:v>21</c:v>
                </c:pt>
                <c:pt idx="54">
                  <c:v>22</c:v>
                </c:pt>
                <c:pt idx="55">
                  <c:v>23</c:v>
                </c:pt>
                <c:pt idx="56">
                  <c:v>24</c:v>
                </c:pt>
                <c:pt idx="57">
                  <c:v>25</c:v>
                </c:pt>
                <c:pt idx="58">
                  <c:v>26</c:v>
                </c:pt>
                <c:pt idx="59">
                  <c:v>27</c:v>
                </c:pt>
                <c:pt idx="60">
                  <c:v>28</c:v>
                </c:pt>
                <c:pt idx="61">
                  <c:v>29</c:v>
                </c:pt>
                <c:pt idx="62">
                  <c:v>30</c:v>
                </c:pt>
                <c:pt idx="63">
                  <c:v>31</c:v>
                </c:pt>
                <c:pt idx="64">
                  <c:v>32</c:v>
                </c:pt>
                <c:pt idx="65">
                  <c:v>33</c:v>
                </c:pt>
                <c:pt idx="66">
                  <c:v>34</c:v>
                </c:pt>
                <c:pt idx="67">
                  <c:v>35</c:v>
                </c:pt>
                <c:pt idx="68">
                  <c:v>36</c:v>
                </c:pt>
                <c:pt idx="69">
                  <c:v>37</c:v>
                </c:pt>
                <c:pt idx="70">
                  <c:v>38</c:v>
                </c:pt>
                <c:pt idx="71">
                  <c:v>39</c:v>
                </c:pt>
                <c:pt idx="72">
                  <c:v>40</c:v>
                </c:pt>
                <c:pt idx="73">
                  <c:v>41</c:v>
                </c:pt>
                <c:pt idx="74">
                  <c:v>42</c:v>
                </c:pt>
                <c:pt idx="75">
                  <c:v>43</c:v>
                </c:pt>
                <c:pt idx="76">
                  <c:v>44</c:v>
                </c:pt>
                <c:pt idx="77">
                  <c:v>45</c:v>
                </c:pt>
                <c:pt idx="78">
                  <c:v>46</c:v>
                </c:pt>
                <c:pt idx="79">
                  <c:v>47</c:v>
                </c:pt>
                <c:pt idx="80">
                  <c:v>48</c:v>
                </c:pt>
                <c:pt idx="81">
                  <c:v>49</c:v>
                </c:pt>
                <c:pt idx="82">
                  <c:v>50</c:v>
                </c:pt>
              </c:numCache>
            </c:numRef>
          </c:xVal>
          <c:yVal>
            <c:numRef>
              <c:f>Summary!$B$53:$B$135</c:f>
              <c:numCache>
                <c:formatCode>General</c:formatCode>
                <c:ptCount val="83"/>
                <c:pt idx="0">
                  <c:v>0.58682408883346515</c:v>
                </c:pt>
                <c:pt idx="1">
                  <c:v>0.6039558454088797</c:v>
                </c:pt>
                <c:pt idx="2">
                  <c:v>0.62096094779983391</c:v>
                </c:pt>
                <c:pt idx="3">
                  <c:v>0.63781867790849955</c:v>
                </c:pt>
                <c:pt idx="4">
                  <c:v>0.65450849718747373</c:v>
                </c:pt>
                <c:pt idx="5">
                  <c:v>0.67101007166283433</c:v>
                </c:pt>
                <c:pt idx="6">
                  <c:v>0.68730329670795587</c:v>
                </c:pt>
                <c:pt idx="7">
                  <c:v>0.70336832153790019</c:v>
                </c:pt>
                <c:pt idx="8">
                  <c:v>0.7191855733945387</c:v>
                </c:pt>
                <c:pt idx="9">
                  <c:v>0.73473578139294549</c:v>
                </c:pt>
                <c:pt idx="10">
                  <c:v>0.75000000000000011</c:v>
                </c:pt>
                <c:pt idx="11">
                  <c:v>0.76495963211660234</c:v>
                </c:pt>
                <c:pt idx="12">
                  <c:v>0.77959645173537351</c:v>
                </c:pt>
                <c:pt idx="13">
                  <c:v>0.79389262614623668</c:v>
                </c:pt>
                <c:pt idx="14">
                  <c:v>0.8078307376628292</c:v>
                </c:pt>
                <c:pt idx="15">
                  <c:v>0.82139380484326963</c:v>
                </c:pt>
                <c:pt idx="16">
                  <c:v>0.83456530317942901</c:v>
                </c:pt>
                <c:pt idx="17">
                  <c:v>0.84732918522949874</c:v>
                </c:pt>
                <c:pt idx="18">
                  <c:v>0.85966990016932565</c:v>
                </c:pt>
                <c:pt idx="19">
                  <c:v>0.87157241273869712</c:v>
                </c:pt>
                <c:pt idx="20">
                  <c:v>0.88302222155948906</c:v>
                </c:pt>
                <c:pt idx="21">
                  <c:v>0.89400537680336101</c:v>
                </c:pt>
                <c:pt idx="22">
                  <c:v>0.90450849718747361</c:v>
                </c:pt>
                <c:pt idx="23">
                  <c:v>0.91451878627752081</c:v>
                </c:pt>
                <c:pt idx="24">
                  <c:v>0.92402404807821303</c:v>
                </c:pt>
                <c:pt idx="25">
                  <c:v>0.93301270189221941</c:v>
                </c:pt>
                <c:pt idx="26">
                  <c:v>0.94147379642946349</c:v>
                </c:pt>
                <c:pt idx="27">
                  <c:v>0.94939702314958352</c:v>
                </c:pt>
                <c:pt idx="28">
                  <c:v>0.9567727288213006</c:v>
                </c:pt>
                <c:pt idx="29">
                  <c:v>0.96359192728339371</c:v>
                </c:pt>
                <c:pt idx="30">
                  <c:v>0.9698463103929541</c:v>
                </c:pt>
                <c:pt idx="31">
                  <c:v>0.97552825814757682</c:v>
                </c:pt>
                <c:pt idx="32">
                  <c:v>0.98063084796915956</c:v>
                </c:pt>
                <c:pt idx="33">
                  <c:v>0.98514786313799818</c:v>
                </c:pt>
                <c:pt idx="34">
                  <c:v>0.98907380036690273</c:v>
                </c:pt>
                <c:pt idx="35">
                  <c:v>0.99240387650610407</c:v>
                </c:pt>
                <c:pt idx="36">
                  <c:v>0.99513403437078507</c:v>
                </c:pt>
                <c:pt idx="37">
                  <c:v>0.99726094768413653</c:v>
                </c:pt>
                <c:pt idx="38">
                  <c:v>0.99878202512991221</c:v>
                </c:pt>
                <c:pt idx="39">
                  <c:v>0.99969541350954794</c:v>
                </c:pt>
                <c:pt idx="40">
                  <c:v>1</c:v>
                </c:pt>
                <c:pt idx="41" formatCode="0.00">
                  <c:v>1</c:v>
                </c:pt>
                <c:pt idx="42" formatCode="0.00">
                  <c:v>1</c:v>
                </c:pt>
                <c:pt idx="43">
                  <c:v>0.99969541350954794</c:v>
                </c:pt>
                <c:pt idx="44">
                  <c:v>0.99878202512991221</c:v>
                </c:pt>
                <c:pt idx="45">
                  <c:v>0.99726094768413653</c:v>
                </c:pt>
                <c:pt idx="46">
                  <c:v>0.99513403437078507</c:v>
                </c:pt>
                <c:pt idx="47">
                  <c:v>0.99240387650610407</c:v>
                </c:pt>
                <c:pt idx="48">
                  <c:v>0.98907380036690273</c:v>
                </c:pt>
                <c:pt idx="49">
                  <c:v>0.98514786313799818</c:v>
                </c:pt>
                <c:pt idx="50">
                  <c:v>0.98063084796915956</c:v>
                </c:pt>
                <c:pt idx="51">
                  <c:v>0.97552825814757682</c:v>
                </c:pt>
                <c:pt idx="52">
                  <c:v>0.9698463103929541</c:v>
                </c:pt>
                <c:pt idx="53">
                  <c:v>0.96359192728339371</c:v>
                </c:pt>
                <c:pt idx="54">
                  <c:v>0.9567727288213006</c:v>
                </c:pt>
                <c:pt idx="55">
                  <c:v>0.94939702314958352</c:v>
                </c:pt>
                <c:pt idx="56">
                  <c:v>0.94147379642946349</c:v>
                </c:pt>
                <c:pt idx="57">
                  <c:v>0.93301270189221941</c:v>
                </c:pt>
                <c:pt idx="58">
                  <c:v>0.92402404807821303</c:v>
                </c:pt>
                <c:pt idx="59">
                  <c:v>0.91451878627752081</c:v>
                </c:pt>
                <c:pt idx="60">
                  <c:v>0.90450849718747361</c:v>
                </c:pt>
                <c:pt idx="61">
                  <c:v>0.89400537680336101</c:v>
                </c:pt>
                <c:pt idx="62">
                  <c:v>0.88302222155948906</c:v>
                </c:pt>
                <c:pt idx="63">
                  <c:v>0.87157241273869712</c:v>
                </c:pt>
                <c:pt idx="64">
                  <c:v>0.85966990016932565</c:v>
                </c:pt>
                <c:pt idx="65">
                  <c:v>0.84732918522949874</c:v>
                </c:pt>
                <c:pt idx="66">
                  <c:v>0.83456530317942901</c:v>
                </c:pt>
                <c:pt idx="67">
                  <c:v>0.82139380484326963</c:v>
                </c:pt>
                <c:pt idx="68">
                  <c:v>0.8078307376628292</c:v>
                </c:pt>
                <c:pt idx="69">
                  <c:v>0.79389262614623668</c:v>
                </c:pt>
                <c:pt idx="70">
                  <c:v>0.77959645173537351</c:v>
                </c:pt>
                <c:pt idx="71">
                  <c:v>0.76495963211660234</c:v>
                </c:pt>
                <c:pt idx="72">
                  <c:v>0.75000000000000011</c:v>
                </c:pt>
                <c:pt idx="73">
                  <c:v>0.73473578139294549</c:v>
                </c:pt>
                <c:pt idx="74">
                  <c:v>0.7191855733945387</c:v>
                </c:pt>
                <c:pt idx="75">
                  <c:v>0.70336832153790019</c:v>
                </c:pt>
                <c:pt idx="76">
                  <c:v>0.68730329670795587</c:v>
                </c:pt>
                <c:pt idx="77">
                  <c:v>0.67101007166283433</c:v>
                </c:pt>
                <c:pt idx="78">
                  <c:v>0.65450849718747373</c:v>
                </c:pt>
                <c:pt idx="79">
                  <c:v>0.63781867790849955</c:v>
                </c:pt>
                <c:pt idx="80">
                  <c:v>0.62096094779983391</c:v>
                </c:pt>
                <c:pt idx="81">
                  <c:v>0.6039558454088797</c:v>
                </c:pt>
                <c:pt idx="82">
                  <c:v>0.58682408883346515</c:v>
                </c:pt>
              </c:numCache>
            </c:numRef>
          </c:yVal>
          <c:smooth val="0"/>
        </c:ser>
        <c:ser>
          <c:idx val="8"/>
          <c:order val="6"/>
          <c:spPr>
            <a:ln w="28575">
              <a:noFill/>
            </a:ln>
          </c:spPr>
          <c:marker>
            <c:symbol val="square"/>
            <c:size val="7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Summary!$G$46:$G$48</c:f>
              <c:numCache>
                <c:formatCode>General</c:formatCode>
                <c:ptCount val="3"/>
                <c:pt idx="0">
                  <c:v>-15</c:v>
                </c:pt>
                <c:pt idx="1">
                  <c:v>-30</c:v>
                </c:pt>
                <c:pt idx="2">
                  <c:v>-45</c:v>
                </c:pt>
              </c:numCache>
            </c:numRef>
          </c:xVal>
          <c:yVal>
            <c:numRef>
              <c:f>Summary!$H$46:$H$48</c:f>
              <c:numCache>
                <c:formatCode>0.000</c:formatCode>
                <c:ptCount val="3"/>
                <c:pt idx="0">
                  <c:v>0.92233009708737879</c:v>
                </c:pt>
                <c:pt idx="1">
                  <c:v>0.80369475138121549</c:v>
                </c:pt>
                <c:pt idx="2">
                  <c:v>0.71980825730632447</c:v>
                </c:pt>
              </c:numCache>
            </c:numRef>
          </c:yVal>
          <c:smooth val="0"/>
        </c:ser>
        <c:ser>
          <c:idx val="9"/>
          <c:order val="7"/>
          <c:spPr>
            <a:ln w="28575">
              <a:noFill/>
            </a:ln>
          </c:spPr>
          <c:marker>
            <c:symbol val="square"/>
            <c:size val="7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Summary!$G$46:$G$48</c:f>
              <c:numCache>
                <c:formatCode>General</c:formatCode>
                <c:ptCount val="3"/>
                <c:pt idx="0">
                  <c:v>-15</c:v>
                </c:pt>
                <c:pt idx="1">
                  <c:v>-30</c:v>
                </c:pt>
                <c:pt idx="2">
                  <c:v>-45</c:v>
                </c:pt>
              </c:numCache>
            </c:numRef>
          </c:xVal>
          <c:yVal>
            <c:numRef>
              <c:f>Summary!$I$46:$I$48</c:f>
              <c:numCache>
                <c:formatCode>General</c:formatCode>
                <c:ptCount val="3"/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055936"/>
        <c:axId val="44070784"/>
      </c:scatterChart>
      <c:valAx>
        <c:axId val="44055936"/>
        <c:scaling>
          <c:orientation val="minMax"/>
          <c:max val="60"/>
          <c:min val="-60"/>
        </c:scaling>
        <c:delete val="0"/>
        <c:axPos val="b"/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nl-NL" sz="160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Angle of energy attack </a:t>
                </a:r>
                <a:r>
                  <a:rPr lang="nl-NL" sz="1600" b="1" i="0" u="none" strike="noStrike" baseline="0">
                    <a:solidFill>
                      <a:srgbClr val="000000"/>
                    </a:solidFill>
                    <a:latin typeface="Symbol"/>
                  </a:rPr>
                  <a:t>b</a:t>
                </a:r>
                <a:r>
                  <a:rPr lang="nl-NL" sz="1600" b="1" i="0" u="none" strike="noStrike" baseline="-25000">
                    <a:solidFill>
                      <a:srgbClr val="000000"/>
                    </a:solidFill>
                    <a:latin typeface="Arial"/>
                    <a:cs typeface="Arial"/>
                  </a:rPr>
                  <a:t>e</a:t>
                </a:r>
                <a:r>
                  <a:rPr lang="nl-NL" sz="160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(degr)</a:t>
                </a:r>
              </a:p>
            </c:rich>
          </c:tx>
          <c:layout>
            <c:manualLayout>
              <c:xMode val="edge"/>
              <c:yMode val="edge"/>
              <c:x val="0.30280868737561767"/>
              <c:y val="0.9249580189910816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in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nl-NL"/>
          </a:p>
        </c:txPr>
        <c:crossAx val="44070784"/>
        <c:crosses val="autoZero"/>
        <c:crossBetween val="midCat"/>
      </c:valAx>
      <c:valAx>
        <c:axId val="44070784"/>
        <c:scaling>
          <c:orientation val="minMax"/>
          <c:max val="1.2"/>
        </c:scaling>
        <c:delete val="0"/>
        <c:axPos val="l"/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nl-NL" sz="160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Influence factor </a:t>
                </a:r>
                <a:r>
                  <a:rPr lang="nl-NL" sz="1600" b="1" i="0" u="none" strike="noStrike" baseline="0">
                    <a:solidFill>
                      <a:srgbClr val="000000"/>
                    </a:solidFill>
                    <a:latin typeface="Symbol"/>
                  </a:rPr>
                  <a:t>g</a:t>
                </a:r>
              </a:p>
            </c:rich>
          </c:tx>
          <c:layout>
            <c:manualLayout>
              <c:xMode val="edge"/>
              <c:yMode val="edge"/>
              <c:x val="6.1050061050061137E-3"/>
              <c:y val="0.31588187602204276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in"/>
        <c:minorTickMark val="in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nl-NL"/>
          </a:p>
        </c:txPr>
        <c:crossAx val="44055936"/>
        <c:crossesAt val="-60"/>
        <c:crossBetween val="midCat"/>
      </c:valAx>
      <c:spPr>
        <a:noFill/>
        <a:ln w="3175">
          <a:solidFill>
            <a:srgbClr val="000000"/>
          </a:solidFill>
          <a:prstDash val="solid"/>
        </a:ln>
      </c:spPr>
    </c:plotArea>
    <c:legend>
      <c:legendPos val="r"/>
      <c:legendEntry>
        <c:idx val="4"/>
        <c:delete val="1"/>
      </c:legendEntry>
      <c:legendEntry>
        <c:idx val="5"/>
        <c:delete val="1"/>
      </c:legendEntry>
      <c:legendEntry>
        <c:idx val="6"/>
        <c:delete val="1"/>
      </c:legendEntry>
      <c:legendEntry>
        <c:idx val="7"/>
        <c:delete val="1"/>
      </c:legendEntry>
      <c:layout>
        <c:manualLayout>
          <c:xMode val="edge"/>
          <c:yMode val="edge"/>
          <c:x val="0.44810770448565734"/>
          <c:y val="0.39441627388199568"/>
          <c:w val="0.14814840452635764"/>
          <c:h val="0.24083806278141953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nl-NL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nl-NL"/>
    </a:p>
  </c:txPr>
  <c:printSettings>
    <c:headerFooter alignWithMargins="0"/>
    <c:pageMargins b="1" l="0.75000000000000033" r="0.75000000000000033" t="1" header="0.5" footer="0.5"/>
    <c:pageSetup orientation="portrait"/>
  </c:printSettings>
  <c:userShapes r:id="rId1"/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13432221831386"/>
          <c:y val="4.886580276941821E-2"/>
          <c:w val="0.84696874429157964"/>
          <c:h val="0.79755800158488144"/>
        </c:manualLayout>
      </c:layout>
      <c:scatterChart>
        <c:scatterStyle val="lineMarker"/>
        <c:varyColors val="0"/>
        <c:ser>
          <c:idx val="0"/>
          <c:order val="0"/>
          <c:tx>
            <c:v>u=0 m/s</c:v>
          </c:tx>
          <c:spPr>
            <a:ln w="28575">
              <a:noFill/>
            </a:ln>
          </c:spPr>
          <c:marker>
            <c:symbol val="square"/>
            <c:size val="7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Summary!$A$3:$A$6</c:f>
              <c:numCache>
                <c:formatCode>General</c:formatCode>
                <c:ptCount val="4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45</c:v>
                </c:pt>
              </c:numCache>
            </c:numRef>
          </c:xVal>
          <c:yVal>
            <c:numRef>
              <c:f>Summary!$F$3:$F$6</c:f>
              <c:numCache>
                <c:formatCode>0.000</c:formatCode>
                <c:ptCount val="4"/>
                <c:pt idx="0">
                  <c:v>1</c:v>
                </c:pt>
                <c:pt idx="1">
                  <c:v>0.92233009708737879</c:v>
                </c:pt>
                <c:pt idx="2">
                  <c:v>0.80369475138121549</c:v>
                </c:pt>
                <c:pt idx="3">
                  <c:v>0.71980825730632447</c:v>
                </c:pt>
              </c:numCache>
            </c:numRef>
          </c:yVal>
          <c:smooth val="0"/>
        </c:ser>
        <c:ser>
          <c:idx val="1"/>
          <c:order val="1"/>
          <c:tx>
            <c:v>u=0.15 m/s</c:v>
          </c:tx>
          <c:spPr>
            <a:ln w="28575">
              <a:noFill/>
            </a:ln>
          </c:spPr>
          <c:marker>
            <c:symbol val="square"/>
            <c:size val="7"/>
            <c:spPr>
              <a:solidFill>
                <a:srgbClr val="00B050"/>
              </a:solidFill>
              <a:ln>
                <a:solidFill>
                  <a:srgbClr val="00B050"/>
                </a:solidFill>
                <a:prstDash val="solid"/>
              </a:ln>
            </c:spPr>
          </c:marker>
          <c:xVal>
            <c:numRef>
              <c:f>Summary!$G$25:$G$28</c:f>
              <c:numCache>
                <c:formatCode>0.00</c:formatCode>
                <c:ptCount val="4"/>
                <c:pt idx="0">
                  <c:v>3.2</c:v>
                </c:pt>
                <c:pt idx="1">
                  <c:v>32.549999999999997</c:v>
                </c:pt>
                <c:pt idx="2">
                  <c:v>-26.95</c:v>
                </c:pt>
                <c:pt idx="3">
                  <c:v>-42.35</c:v>
                </c:pt>
              </c:numCache>
            </c:numRef>
          </c:xVal>
          <c:yVal>
            <c:numRef>
              <c:f>Summary!$F$25:$F$28</c:f>
              <c:numCache>
                <c:formatCode>0.000</c:formatCode>
                <c:ptCount val="4"/>
                <c:pt idx="0">
                  <c:v>1.0008600301010537</c:v>
                </c:pt>
                <c:pt idx="1">
                  <c:v>0.82098765432098775</c:v>
                </c:pt>
                <c:pt idx="2">
                  <c:v>0.91382018060463288</c:v>
                </c:pt>
                <c:pt idx="3">
                  <c:v>0.7724858944573515</c:v>
                </c:pt>
              </c:numCache>
            </c:numRef>
          </c:yVal>
          <c:smooth val="0"/>
        </c:ser>
        <c:ser>
          <c:idx val="2"/>
          <c:order val="2"/>
          <c:tx>
            <c:v>u=0.30 m/s</c:v>
          </c:tx>
          <c:spPr>
            <a:ln w="28575">
              <a:noFill/>
            </a:ln>
          </c:spPr>
          <c:marker>
            <c:symbol val="triangle"/>
            <c:size val="7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xVal>
            <c:numRef>
              <c:f>Summary!$G$30:$G$35</c:f>
              <c:numCache>
                <c:formatCode>0.00</c:formatCode>
                <c:ptCount val="6"/>
                <c:pt idx="0">
                  <c:v>6.25</c:v>
                </c:pt>
                <c:pt idx="1">
                  <c:v>19.8</c:v>
                </c:pt>
                <c:pt idx="2">
                  <c:v>-9.0500000000000007</c:v>
                </c:pt>
                <c:pt idx="3">
                  <c:v>34.6</c:v>
                </c:pt>
                <c:pt idx="4">
                  <c:v>-23.25</c:v>
                </c:pt>
                <c:pt idx="5">
                  <c:v>-38.549999999999997</c:v>
                </c:pt>
              </c:numCache>
            </c:numRef>
          </c:xVal>
          <c:yVal>
            <c:numRef>
              <c:f>Summary!$F$30:$F$35</c:f>
              <c:numCache>
                <c:formatCode>0.000</c:formatCode>
                <c:ptCount val="6"/>
                <c:pt idx="0">
                  <c:v>1.010418927718689</c:v>
                </c:pt>
                <c:pt idx="1">
                  <c:v>0.93586650583031772</c:v>
                </c:pt>
                <c:pt idx="2">
                  <c:v>0.90038684719535789</c:v>
                </c:pt>
                <c:pt idx="3">
                  <c:v>0.91078066914498146</c:v>
                </c:pt>
                <c:pt idx="4">
                  <c:v>0.97855791465209174</c:v>
                </c:pt>
                <c:pt idx="5">
                  <c:v>0.83753148614609574</c:v>
                </c:pt>
              </c:numCache>
            </c:numRef>
          </c:yVal>
          <c:smooth val="0"/>
        </c:ser>
        <c:ser>
          <c:idx val="3"/>
          <c:order val="3"/>
          <c:tx>
            <c:v>u=0.40 m/s</c:v>
          </c:tx>
          <c:spPr>
            <a:ln w="28575">
              <a:noFill/>
            </a:ln>
          </c:spPr>
          <c:marker>
            <c:symbol val="triangle"/>
            <c:size val="7"/>
            <c:spPr>
              <a:solidFill>
                <a:srgbClr val="0070C0"/>
              </a:solidFill>
              <a:ln>
                <a:solidFill>
                  <a:srgbClr val="0070C0"/>
                </a:solidFill>
                <a:prstDash val="solid"/>
              </a:ln>
            </c:spPr>
          </c:marker>
          <c:xVal>
            <c:numRef>
              <c:f>Summary!$G$37:$G$40</c:f>
              <c:numCache>
                <c:formatCode>0.00</c:formatCode>
                <c:ptCount val="4"/>
                <c:pt idx="0">
                  <c:v>8.15</c:v>
                </c:pt>
                <c:pt idx="1">
                  <c:v>35.799999999999997</c:v>
                </c:pt>
                <c:pt idx="2">
                  <c:v>-20.2</c:v>
                </c:pt>
                <c:pt idx="3">
                  <c:v>-34.799999999999997</c:v>
                </c:pt>
              </c:numCache>
            </c:numRef>
          </c:xVal>
          <c:yVal>
            <c:numRef>
              <c:f>Summary!$F$37:$F$40</c:f>
              <c:numCache>
                <c:formatCode>0.000</c:formatCode>
                <c:ptCount val="4"/>
                <c:pt idx="0">
                  <c:v>1.004965457685665</c:v>
                </c:pt>
                <c:pt idx="1">
                  <c:v>0.8502283105022832</c:v>
                </c:pt>
                <c:pt idx="2">
                  <c:v>1.0170417303910859</c:v>
                </c:pt>
                <c:pt idx="3">
                  <c:v>0.82652698863636376</c:v>
                </c:pt>
              </c:numCache>
            </c:numRef>
          </c:yVal>
          <c:smooth val="0"/>
        </c:ser>
        <c:ser>
          <c:idx val="6"/>
          <c:order val="4"/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Summary!$X$43:$X$44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xVal>
          <c:yVal>
            <c:numRef>
              <c:f>Summary!$Y$43:$Y$44</c:f>
              <c:numCache>
                <c:formatCode>General</c:formatCode>
                <c:ptCount val="2"/>
                <c:pt idx="0">
                  <c:v>0</c:v>
                </c:pt>
                <c:pt idx="1">
                  <c:v>1.2</c:v>
                </c:pt>
              </c:numCache>
            </c:numRef>
          </c:yVal>
          <c:smooth val="0"/>
        </c:ser>
        <c:ser>
          <c:idx val="7"/>
          <c:order val="5"/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Summary!$A$53:$A$135</c:f>
              <c:numCache>
                <c:formatCode>General</c:formatCode>
                <c:ptCount val="83"/>
                <c:pt idx="0">
                  <c:v>-50</c:v>
                </c:pt>
                <c:pt idx="1">
                  <c:v>-49</c:v>
                </c:pt>
                <c:pt idx="2">
                  <c:v>-48</c:v>
                </c:pt>
                <c:pt idx="3">
                  <c:v>-47</c:v>
                </c:pt>
                <c:pt idx="4">
                  <c:v>-46</c:v>
                </c:pt>
                <c:pt idx="5">
                  <c:v>-45</c:v>
                </c:pt>
                <c:pt idx="6">
                  <c:v>-44</c:v>
                </c:pt>
                <c:pt idx="7">
                  <c:v>-43</c:v>
                </c:pt>
                <c:pt idx="8">
                  <c:v>-42</c:v>
                </c:pt>
                <c:pt idx="9">
                  <c:v>-41</c:v>
                </c:pt>
                <c:pt idx="10">
                  <c:v>-40</c:v>
                </c:pt>
                <c:pt idx="11">
                  <c:v>-39</c:v>
                </c:pt>
                <c:pt idx="12">
                  <c:v>-38</c:v>
                </c:pt>
                <c:pt idx="13">
                  <c:v>-37</c:v>
                </c:pt>
                <c:pt idx="14">
                  <c:v>-36</c:v>
                </c:pt>
                <c:pt idx="15">
                  <c:v>-35</c:v>
                </c:pt>
                <c:pt idx="16">
                  <c:v>-34</c:v>
                </c:pt>
                <c:pt idx="17">
                  <c:v>-33</c:v>
                </c:pt>
                <c:pt idx="18">
                  <c:v>-32</c:v>
                </c:pt>
                <c:pt idx="19">
                  <c:v>-31</c:v>
                </c:pt>
                <c:pt idx="20">
                  <c:v>-30</c:v>
                </c:pt>
                <c:pt idx="21">
                  <c:v>-29</c:v>
                </c:pt>
                <c:pt idx="22">
                  <c:v>-28</c:v>
                </c:pt>
                <c:pt idx="23">
                  <c:v>-27</c:v>
                </c:pt>
                <c:pt idx="24">
                  <c:v>-26</c:v>
                </c:pt>
                <c:pt idx="25">
                  <c:v>-25</c:v>
                </c:pt>
                <c:pt idx="26">
                  <c:v>-24</c:v>
                </c:pt>
                <c:pt idx="27">
                  <c:v>-23</c:v>
                </c:pt>
                <c:pt idx="28">
                  <c:v>-22</c:v>
                </c:pt>
                <c:pt idx="29">
                  <c:v>-21</c:v>
                </c:pt>
                <c:pt idx="30">
                  <c:v>-20</c:v>
                </c:pt>
                <c:pt idx="31">
                  <c:v>-19</c:v>
                </c:pt>
                <c:pt idx="32">
                  <c:v>-18</c:v>
                </c:pt>
                <c:pt idx="33">
                  <c:v>-17</c:v>
                </c:pt>
                <c:pt idx="34">
                  <c:v>-16</c:v>
                </c:pt>
                <c:pt idx="35">
                  <c:v>-15</c:v>
                </c:pt>
                <c:pt idx="36">
                  <c:v>-14</c:v>
                </c:pt>
                <c:pt idx="37">
                  <c:v>-13</c:v>
                </c:pt>
                <c:pt idx="38">
                  <c:v>-12</c:v>
                </c:pt>
                <c:pt idx="39">
                  <c:v>-11</c:v>
                </c:pt>
                <c:pt idx="40">
                  <c:v>-10</c:v>
                </c:pt>
                <c:pt idx="41">
                  <c:v>0</c:v>
                </c:pt>
                <c:pt idx="42">
                  <c:v>10</c:v>
                </c:pt>
                <c:pt idx="43">
                  <c:v>11</c:v>
                </c:pt>
                <c:pt idx="44">
                  <c:v>12</c:v>
                </c:pt>
                <c:pt idx="45">
                  <c:v>13</c:v>
                </c:pt>
                <c:pt idx="46">
                  <c:v>14</c:v>
                </c:pt>
                <c:pt idx="47">
                  <c:v>15</c:v>
                </c:pt>
                <c:pt idx="48">
                  <c:v>16</c:v>
                </c:pt>
                <c:pt idx="49">
                  <c:v>17</c:v>
                </c:pt>
                <c:pt idx="50">
                  <c:v>18</c:v>
                </c:pt>
                <c:pt idx="51">
                  <c:v>19</c:v>
                </c:pt>
                <c:pt idx="52">
                  <c:v>20</c:v>
                </c:pt>
                <c:pt idx="53">
                  <c:v>21</c:v>
                </c:pt>
                <c:pt idx="54">
                  <c:v>22</c:v>
                </c:pt>
                <c:pt idx="55">
                  <c:v>23</c:v>
                </c:pt>
                <c:pt idx="56">
                  <c:v>24</c:v>
                </c:pt>
                <c:pt idx="57">
                  <c:v>25</c:v>
                </c:pt>
                <c:pt idx="58">
                  <c:v>26</c:v>
                </c:pt>
                <c:pt idx="59">
                  <c:v>27</c:v>
                </c:pt>
                <c:pt idx="60">
                  <c:v>28</c:v>
                </c:pt>
                <c:pt idx="61">
                  <c:v>29</c:v>
                </c:pt>
                <c:pt idx="62">
                  <c:v>30</c:v>
                </c:pt>
                <c:pt idx="63">
                  <c:v>31</c:v>
                </c:pt>
                <c:pt idx="64">
                  <c:v>32</c:v>
                </c:pt>
                <c:pt idx="65">
                  <c:v>33</c:v>
                </c:pt>
                <c:pt idx="66">
                  <c:v>34</c:v>
                </c:pt>
                <c:pt idx="67">
                  <c:v>35</c:v>
                </c:pt>
                <c:pt idx="68">
                  <c:v>36</c:v>
                </c:pt>
                <c:pt idx="69">
                  <c:v>37</c:v>
                </c:pt>
                <c:pt idx="70">
                  <c:v>38</c:v>
                </c:pt>
                <c:pt idx="71">
                  <c:v>39</c:v>
                </c:pt>
                <c:pt idx="72">
                  <c:v>40</c:v>
                </c:pt>
                <c:pt idx="73">
                  <c:v>41</c:v>
                </c:pt>
                <c:pt idx="74">
                  <c:v>42</c:v>
                </c:pt>
                <c:pt idx="75">
                  <c:v>43</c:v>
                </c:pt>
                <c:pt idx="76">
                  <c:v>44</c:v>
                </c:pt>
                <c:pt idx="77">
                  <c:v>45</c:v>
                </c:pt>
                <c:pt idx="78">
                  <c:v>46</c:v>
                </c:pt>
                <c:pt idx="79">
                  <c:v>47</c:v>
                </c:pt>
                <c:pt idx="80">
                  <c:v>48</c:v>
                </c:pt>
                <c:pt idx="81">
                  <c:v>49</c:v>
                </c:pt>
                <c:pt idx="82">
                  <c:v>50</c:v>
                </c:pt>
              </c:numCache>
            </c:numRef>
          </c:xVal>
          <c:yVal>
            <c:numRef>
              <c:f>Summary!$B$53:$B$135</c:f>
              <c:numCache>
                <c:formatCode>General</c:formatCode>
                <c:ptCount val="83"/>
                <c:pt idx="0">
                  <c:v>0.58682408883346515</c:v>
                </c:pt>
                <c:pt idx="1">
                  <c:v>0.6039558454088797</c:v>
                </c:pt>
                <c:pt idx="2">
                  <c:v>0.62096094779983391</c:v>
                </c:pt>
                <c:pt idx="3">
                  <c:v>0.63781867790849955</c:v>
                </c:pt>
                <c:pt idx="4">
                  <c:v>0.65450849718747373</c:v>
                </c:pt>
                <c:pt idx="5">
                  <c:v>0.67101007166283433</c:v>
                </c:pt>
                <c:pt idx="6">
                  <c:v>0.68730329670795587</c:v>
                </c:pt>
                <c:pt idx="7">
                  <c:v>0.70336832153790019</c:v>
                </c:pt>
                <c:pt idx="8">
                  <c:v>0.7191855733945387</c:v>
                </c:pt>
                <c:pt idx="9">
                  <c:v>0.73473578139294549</c:v>
                </c:pt>
                <c:pt idx="10">
                  <c:v>0.75000000000000011</c:v>
                </c:pt>
                <c:pt idx="11">
                  <c:v>0.76495963211660234</c:v>
                </c:pt>
                <c:pt idx="12">
                  <c:v>0.77959645173537351</c:v>
                </c:pt>
                <c:pt idx="13">
                  <c:v>0.79389262614623668</c:v>
                </c:pt>
                <c:pt idx="14">
                  <c:v>0.8078307376628292</c:v>
                </c:pt>
                <c:pt idx="15">
                  <c:v>0.82139380484326963</c:v>
                </c:pt>
                <c:pt idx="16">
                  <c:v>0.83456530317942901</c:v>
                </c:pt>
                <c:pt idx="17">
                  <c:v>0.84732918522949874</c:v>
                </c:pt>
                <c:pt idx="18">
                  <c:v>0.85966990016932565</c:v>
                </c:pt>
                <c:pt idx="19">
                  <c:v>0.87157241273869712</c:v>
                </c:pt>
                <c:pt idx="20">
                  <c:v>0.88302222155948906</c:v>
                </c:pt>
                <c:pt idx="21">
                  <c:v>0.89400537680336101</c:v>
                </c:pt>
                <c:pt idx="22">
                  <c:v>0.90450849718747361</c:v>
                </c:pt>
                <c:pt idx="23">
                  <c:v>0.91451878627752081</c:v>
                </c:pt>
                <c:pt idx="24">
                  <c:v>0.92402404807821303</c:v>
                </c:pt>
                <c:pt idx="25">
                  <c:v>0.93301270189221941</c:v>
                </c:pt>
                <c:pt idx="26">
                  <c:v>0.94147379642946349</c:v>
                </c:pt>
                <c:pt idx="27">
                  <c:v>0.94939702314958352</c:v>
                </c:pt>
                <c:pt idx="28">
                  <c:v>0.9567727288213006</c:v>
                </c:pt>
                <c:pt idx="29">
                  <c:v>0.96359192728339371</c:v>
                </c:pt>
                <c:pt idx="30">
                  <c:v>0.9698463103929541</c:v>
                </c:pt>
                <c:pt idx="31">
                  <c:v>0.97552825814757682</c:v>
                </c:pt>
                <c:pt idx="32">
                  <c:v>0.98063084796915956</c:v>
                </c:pt>
                <c:pt idx="33">
                  <c:v>0.98514786313799818</c:v>
                </c:pt>
                <c:pt idx="34">
                  <c:v>0.98907380036690273</c:v>
                </c:pt>
                <c:pt idx="35">
                  <c:v>0.99240387650610407</c:v>
                </c:pt>
                <c:pt idx="36">
                  <c:v>0.99513403437078507</c:v>
                </c:pt>
                <c:pt idx="37">
                  <c:v>0.99726094768413653</c:v>
                </c:pt>
                <c:pt idx="38">
                  <c:v>0.99878202512991221</c:v>
                </c:pt>
                <c:pt idx="39">
                  <c:v>0.99969541350954794</c:v>
                </c:pt>
                <c:pt idx="40">
                  <c:v>1</c:v>
                </c:pt>
                <c:pt idx="41" formatCode="0.00">
                  <c:v>1</c:v>
                </c:pt>
                <c:pt idx="42" formatCode="0.00">
                  <c:v>1</c:v>
                </c:pt>
                <c:pt idx="43">
                  <c:v>0.99969541350954794</c:v>
                </c:pt>
                <c:pt idx="44">
                  <c:v>0.99878202512991221</c:v>
                </c:pt>
                <c:pt idx="45">
                  <c:v>0.99726094768413653</c:v>
                </c:pt>
                <c:pt idx="46">
                  <c:v>0.99513403437078507</c:v>
                </c:pt>
                <c:pt idx="47">
                  <c:v>0.99240387650610407</c:v>
                </c:pt>
                <c:pt idx="48">
                  <c:v>0.98907380036690273</c:v>
                </c:pt>
                <c:pt idx="49">
                  <c:v>0.98514786313799818</c:v>
                </c:pt>
                <c:pt idx="50">
                  <c:v>0.98063084796915956</c:v>
                </c:pt>
                <c:pt idx="51">
                  <c:v>0.97552825814757682</c:v>
                </c:pt>
                <c:pt idx="52">
                  <c:v>0.9698463103929541</c:v>
                </c:pt>
                <c:pt idx="53">
                  <c:v>0.96359192728339371</c:v>
                </c:pt>
                <c:pt idx="54">
                  <c:v>0.9567727288213006</c:v>
                </c:pt>
                <c:pt idx="55">
                  <c:v>0.94939702314958352</c:v>
                </c:pt>
                <c:pt idx="56">
                  <c:v>0.94147379642946349</c:v>
                </c:pt>
                <c:pt idx="57">
                  <c:v>0.93301270189221941</c:v>
                </c:pt>
                <c:pt idx="58">
                  <c:v>0.92402404807821303</c:v>
                </c:pt>
                <c:pt idx="59">
                  <c:v>0.91451878627752081</c:v>
                </c:pt>
                <c:pt idx="60">
                  <c:v>0.90450849718747361</c:v>
                </c:pt>
                <c:pt idx="61">
                  <c:v>0.89400537680336101</c:v>
                </c:pt>
                <c:pt idx="62">
                  <c:v>0.88302222155948906</c:v>
                </c:pt>
                <c:pt idx="63">
                  <c:v>0.87157241273869712</c:v>
                </c:pt>
                <c:pt idx="64">
                  <c:v>0.85966990016932565</c:v>
                </c:pt>
                <c:pt idx="65">
                  <c:v>0.84732918522949874</c:v>
                </c:pt>
                <c:pt idx="66">
                  <c:v>0.83456530317942901</c:v>
                </c:pt>
                <c:pt idx="67">
                  <c:v>0.82139380484326963</c:v>
                </c:pt>
                <c:pt idx="68">
                  <c:v>0.8078307376628292</c:v>
                </c:pt>
                <c:pt idx="69">
                  <c:v>0.79389262614623668</c:v>
                </c:pt>
                <c:pt idx="70">
                  <c:v>0.77959645173537351</c:v>
                </c:pt>
                <c:pt idx="71">
                  <c:v>0.76495963211660234</c:v>
                </c:pt>
                <c:pt idx="72">
                  <c:v>0.75000000000000011</c:v>
                </c:pt>
                <c:pt idx="73">
                  <c:v>0.73473578139294549</c:v>
                </c:pt>
                <c:pt idx="74">
                  <c:v>0.7191855733945387</c:v>
                </c:pt>
                <c:pt idx="75">
                  <c:v>0.70336832153790019</c:v>
                </c:pt>
                <c:pt idx="76">
                  <c:v>0.68730329670795587</c:v>
                </c:pt>
                <c:pt idx="77">
                  <c:v>0.67101007166283433</c:v>
                </c:pt>
                <c:pt idx="78">
                  <c:v>0.65450849718747373</c:v>
                </c:pt>
                <c:pt idx="79">
                  <c:v>0.63781867790849955</c:v>
                </c:pt>
                <c:pt idx="80">
                  <c:v>0.62096094779983391</c:v>
                </c:pt>
                <c:pt idx="81">
                  <c:v>0.6039558454088797</c:v>
                </c:pt>
                <c:pt idx="82">
                  <c:v>0.58682408883346515</c:v>
                </c:pt>
              </c:numCache>
            </c:numRef>
          </c:yVal>
          <c:smooth val="0"/>
        </c:ser>
        <c:ser>
          <c:idx val="8"/>
          <c:order val="6"/>
          <c:spPr>
            <a:ln w="28575">
              <a:noFill/>
            </a:ln>
          </c:spPr>
          <c:marker>
            <c:symbol val="square"/>
            <c:size val="7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Summary!$G$46:$G$48</c:f>
              <c:numCache>
                <c:formatCode>General</c:formatCode>
                <c:ptCount val="3"/>
                <c:pt idx="0">
                  <c:v>-15</c:v>
                </c:pt>
                <c:pt idx="1">
                  <c:v>-30</c:v>
                </c:pt>
                <c:pt idx="2">
                  <c:v>-45</c:v>
                </c:pt>
              </c:numCache>
            </c:numRef>
          </c:xVal>
          <c:yVal>
            <c:numRef>
              <c:f>Summary!$H$46:$H$48</c:f>
              <c:numCache>
                <c:formatCode>0.000</c:formatCode>
                <c:ptCount val="3"/>
                <c:pt idx="0">
                  <c:v>0.92233009708737879</c:v>
                </c:pt>
                <c:pt idx="1">
                  <c:v>0.80369475138121549</c:v>
                </c:pt>
                <c:pt idx="2">
                  <c:v>0.71980825730632447</c:v>
                </c:pt>
              </c:numCache>
            </c:numRef>
          </c:yVal>
          <c:smooth val="0"/>
        </c:ser>
        <c:ser>
          <c:idx val="9"/>
          <c:order val="7"/>
          <c:spPr>
            <a:ln w="28575">
              <a:noFill/>
            </a:ln>
          </c:spPr>
          <c:marker>
            <c:symbol val="square"/>
            <c:size val="7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Summary!$G$46:$G$48</c:f>
              <c:numCache>
                <c:formatCode>General</c:formatCode>
                <c:ptCount val="3"/>
                <c:pt idx="0">
                  <c:v>-15</c:v>
                </c:pt>
                <c:pt idx="1">
                  <c:v>-30</c:v>
                </c:pt>
                <c:pt idx="2">
                  <c:v>-45</c:v>
                </c:pt>
              </c:numCache>
            </c:numRef>
          </c:xVal>
          <c:yVal>
            <c:numRef>
              <c:f>Summary!$I$46:$I$48</c:f>
              <c:numCache>
                <c:formatCode>General</c:formatCode>
                <c:ptCount val="3"/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155648"/>
        <c:axId val="44157952"/>
      </c:scatterChart>
      <c:valAx>
        <c:axId val="44155648"/>
        <c:scaling>
          <c:orientation val="minMax"/>
          <c:max val="60"/>
          <c:min val="-60"/>
        </c:scaling>
        <c:delete val="0"/>
        <c:axPos val="b"/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nl-NL" sz="160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Combined angle of attack 0.5(</a:t>
                </a:r>
                <a:r>
                  <a:rPr lang="nl-NL" sz="1600" b="1" i="0" u="none" strike="noStrike" kern="1200" baseline="0">
                    <a:solidFill>
                      <a:srgbClr val="000000"/>
                    </a:solidFill>
                    <a:latin typeface="Symbol"/>
                    <a:ea typeface="Calibri"/>
                    <a:cs typeface="Calibri"/>
                  </a:rPr>
                  <a:t>b</a:t>
                </a:r>
                <a:r>
                  <a:rPr lang="nl-NL" sz="1100" b="1" i="0" u="none" strike="noStrike" baseline="0"/>
                  <a:t>+</a:t>
                </a:r>
                <a:r>
                  <a:rPr lang="nl-NL" sz="1600" b="1" i="0" u="none" strike="noStrike" baseline="0">
                    <a:solidFill>
                      <a:srgbClr val="000000"/>
                    </a:solidFill>
                    <a:latin typeface="Symbol"/>
                  </a:rPr>
                  <a:t>b</a:t>
                </a:r>
                <a:r>
                  <a:rPr lang="nl-NL" sz="1600" b="1" i="0" u="none" strike="noStrike" baseline="-25000">
                    <a:solidFill>
                      <a:srgbClr val="000000"/>
                    </a:solidFill>
                    <a:latin typeface="Arial"/>
                    <a:cs typeface="Arial"/>
                  </a:rPr>
                  <a:t>e</a:t>
                </a:r>
                <a:r>
                  <a:rPr lang="nl-NL" sz="160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) (degr)</a:t>
                </a:r>
              </a:p>
            </c:rich>
          </c:tx>
          <c:layout>
            <c:manualLayout>
              <c:xMode val="edge"/>
              <c:yMode val="edge"/>
              <c:x val="0.302808687375618"/>
              <c:y val="0.9249580189910816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in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nl-NL"/>
          </a:p>
        </c:txPr>
        <c:crossAx val="44157952"/>
        <c:crosses val="autoZero"/>
        <c:crossBetween val="midCat"/>
      </c:valAx>
      <c:valAx>
        <c:axId val="44157952"/>
        <c:scaling>
          <c:orientation val="minMax"/>
          <c:max val="1.2"/>
        </c:scaling>
        <c:delete val="0"/>
        <c:axPos val="l"/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nl-NL" sz="160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Influence factor </a:t>
                </a:r>
                <a:r>
                  <a:rPr lang="nl-NL" sz="1600" b="1" i="0" u="none" strike="noStrike" baseline="0">
                    <a:solidFill>
                      <a:srgbClr val="000000"/>
                    </a:solidFill>
                    <a:latin typeface="Symbol"/>
                  </a:rPr>
                  <a:t>g</a:t>
                </a:r>
              </a:p>
            </c:rich>
          </c:tx>
          <c:layout>
            <c:manualLayout>
              <c:xMode val="edge"/>
              <c:yMode val="edge"/>
              <c:x val="6.1050061050061163E-3"/>
              <c:y val="0.3158818760220431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in"/>
        <c:minorTickMark val="in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nl-NL"/>
          </a:p>
        </c:txPr>
        <c:crossAx val="44155648"/>
        <c:crossesAt val="-60"/>
        <c:crossBetween val="midCat"/>
      </c:valAx>
      <c:spPr>
        <a:noFill/>
        <a:ln w="3175">
          <a:solidFill>
            <a:srgbClr val="000000"/>
          </a:solidFill>
          <a:prstDash val="solid"/>
        </a:ln>
      </c:spPr>
    </c:plotArea>
    <c:legend>
      <c:legendPos val="r"/>
      <c:legendEntry>
        <c:idx val="4"/>
        <c:delete val="1"/>
      </c:legendEntry>
      <c:legendEntry>
        <c:idx val="5"/>
        <c:delete val="1"/>
      </c:legendEntry>
      <c:legendEntry>
        <c:idx val="6"/>
        <c:delete val="1"/>
      </c:legendEntry>
      <c:legendEntry>
        <c:idx val="7"/>
        <c:delete val="1"/>
      </c:legendEntry>
      <c:layout>
        <c:manualLayout>
          <c:xMode val="edge"/>
          <c:yMode val="edge"/>
          <c:x val="0.44810770448565734"/>
          <c:y val="0.39441627388199596"/>
          <c:w val="0.14814840452635775"/>
          <c:h val="0.24083806278141959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nl-NL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nl-NL"/>
    </a:p>
  </c:txPr>
  <c:printSettings>
    <c:headerFooter alignWithMargins="0"/>
    <c:pageMargins b="1" l="0.75000000000000022" r="0.75000000000000022" t="1" header="0.5" footer="0.5"/>
    <c:pageSetup orientation="portrait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274382655477512"/>
          <c:y val="4.9001814882032729E-2"/>
          <c:w val="0.84837644824623959"/>
          <c:h val="0.81488203266787729"/>
        </c:manualLayout>
      </c:layout>
      <c:scatterChart>
        <c:scatterStyle val="lineMarker"/>
        <c:varyColors val="0"/>
        <c:ser>
          <c:idx val="7"/>
          <c:order val="0"/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Figures!$O$2:$O$3</c:f>
              <c:numCache>
                <c:formatCode>General</c:formatCode>
                <c:ptCount val="2"/>
                <c:pt idx="0">
                  <c:v>0.2</c:v>
                </c:pt>
                <c:pt idx="1">
                  <c:v>1.8</c:v>
                </c:pt>
              </c:numCache>
            </c:numRef>
          </c:xVal>
          <c:yVal>
            <c:numRef>
              <c:f>Figures!$P$2:$P$3</c:f>
              <c:numCache>
                <c:formatCode>General</c:formatCode>
                <c:ptCount val="2"/>
                <c:pt idx="0">
                  <c:v>2.5911648571451579E-2</c:v>
                </c:pt>
                <c:pt idx="1">
                  <c:v>1.2967521670392288E-5</c:v>
                </c:pt>
              </c:numCache>
            </c:numRef>
          </c:yVal>
          <c:smooth val="0"/>
        </c:ser>
        <c:ser>
          <c:idx val="8"/>
          <c:order val="1"/>
          <c:spPr>
            <a:ln w="12700">
              <a:solidFill>
                <a:srgbClr val="000000"/>
              </a:solidFill>
              <a:prstDash val="lgDash"/>
            </a:ln>
          </c:spPr>
          <c:marker>
            <c:symbol val="none"/>
          </c:marker>
          <c:xVal>
            <c:numRef>
              <c:f>Figures!$O$5:$O$6</c:f>
              <c:numCache>
                <c:formatCode>General</c:formatCode>
                <c:ptCount val="2"/>
                <c:pt idx="0">
                  <c:v>0.2</c:v>
                </c:pt>
                <c:pt idx="1">
                  <c:v>1.8</c:v>
                </c:pt>
              </c:numCache>
            </c:numRef>
          </c:xVal>
          <c:yVal>
            <c:numRef>
              <c:f>Figures!$P$5:$P$6</c:f>
              <c:numCache>
                <c:formatCode>General</c:formatCode>
                <c:ptCount val="2"/>
                <c:pt idx="0">
                  <c:v>2.1992304998783182E-2</c:v>
                </c:pt>
                <c:pt idx="1">
                  <c:v>2.9637278904352227E-6</c:v>
                </c:pt>
              </c:numCache>
            </c:numRef>
          </c:yVal>
          <c:smooth val="0"/>
        </c:ser>
        <c:ser>
          <c:idx val="9"/>
          <c:order val="2"/>
          <c:spPr>
            <a:ln w="12700">
              <a:solidFill>
                <a:srgbClr val="000000"/>
              </a:solidFill>
              <a:prstDash val="lgDash"/>
            </a:ln>
          </c:spPr>
          <c:marker>
            <c:symbol val="none"/>
          </c:marker>
          <c:xVal>
            <c:numRef>
              <c:f>Figures!$O$8:$O$9</c:f>
              <c:numCache>
                <c:formatCode>General</c:formatCode>
                <c:ptCount val="2"/>
                <c:pt idx="0">
                  <c:v>0.2</c:v>
                </c:pt>
                <c:pt idx="1">
                  <c:v>1.8</c:v>
                </c:pt>
              </c:numCache>
            </c:numRef>
          </c:xVal>
          <c:yVal>
            <c:numRef>
              <c:f>Figures!$P$8:$P$9</c:f>
              <c:numCache>
                <c:formatCode>General</c:formatCode>
                <c:ptCount val="2"/>
                <c:pt idx="0">
                  <c:v>3.0529475274536137E-2</c:v>
                </c:pt>
                <c:pt idx="1">
                  <c:v>5.6738210958833902E-5</c:v>
                </c:pt>
              </c:numCache>
            </c:numRef>
          </c:yVal>
          <c:smooth val="0"/>
        </c:ser>
        <c:ser>
          <c:idx val="0"/>
          <c:order val="3"/>
          <c:tx>
            <c:v>Flowdike 2</c:v>
          </c:tx>
          <c:spPr>
            <a:ln w="28575">
              <a:noFill/>
            </a:ln>
          </c:spPr>
          <c:marker>
            <c:symbol val="diamond"/>
            <c:size val="7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trendline>
            <c:name>B=0 u=0 m/s</c:nam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exp"/>
            <c:intercept val="6.7000000000000004E-2"/>
            <c:dispRSqr val="1"/>
            <c:dispEq val="1"/>
            <c:trendlineLbl>
              <c:layout>
                <c:manualLayout>
                  <c:x val="2.7573015466929526E-2"/>
                  <c:y val="-0.37960644211669547"/>
                </c:manualLayout>
              </c:layout>
              <c:numFmt formatCode="General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25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nl-NL"/>
                </a:p>
              </c:txPr>
            </c:trendlineLbl>
          </c:trendline>
          <c:xVal>
            <c:numRef>
              <c:f>'First analysis'!$U$7:$U$32</c:f>
              <c:numCache>
                <c:formatCode>General</c:formatCode>
                <c:ptCount val="26"/>
                <c:pt idx="0">
                  <c:v>0.51693551020304518</c:v>
                </c:pt>
                <c:pt idx="1">
                  <c:v>0.76483455064886774</c:v>
                </c:pt>
                <c:pt idx="2">
                  <c:v>0.41312313403430817</c:v>
                </c:pt>
                <c:pt idx="3">
                  <c:v>0.5916577571828775</c:v>
                </c:pt>
                <c:pt idx="4">
                  <c:v>0.31285946091724209</c:v>
                </c:pt>
                <c:pt idx="5">
                  <c:v>0.46759783678185662</c:v>
                </c:pt>
                <c:pt idx="6">
                  <c:v>0.51693551020304518</c:v>
                </c:pt>
                <c:pt idx="7">
                  <c:v>0.76483455064886774</c:v>
                </c:pt>
                <c:pt idx="8">
                  <c:v>0.41312313403430817</c:v>
                </c:pt>
                <c:pt idx="9">
                  <c:v>0.5916577571828775</c:v>
                </c:pt>
                <c:pt idx="10">
                  <c:v>0.31285946091724209</c:v>
                </c:pt>
                <c:pt idx="11">
                  <c:v>0.46759783678185662</c:v>
                </c:pt>
                <c:pt idx="12">
                  <c:v>1.2726572524293509</c:v>
                </c:pt>
                <c:pt idx="13">
                  <c:v>0.97926189262544694</c:v>
                </c:pt>
                <c:pt idx="14">
                  <c:v>1.4122624236685368</c:v>
                </c:pt>
                <c:pt idx="15">
                  <c:v>1.2726572524293509</c:v>
                </c:pt>
                <c:pt idx="16">
                  <c:v>0.97926189262544694</c:v>
                </c:pt>
                <c:pt idx="17">
                  <c:v>1.4122624236685368</c:v>
                </c:pt>
                <c:pt idx="18">
                  <c:v>0.97634288188627805</c:v>
                </c:pt>
                <c:pt idx="19">
                  <c:v>0.63126657881365655</c:v>
                </c:pt>
                <c:pt idx="20">
                  <c:v>0.94594890051343827</c:v>
                </c:pt>
                <c:pt idx="21">
                  <c:v>0.97634288188627805</c:v>
                </c:pt>
                <c:pt idx="22">
                  <c:v>0.63126657881365655</c:v>
                </c:pt>
                <c:pt idx="23">
                  <c:v>0.94594890051343827</c:v>
                </c:pt>
                <c:pt idx="24">
                  <c:v>1.302201721894944</c:v>
                </c:pt>
                <c:pt idx="25">
                  <c:v>1.302201721894944</c:v>
                </c:pt>
              </c:numCache>
            </c:numRef>
          </c:xVal>
          <c:yVal>
            <c:numRef>
              <c:f>'First analysis'!$Y$7:$Y$32</c:f>
              <c:numCache>
                <c:formatCode>General</c:formatCode>
                <c:ptCount val="26"/>
                <c:pt idx="0">
                  <c:v>6.0067458474327177E-3</c:v>
                </c:pt>
                <c:pt idx="1">
                  <c:v>1.6793300306038484E-3</c:v>
                </c:pt>
                <c:pt idx="2">
                  <c:v>1.0957872942195161E-2</c:v>
                </c:pt>
                <c:pt idx="3">
                  <c:v>4.7331660419306764E-3</c:v>
                </c:pt>
                <c:pt idx="4">
                  <c:v>1.4916058444068745E-2</c:v>
                </c:pt>
                <c:pt idx="5">
                  <c:v>9.4014335105898576E-3</c:v>
                </c:pt>
                <c:pt idx="6">
                  <c:v>7.4664419712701068E-3</c:v>
                </c:pt>
                <c:pt idx="7">
                  <c:v>1.4419268277787005E-3</c:v>
                </c:pt>
                <c:pt idx="8">
                  <c:v>7.9005675439406085E-3</c:v>
                </c:pt>
                <c:pt idx="9">
                  <c:v>4.0429705631210558E-3</c:v>
                </c:pt>
                <c:pt idx="10">
                  <c:v>1.1360377877621022E-2</c:v>
                </c:pt>
                <c:pt idx="11">
                  <c:v>8.2056399795256314E-3</c:v>
                </c:pt>
                <c:pt idx="12">
                  <c:v>1.030950884087279E-4</c:v>
                </c:pt>
                <c:pt idx="13">
                  <c:v>5.3240691706786297E-4</c:v>
                </c:pt>
                <c:pt idx="14">
                  <c:v>7.9313656214570236E-5</c:v>
                </c:pt>
                <c:pt idx="15">
                  <c:v>2.759975094076917E-4</c:v>
                </c:pt>
                <c:pt idx="16">
                  <c:v>1.9175578270913805E-3</c:v>
                </c:pt>
                <c:pt idx="17">
                  <c:v>8.3574307168245493E-5</c:v>
                </c:pt>
                <c:pt idx="18">
                  <c:v>6.6706256618973784E-4</c:v>
                </c:pt>
                <c:pt idx="20">
                  <c:v>1.040164926671978E-3</c:v>
                </c:pt>
                <c:pt idx="21">
                  <c:v>3.6348918277404871E-4</c:v>
                </c:pt>
                <c:pt idx="23">
                  <c:v>7.8905640906891449E-4</c:v>
                </c:pt>
                <c:pt idx="24">
                  <c:v>1.3389179572695264E-4</c:v>
                </c:pt>
                <c:pt idx="25">
                  <c:v>2.7955185874002224E-4</c:v>
                </c:pt>
              </c:numCache>
            </c:numRef>
          </c:yVal>
          <c:smooth val="0"/>
        </c:ser>
        <c:ser>
          <c:idx val="1"/>
          <c:order val="4"/>
          <c:tx>
            <c:v>LWI 958</c:v>
          </c:tx>
          <c:spPr>
            <a:ln w="28575">
              <a:noFill/>
            </a:ln>
          </c:spPr>
          <c:marker>
            <c:symbol val="square"/>
            <c:size val="7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xVal>
            <c:numRef>
              <c:f>Figures!$O$13:$O$17</c:f>
              <c:numCache>
                <c:formatCode>General</c:formatCode>
                <c:ptCount val="5"/>
                <c:pt idx="0">
                  <c:v>0.63436611765314621</c:v>
                </c:pt>
                <c:pt idx="1">
                  <c:v>0.92389352161920812</c:v>
                </c:pt>
                <c:pt idx="2">
                  <c:v>1.1143948379913382</c:v>
                </c:pt>
                <c:pt idx="3">
                  <c:v>1.3208780138258334</c:v>
                </c:pt>
                <c:pt idx="4">
                  <c:v>1.3187612221370097</c:v>
                </c:pt>
              </c:numCache>
            </c:numRef>
          </c:xVal>
          <c:yVal>
            <c:numRef>
              <c:f>Figures!$P$13:$P$17</c:f>
              <c:numCache>
                <c:formatCode>General</c:formatCode>
                <c:ptCount val="5"/>
                <c:pt idx="0">
                  <c:v>8.070048947136087E-4</c:v>
                </c:pt>
                <c:pt idx="1">
                  <c:v>1.264730988131774E-3</c:v>
                </c:pt>
                <c:pt idx="2">
                  <c:v>7.8964557460166123E-4</c:v>
                </c:pt>
                <c:pt idx="3">
                  <c:v>3.5920858759522857E-4</c:v>
                </c:pt>
                <c:pt idx="4">
                  <c:v>3.6913080617488386E-4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40338816"/>
        <c:axId val="240463232"/>
      </c:scatterChart>
      <c:valAx>
        <c:axId val="240338816"/>
        <c:scaling>
          <c:orientation val="minMax"/>
          <c:max val="2"/>
        </c:scaling>
        <c:delete val="0"/>
        <c:axPos val="b"/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nl-NL" sz="1675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R</a:t>
                </a:r>
                <a:r>
                  <a:rPr lang="nl-NL" sz="1675" b="1" i="0" u="none" strike="noStrike" baseline="-25000">
                    <a:solidFill>
                      <a:srgbClr val="000000"/>
                    </a:solidFill>
                    <a:latin typeface="Arial"/>
                    <a:cs typeface="Arial"/>
                  </a:rPr>
                  <a:t>c</a:t>
                </a:r>
                <a:r>
                  <a:rPr lang="nl-NL" sz="1675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/(H</a:t>
                </a:r>
                <a:r>
                  <a:rPr lang="nl-NL" sz="1675" b="1" i="0" u="none" strike="noStrike" baseline="-25000">
                    <a:solidFill>
                      <a:srgbClr val="000000"/>
                    </a:solidFill>
                    <a:latin typeface="Arial"/>
                    <a:cs typeface="Arial"/>
                  </a:rPr>
                  <a:t>m0</a:t>
                </a:r>
                <a:r>
                  <a:rPr lang="nl-NL" sz="1675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nl-NL" sz="1675" b="1" i="0" u="none" strike="noStrike" baseline="0">
                    <a:solidFill>
                      <a:srgbClr val="000000"/>
                    </a:solidFill>
                    <a:latin typeface="Symbol"/>
                  </a:rPr>
                  <a:t>x</a:t>
                </a:r>
                <a:r>
                  <a:rPr lang="nl-NL" sz="1675" b="1" i="0" u="none" strike="noStrike" baseline="-25000">
                    <a:solidFill>
                      <a:srgbClr val="000000"/>
                    </a:solidFill>
                    <a:latin typeface="Arial"/>
                    <a:cs typeface="Arial"/>
                  </a:rPr>
                  <a:t>m-1,0</a:t>
                </a:r>
                <a:r>
                  <a:rPr lang="nl-NL" sz="1675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)</a:t>
                </a:r>
              </a:p>
            </c:rich>
          </c:tx>
          <c:layout>
            <c:manualLayout>
              <c:xMode val="edge"/>
              <c:yMode val="edge"/>
              <c:x val="0.46209436816787824"/>
              <c:y val="0.9128856624319419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in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nl-NL"/>
          </a:p>
        </c:txPr>
        <c:crossAx val="240463232"/>
        <c:crossesAt val="1.0000000000000023E-6"/>
        <c:crossBetween val="midCat"/>
      </c:valAx>
      <c:valAx>
        <c:axId val="240463232"/>
        <c:scaling>
          <c:logBase val="10"/>
          <c:orientation val="minMax"/>
          <c:max val="0.1"/>
          <c:min val="1.0000000000000023E-6"/>
        </c:scaling>
        <c:delete val="0"/>
        <c:axPos val="l"/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nl-NL" sz="1675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q/(gH</a:t>
                </a:r>
                <a:r>
                  <a:rPr lang="nl-NL" sz="1675" b="1" i="0" u="none" strike="noStrike" baseline="-25000">
                    <a:solidFill>
                      <a:srgbClr val="000000"/>
                    </a:solidFill>
                    <a:latin typeface="Arial"/>
                    <a:cs typeface="Arial"/>
                  </a:rPr>
                  <a:t>m0</a:t>
                </a:r>
                <a:r>
                  <a:rPr lang="nl-NL" sz="1675" b="1" i="0" u="none" strike="noStrike" baseline="30000">
                    <a:solidFill>
                      <a:srgbClr val="000000"/>
                    </a:solidFill>
                    <a:latin typeface="Arial"/>
                    <a:cs typeface="Arial"/>
                  </a:rPr>
                  <a:t>3</a:t>
                </a:r>
                <a:r>
                  <a:rPr lang="nl-NL" sz="1675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)</a:t>
                </a:r>
                <a:r>
                  <a:rPr lang="nl-NL" sz="1675" b="1" i="0" u="none" strike="noStrike" baseline="30000">
                    <a:solidFill>
                      <a:srgbClr val="000000"/>
                    </a:solidFill>
                    <a:latin typeface="Arial"/>
                    <a:cs typeface="Arial"/>
                  </a:rPr>
                  <a:t>0.5</a:t>
                </a:r>
                <a:r>
                  <a:rPr lang="nl-NL" sz="1675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(s</a:t>
                </a:r>
                <a:r>
                  <a:rPr lang="nl-NL" sz="1675" b="1" i="0" u="none" strike="noStrike" baseline="-25000">
                    <a:solidFill>
                      <a:srgbClr val="000000"/>
                    </a:solidFill>
                    <a:latin typeface="Arial"/>
                    <a:cs typeface="Arial"/>
                  </a:rPr>
                  <a:t>m-1,0</a:t>
                </a:r>
                <a:r>
                  <a:rPr lang="nl-NL" sz="1675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/tan</a:t>
                </a:r>
                <a:r>
                  <a:rPr lang="nl-NL" sz="1675" b="1" i="0" u="none" strike="noStrike" baseline="0">
                    <a:solidFill>
                      <a:srgbClr val="000000"/>
                    </a:solidFill>
                    <a:latin typeface="Symbol"/>
                  </a:rPr>
                  <a:t>a</a:t>
                </a:r>
                <a:r>
                  <a:rPr lang="nl-NL" sz="1675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)</a:t>
                </a:r>
                <a:r>
                  <a:rPr lang="nl-NL" sz="1675" b="1" i="0" u="none" strike="noStrike" baseline="30000">
                    <a:solidFill>
                      <a:srgbClr val="000000"/>
                    </a:solidFill>
                    <a:latin typeface="Arial"/>
                    <a:cs typeface="Arial"/>
                  </a:rPr>
                  <a:t>0.5</a:t>
                </a:r>
              </a:p>
            </c:rich>
          </c:tx>
          <c:layout>
            <c:manualLayout>
              <c:xMode val="edge"/>
              <c:yMode val="edge"/>
              <c:x val="6.0168471720818389E-3"/>
              <c:y val="0.22141560798548093"/>
            </c:manualLayout>
          </c:layout>
          <c:overlay val="0"/>
          <c:spPr>
            <a:noFill/>
            <a:ln w="25400">
              <a:noFill/>
            </a:ln>
          </c:spPr>
        </c:title>
        <c:numFmt formatCode="0.E+00" sourceLinked="0"/>
        <c:majorTickMark val="in"/>
        <c:minorTickMark val="in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nl-NL"/>
          </a:p>
        </c:txPr>
        <c:crossAx val="240338816"/>
        <c:crosses val="autoZero"/>
        <c:crossBetween val="midCat"/>
      </c:valAx>
      <c:spPr>
        <a:noFill/>
        <a:ln w="3175">
          <a:solidFill>
            <a:srgbClr val="000000"/>
          </a:solidFill>
          <a:prstDash val="solid"/>
        </a:ln>
      </c:spPr>
    </c:plotArea>
    <c:legend>
      <c:legendPos val="r"/>
      <c:legendEntry>
        <c:idx val="0"/>
        <c:delete val="1"/>
      </c:legendEntry>
      <c:legendEntry>
        <c:idx val="1"/>
        <c:delete val="1"/>
      </c:legendEntry>
      <c:legendEntry>
        <c:idx val="2"/>
        <c:delete val="1"/>
      </c:legendEntry>
      <c:legendEntry>
        <c:idx val="5"/>
        <c:delete val="1"/>
      </c:legendEntry>
      <c:layout>
        <c:manualLayout>
          <c:xMode val="edge"/>
          <c:yMode val="edge"/>
          <c:x val="0.21299664256769385"/>
          <c:y val="0.61343012704174227"/>
          <c:w val="0.13959098073029702"/>
          <c:h val="0.12159709618874763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nl-NL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nl-NL"/>
    </a:p>
  </c:txPr>
  <c:printSettings>
    <c:headerFooter alignWithMargins="0"/>
    <c:pageMargins b="1" l="0.75000000000000056" r="0.75000000000000056" t="1" header="0.5" footer="0.5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259622579499811"/>
          <c:y val="3.6231948157177375E-2"/>
          <c:w val="0.8485581903065551"/>
          <c:h val="0.81521883353649005"/>
        </c:manualLayout>
      </c:layout>
      <c:scatterChart>
        <c:scatterStyle val="lineMarker"/>
        <c:varyColors val="0"/>
        <c:ser>
          <c:idx val="7"/>
          <c:order val="0"/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Figures!$O$2:$O$3</c:f>
              <c:numCache>
                <c:formatCode>General</c:formatCode>
                <c:ptCount val="2"/>
                <c:pt idx="0">
                  <c:v>0.2</c:v>
                </c:pt>
                <c:pt idx="1">
                  <c:v>1.8</c:v>
                </c:pt>
              </c:numCache>
            </c:numRef>
          </c:xVal>
          <c:yVal>
            <c:numRef>
              <c:f>Figures!$P$2:$P$3</c:f>
              <c:numCache>
                <c:formatCode>General</c:formatCode>
                <c:ptCount val="2"/>
                <c:pt idx="0">
                  <c:v>2.5911648571451579E-2</c:v>
                </c:pt>
                <c:pt idx="1">
                  <c:v>1.2967521670392288E-5</c:v>
                </c:pt>
              </c:numCache>
            </c:numRef>
          </c:yVal>
          <c:smooth val="0"/>
        </c:ser>
        <c:ser>
          <c:idx val="8"/>
          <c:order val="1"/>
          <c:spPr>
            <a:ln w="12700">
              <a:solidFill>
                <a:srgbClr val="000000"/>
              </a:solidFill>
              <a:prstDash val="lgDash"/>
            </a:ln>
          </c:spPr>
          <c:marker>
            <c:symbol val="none"/>
          </c:marker>
          <c:xVal>
            <c:numRef>
              <c:f>Figures!$O$5:$O$6</c:f>
              <c:numCache>
                <c:formatCode>General</c:formatCode>
                <c:ptCount val="2"/>
                <c:pt idx="0">
                  <c:v>0.2</c:v>
                </c:pt>
                <c:pt idx="1">
                  <c:v>1.8</c:v>
                </c:pt>
              </c:numCache>
            </c:numRef>
          </c:xVal>
          <c:yVal>
            <c:numRef>
              <c:f>Figures!$P$5:$P$6</c:f>
              <c:numCache>
                <c:formatCode>General</c:formatCode>
                <c:ptCount val="2"/>
                <c:pt idx="0">
                  <c:v>2.1992304998783182E-2</c:v>
                </c:pt>
                <c:pt idx="1">
                  <c:v>2.9637278904352227E-6</c:v>
                </c:pt>
              </c:numCache>
            </c:numRef>
          </c:yVal>
          <c:smooth val="0"/>
        </c:ser>
        <c:ser>
          <c:idx val="9"/>
          <c:order val="2"/>
          <c:spPr>
            <a:ln w="12700">
              <a:solidFill>
                <a:srgbClr val="000000"/>
              </a:solidFill>
              <a:prstDash val="lgDash"/>
            </a:ln>
          </c:spPr>
          <c:marker>
            <c:symbol val="none"/>
          </c:marker>
          <c:xVal>
            <c:numRef>
              <c:f>Figures!$O$8:$O$9</c:f>
              <c:numCache>
                <c:formatCode>General</c:formatCode>
                <c:ptCount val="2"/>
                <c:pt idx="0">
                  <c:v>0.2</c:v>
                </c:pt>
                <c:pt idx="1">
                  <c:v>1.8</c:v>
                </c:pt>
              </c:numCache>
            </c:numRef>
          </c:xVal>
          <c:yVal>
            <c:numRef>
              <c:f>Figures!$P$8:$P$9</c:f>
              <c:numCache>
                <c:formatCode>General</c:formatCode>
                <c:ptCount val="2"/>
                <c:pt idx="0">
                  <c:v>3.0529475274536137E-2</c:v>
                </c:pt>
                <c:pt idx="1">
                  <c:v>5.6738210958833902E-5</c:v>
                </c:pt>
              </c:numCache>
            </c:numRef>
          </c:yVal>
          <c:smooth val="0"/>
        </c:ser>
        <c:ser>
          <c:idx val="0"/>
          <c:order val="3"/>
          <c:tx>
            <c:v>B=0; u=0 m/s</c:v>
          </c:tx>
          <c:spPr>
            <a:ln w="28575">
              <a:noFill/>
            </a:ln>
          </c:spPr>
          <c:marker>
            <c:symbol val="diamond"/>
            <c:size val="7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'First analysis'!$U$7:$U$32</c:f>
              <c:numCache>
                <c:formatCode>General</c:formatCode>
                <c:ptCount val="26"/>
                <c:pt idx="0">
                  <c:v>0.51693551020304518</c:v>
                </c:pt>
                <c:pt idx="1">
                  <c:v>0.76483455064886774</c:v>
                </c:pt>
                <c:pt idx="2">
                  <c:v>0.41312313403430817</c:v>
                </c:pt>
                <c:pt idx="3">
                  <c:v>0.5916577571828775</c:v>
                </c:pt>
                <c:pt idx="4">
                  <c:v>0.31285946091724209</c:v>
                </c:pt>
                <c:pt idx="5">
                  <c:v>0.46759783678185662</c:v>
                </c:pt>
                <c:pt idx="6">
                  <c:v>0.51693551020304518</c:v>
                </c:pt>
                <c:pt idx="7">
                  <c:v>0.76483455064886774</c:v>
                </c:pt>
                <c:pt idx="8">
                  <c:v>0.41312313403430817</c:v>
                </c:pt>
                <c:pt idx="9">
                  <c:v>0.5916577571828775</c:v>
                </c:pt>
                <c:pt idx="10">
                  <c:v>0.31285946091724209</c:v>
                </c:pt>
                <c:pt idx="11">
                  <c:v>0.46759783678185662</c:v>
                </c:pt>
                <c:pt idx="12">
                  <c:v>1.2726572524293509</c:v>
                </c:pt>
                <c:pt idx="13">
                  <c:v>0.97926189262544694</c:v>
                </c:pt>
                <c:pt idx="14">
                  <c:v>1.4122624236685368</c:v>
                </c:pt>
                <c:pt idx="15">
                  <c:v>1.2726572524293509</c:v>
                </c:pt>
                <c:pt idx="16">
                  <c:v>0.97926189262544694</c:v>
                </c:pt>
                <c:pt idx="17">
                  <c:v>1.4122624236685368</c:v>
                </c:pt>
                <c:pt idx="18">
                  <c:v>0.97634288188627805</c:v>
                </c:pt>
                <c:pt idx="19">
                  <c:v>0.63126657881365655</c:v>
                </c:pt>
                <c:pt idx="20">
                  <c:v>0.94594890051343827</c:v>
                </c:pt>
                <c:pt idx="21">
                  <c:v>0.97634288188627805</c:v>
                </c:pt>
                <c:pt idx="22">
                  <c:v>0.63126657881365655</c:v>
                </c:pt>
                <c:pt idx="23">
                  <c:v>0.94594890051343827</c:v>
                </c:pt>
                <c:pt idx="24">
                  <c:v>1.302201721894944</c:v>
                </c:pt>
                <c:pt idx="25">
                  <c:v>1.302201721894944</c:v>
                </c:pt>
              </c:numCache>
            </c:numRef>
          </c:xVal>
          <c:yVal>
            <c:numRef>
              <c:f>'First analysis'!$Y$7:$Y$32</c:f>
              <c:numCache>
                <c:formatCode>General</c:formatCode>
                <c:ptCount val="26"/>
                <c:pt idx="0">
                  <c:v>6.0067458474327177E-3</c:v>
                </c:pt>
                <c:pt idx="1">
                  <c:v>1.6793300306038484E-3</c:v>
                </c:pt>
                <c:pt idx="2">
                  <c:v>1.0957872942195161E-2</c:v>
                </c:pt>
                <c:pt idx="3">
                  <c:v>4.7331660419306764E-3</c:v>
                </c:pt>
                <c:pt idx="4">
                  <c:v>1.4916058444068745E-2</c:v>
                </c:pt>
                <c:pt idx="5">
                  <c:v>9.4014335105898576E-3</c:v>
                </c:pt>
                <c:pt idx="6">
                  <c:v>7.4664419712701068E-3</c:v>
                </c:pt>
                <c:pt idx="7">
                  <c:v>1.4419268277787005E-3</c:v>
                </c:pt>
                <c:pt idx="8">
                  <c:v>7.9005675439406085E-3</c:v>
                </c:pt>
                <c:pt idx="9">
                  <c:v>4.0429705631210558E-3</c:v>
                </c:pt>
                <c:pt idx="10">
                  <c:v>1.1360377877621022E-2</c:v>
                </c:pt>
                <c:pt idx="11">
                  <c:v>8.2056399795256314E-3</c:v>
                </c:pt>
                <c:pt idx="12">
                  <c:v>1.030950884087279E-4</c:v>
                </c:pt>
                <c:pt idx="13">
                  <c:v>5.3240691706786297E-4</c:v>
                </c:pt>
                <c:pt idx="14">
                  <c:v>7.9313656214570236E-5</c:v>
                </c:pt>
                <c:pt idx="15">
                  <c:v>2.759975094076917E-4</c:v>
                </c:pt>
                <c:pt idx="16">
                  <c:v>1.9175578270913805E-3</c:v>
                </c:pt>
                <c:pt idx="17">
                  <c:v>8.3574307168245493E-5</c:v>
                </c:pt>
                <c:pt idx="18">
                  <c:v>6.6706256618973784E-4</c:v>
                </c:pt>
                <c:pt idx="20">
                  <c:v>1.040164926671978E-3</c:v>
                </c:pt>
                <c:pt idx="21">
                  <c:v>3.6348918277404871E-4</c:v>
                </c:pt>
                <c:pt idx="23">
                  <c:v>7.8905640906891449E-4</c:v>
                </c:pt>
                <c:pt idx="24">
                  <c:v>1.3389179572695264E-4</c:v>
                </c:pt>
                <c:pt idx="25">
                  <c:v>2.7955185874002224E-4</c:v>
                </c:pt>
              </c:numCache>
            </c:numRef>
          </c:yVal>
          <c:smooth val="0"/>
        </c:ser>
        <c:ser>
          <c:idx val="1"/>
          <c:order val="4"/>
          <c:tx>
            <c:v>LWI 958</c:v>
          </c:tx>
          <c:spPr>
            <a:ln w="28575">
              <a:noFill/>
            </a:ln>
          </c:spPr>
          <c:marker>
            <c:symbol val="square"/>
            <c:size val="7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xVal>
            <c:numRef>
              <c:f>Figures!$O$13:$O$17</c:f>
              <c:numCache>
                <c:formatCode>General</c:formatCode>
                <c:ptCount val="5"/>
                <c:pt idx="0">
                  <c:v>0.63436611765314621</c:v>
                </c:pt>
                <c:pt idx="1">
                  <c:v>0.92389352161920812</c:v>
                </c:pt>
                <c:pt idx="2">
                  <c:v>1.1143948379913382</c:v>
                </c:pt>
                <c:pt idx="3">
                  <c:v>1.3208780138258334</c:v>
                </c:pt>
                <c:pt idx="4">
                  <c:v>1.3187612221370097</c:v>
                </c:pt>
              </c:numCache>
            </c:numRef>
          </c:xVal>
          <c:yVal>
            <c:numRef>
              <c:f>Figures!$P$13:$P$17</c:f>
              <c:numCache>
                <c:formatCode>General</c:formatCode>
                <c:ptCount val="5"/>
                <c:pt idx="0">
                  <c:v>8.070048947136087E-4</c:v>
                </c:pt>
                <c:pt idx="1">
                  <c:v>1.264730988131774E-3</c:v>
                </c:pt>
                <c:pt idx="2">
                  <c:v>7.8964557460166123E-4</c:v>
                </c:pt>
                <c:pt idx="3">
                  <c:v>3.5920858759522857E-4</c:v>
                </c:pt>
                <c:pt idx="4">
                  <c:v>3.6913080617488386E-4</c:v>
                </c:pt>
              </c:numCache>
            </c:numRef>
          </c:yVal>
          <c:smooth val="0"/>
        </c:ser>
        <c:ser>
          <c:idx val="2"/>
          <c:order val="5"/>
          <c:tx>
            <c:v>|B|=15; u=0 m/s</c:v>
          </c:tx>
          <c:spPr>
            <a:ln w="28575">
              <a:noFill/>
            </a:ln>
          </c:spPr>
          <c:marker>
            <c:symbol val="triangle"/>
            <c:size val="7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xVal>
            <c:numRef>
              <c:f>'First analysis'!$U$33:$U$48</c:f>
              <c:numCache>
                <c:formatCode>General</c:formatCode>
                <c:ptCount val="16"/>
                <c:pt idx="0">
                  <c:v>0.5859190432928153</c:v>
                </c:pt>
                <c:pt idx="1">
                  <c:v>0.74871191699777262</c:v>
                </c:pt>
                <c:pt idx="2">
                  <c:v>0.41191359514086512</c:v>
                </c:pt>
                <c:pt idx="3">
                  <c:v>0.59371702286741646</c:v>
                </c:pt>
                <c:pt idx="4">
                  <c:v>0.33184021869679226</c:v>
                </c:pt>
                <c:pt idx="5">
                  <c:v>0.48592327336272151</c:v>
                </c:pt>
                <c:pt idx="6">
                  <c:v>0.5859190432928153</c:v>
                </c:pt>
                <c:pt idx="7">
                  <c:v>0.74871191699777262</c:v>
                </c:pt>
                <c:pt idx="8">
                  <c:v>0.41191359514086512</c:v>
                </c:pt>
                <c:pt idx="9">
                  <c:v>0.59371702286741646</c:v>
                </c:pt>
                <c:pt idx="10">
                  <c:v>0.33184021869679226</c:v>
                </c:pt>
                <c:pt idx="11">
                  <c:v>0.48592327336272151</c:v>
                </c:pt>
                <c:pt idx="12">
                  <c:v>1.1896679230364615</c:v>
                </c:pt>
                <c:pt idx="13">
                  <c:v>0.98991763850007675</c:v>
                </c:pt>
                <c:pt idx="14">
                  <c:v>1.1896679230364615</c:v>
                </c:pt>
                <c:pt idx="15">
                  <c:v>0.98991763850007675</c:v>
                </c:pt>
              </c:numCache>
            </c:numRef>
          </c:xVal>
          <c:yVal>
            <c:numRef>
              <c:f>'First analysis'!$Y$33:$Y$48</c:f>
              <c:numCache>
                <c:formatCode>General</c:formatCode>
                <c:ptCount val="16"/>
                <c:pt idx="0">
                  <c:v>3.5640820154007324E-3</c:v>
                </c:pt>
                <c:pt idx="1">
                  <c:v>7.1538293245909461E-4</c:v>
                </c:pt>
                <c:pt idx="2">
                  <c:v>5.6711271160451255E-3</c:v>
                </c:pt>
                <c:pt idx="4">
                  <c:v>9.5581332642303094E-3</c:v>
                </c:pt>
                <c:pt idx="5">
                  <c:v>7.1984994892878088E-3</c:v>
                </c:pt>
                <c:pt idx="6">
                  <c:v>4.6677768547392978E-3</c:v>
                </c:pt>
                <c:pt idx="7">
                  <c:v>4.9325183429402861E-4</c:v>
                </c:pt>
                <c:pt idx="8">
                  <c:v>1.0229554350674465E-2</c:v>
                </c:pt>
                <c:pt idx="10">
                  <c:v>1.6317115408622185E-2</c:v>
                </c:pt>
                <c:pt idx="11">
                  <c:v>7.3238638686733901E-3</c:v>
                </c:pt>
                <c:pt idx="12">
                  <c:v>1.432411837615425E-4</c:v>
                </c:pt>
                <c:pt idx="13">
                  <c:v>8.7299988058129317E-4</c:v>
                </c:pt>
                <c:pt idx="14">
                  <c:v>1.520607046300876E-4</c:v>
                </c:pt>
                <c:pt idx="15">
                  <c:v>9.3048510919547806E-4</c:v>
                </c:pt>
              </c:numCache>
            </c:numRef>
          </c:yVal>
          <c:smooth val="0"/>
        </c:ser>
        <c:ser>
          <c:idx val="3"/>
          <c:order val="6"/>
          <c:tx>
            <c:v>|B|=30; u=0 m/s</c:v>
          </c:tx>
          <c:spPr>
            <a:ln w="28575">
              <a:noFill/>
            </a:ln>
          </c:spPr>
          <c:marker>
            <c:symbol val="square"/>
            <c:size val="7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xVal>
            <c:numRef>
              <c:f>'First analysis'!$U$49:$U$63</c:f>
              <c:numCache>
                <c:formatCode>General</c:formatCode>
                <c:ptCount val="15"/>
                <c:pt idx="0">
                  <c:v>0.53029783703142019</c:v>
                </c:pt>
                <c:pt idx="1">
                  <c:v>0.83638987710520452</c:v>
                </c:pt>
                <c:pt idx="2">
                  <c:v>0.40912510064232421</c:v>
                </c:pt>
                <c:pt idx="3">
                  <c:v>0.57892474423241813</c:v>
                </c:pt>
                <c:pt idx="4">
                  <c:v>0.35310686511698547</c:v>
                </c:pt>
                <c:pt idx="5">
                  <c:v>0.47683979441364577</c:v>
                </c:pt>
                <c:pt idx="6">
                  <c:v>0.53029783703142019</c:v>
                </c:pt>
                <c:pt idx="7">
                  <c:v>0.83638987710520452</c:v>
                </c:pt>
                <c:pt idx="8">
                  <c:v>0.40912510064232421</c:v>
                </c:pt>
                <c:pt idx="9">
                  <c:v>0.57892474423241813</c:v>
                </c:pt>
                <c:pt idx="10">
                  <c:v>0.35310686511698547</c:v>
                </c:pt>
                <c:pt idx="11">
                  <c:v>0.47683979441364577</c:v>
                </c:pt>
                <c:pt idx="12">
                  <c:v>1.1783387147923869</c:v>
                </c:pt>
                <c:pt idx="13">
                  <c:v>0.97249074068761154</c:v>
                </c:pt>
                <c:pt idx="14">
                  <c:v>0.97249074068761154</c:v>
                </c:pt>
              </c:numCache>
            </c:numRef>
          </c:xVal>
          <c:yVal>
            <c:numRef>
              <c:f>'First analysis'!$Y$49:$Y$63</c:f>
              <c:numCache>
                <c:formatCode>General</c:formatCode>
                <c:ptCount val="15"/>
                <c:pt idx="0">
                  <c:v>2.1286242529018093E-3</c:v>
                </c:pt>
                <c:pt idx="1">
                  <c:v>3.0137746212157595E-4</c:v>
                </c:pt>
                <c:pt idx="2">
                  <c:v>7.6481928741409097E-3</c:v>
                </c:pt>
                <c:pt idx="3">
                  <c:v>1.7076855428396027E-3</c:v>
                </c:pt>
                <c:pt idx="4">
                  <c:v>1.3850075857230229E-2</c:v>
                </c:pt>
                <c:pt idx="5">
                  <c:v>4.8086739147382897E-3</c:v>
                </c:pt>
                <c:pt idx="6">
                  <c:v>1.656801206587657E-3</c:v>
                </c:pt>
                <c:pt idx="7">
                  <c:v>4.3647770376228256E-4</c:v>
                </c:pt>
                <c:pt idx="8">
                  <c:v>4.2735617016298431E-3</c:v>
                </c:pt>
                <c:pt idx="9">
                  <c:v>2.1533315507297622E-3</c:v>
                </c:pt>
                <c:pt idx="10">
                  <c:v>1.0119541467997773E-2</c:v>
                </c:pt>
                <c:pt idx="11">
                  <c:v>4.6990496003183812E-3</c:v>
                </c:pt>
                <c:pt idx="12">
                  <c:v>7.5782599922458391E-5</c:v>
                </c:pt>
                <c:pt idx="13">
                  <c:v>3.9693945905115642E-4</c:v>
                </c:pt>
                <c:pt idx="14">
                  <c:v>4.4427278334178245E-4</c:v>
                </c:pt>
              </c:numCache>
            </c:numRef>
          </c:yVal>
          <c:smooth val="0"/>
        </c:ser>
        <c:ser>
          <c:idx val="4"/>
          <c:order val="7"/>
          <c:tx>
            <c:v>|B|=45; u=0 m/s</c:v>
          </c:tx>
          <c:spPr>
            <a:ln w="28575">
              <a:noFill/>
            </a:ln>
          </c:spPr>
          <c:marker>
            <c:symbol val="diamond"/>
            <c:size val="7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'First analysis'!$U$64:$U$78</c:f>
              <c:numCache>
                <c:formatCode>General</c:formatCode>
                <c:ptCount val="15"/>
                <c:pt idx="0">
                  <c:v>0.5251819539045891</c:v>
                </c:pt>
                <c:pt idx="1">
                  <c:v>0.81832391365485779</c:v>
                </c:pt>
                <c:pt idx="2">
                  <c:v>0.38953553491715598</c:v>
                </c:pt>
                <c:pt idx="3">
                  <c:v>0.60183375582957954</c:v>
                </c:pt>
                <c:pt idx="4">
                  <c:v>0.32278333219805894</c:v>
                </c:pt>
                <c:pt idx="5">
                  <c:v>0.44439871538459835</c:v>
                </c:pt>
                <c:pt idx="6">
                  <c:v>0.5251819539045891</c:v>
                </c:pt>
                <c:pt idx="7">
                  <c:v>0.81832391365485779</c:v>
                </c:pt>
                <c:pt idx="8">
                  <c:v>0.38953553491715598</c:v>
                </c:pt>
                <c:pt idx="9">
                  <c:v>0.60183375582957954</c:v>
                </c:pt>
                <c:pt idx="10">
                  <c:v>0.32278333219805894</c:v>
                </c:pt>
                <c:pt idx="11">
                  <c:v>0.44439871538459835</c:v>
                </c:pt>
                <c:pt idx="12">
                  <c:v>1.1026310362543119</c:v>
                </c:pt>
                <c:pt idx="13">
                  <c:v>0.92285784345085176</c:v>
                </c:pt>
                <c:pt idx="14">
                  <c:v>0.92285784345085176</c:v>
                </c:pt>
              </c:numCache>
            </c:numRef>
          </c:xVal>
          <c:yVal>
            <c:numRef>
              <c:f>'First analysis'!$Y$64:$Y$78</c:f>
              <c:numCache>
                <c:formatCode>General</c:formatCode>
                <c:ptCount val="15"/>
                <c:pt idx="0">
                  <c:v>1.9134643576969419E-3</c:v>
                </c:pt>
                <c:pt idx="1">
                  <c:v>3.0784605185429437E-4</c:v>
                </c:pt>
                <c:pt idx="2">
                  <c:v>4.4991551959031031E-3</c:v>
                </c:pt>
                <c:pt idx="3">
                  <c:v>1.4301994955672435E-3</c:v>
                </c:pt>
                <c:pt idx="4">
                  <c:v>6.4035853806998196E-3</c:v>
                </c:pt>
                <c:pt idx="5">
                  <c:v>2.7125319699003703E-3</c:v>
                </c:pt>
                <c:pt idx="6">
                  <c:v>1.7137502715589669E-3</c:v>
                </c:pt>
                <c:pt idx="7">
                  <c:v>4.1046140247239253E-4</c:v>
                </c:pt>
                <c:pt idx="8">
                  <c:v>3.9430699430830947E-3</c:v>
                </c:pt>
                <c:pt idx="9">
                  <c:v>1.5773413337506026E-3</c:v>
                </c:pt>
                <c:pt idx="10">
                  <c:v>5.4865734436831872E-3</c:v>
                </c:pt>
                <c:pt idx="11">
                  <c:v>2.6721900003217123E-3</c:v>
                </c:pt>
                <c:pt idx="12">
                  <c:v>8.6996173199117949E-5</c:v>
                </c:pt>
                <c:pt idx="13">
                  <c:v>1.3778819681898262E-4</c:v>
                </c:pt>
                <c:pt idx="14">
                  <c:v>2.6586183012123119E-4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45288960"/>
        <c:axId val="245678464"/>
      </c:scatterChart>
      <c:valAx>
        <c:axId val="245288960"/>
        <c:scaling>
          <c:orientation val="minMax"/>
          <c:max val="2"/>
        </c:scaling>
        <c:delete val="0"/>
        <c:axPos val="b"/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nl-NL" sz="1675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R</a:t>
                </a:r>
                <a:r>
                  <a:rPr lang="nl-NL" sz="1675" b="1" i="0" u="none" strike="noStrike" baseline="-25000">
                    <a:solidFill>
                      <a:srgbClr val="000000"/>
                    </a:solidFill>
                    <a:latin typeface="Arial"/>
                    <a:cs typeface="Arial"/>
                  </a:rPr>
                  <a:t>c</a:t>
                </a:r>
                <a:r>
                  <a:rPr lang="nl-NL" sz="1675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/(H</a:t>
                </a:r>
                <a:r>
                  <a:rPr lang="nl-NL" sz="1675" b="1" i="0" u="none" strike="noStrike" baseline="-25000">
                    <a:solidFill>
                      <a:srgbClr val="000000"/>
                    </a:solidFill>
                    <a:latin typeface="Arial"/>
                    <a:cs typeface="Arial"/>
                  </a:rPr>
                  <a:t>m0</a:t>
                </a:r>
                <a:r>
                  <a:rPr lang="nl-NL" sz="1675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nl-NL" sz="1675" b="1" i="0" u="none" strike="noStrike" baseline="0">
                    <a:solidFill>
                      <a:srgbClr val="000000"/>
                    </a:solidFill>
                    <a:latin typeface="Symbol"/>
                  </a:rPr>
                  <a:t>x</a:t>
                </a:r>
                <a:r>
                  <a:rPr lang="nl-NL" sz="1675" b="1" i="0" u="none" strike="noStrike" baseline="-25000">
                    <a:solidFill>
                      <a:srgbClr val="000000"/>
                    </a:solidFill>
                    <a:latin typeface="Arial"/>
                    <a:cs typeface="Arial"/>
                  </a:rPr>
                  <a:t>m-1,0</a:t>
                </a:r>
                <a:r>
                  <a:rPr lang="nl-NL" sz="1675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)</a:t>
                </a:r>
              </a:p>
            </c:rich>
          </c:tx>
          <c:layout>
            <c:manualLayout>
              <c:xMode val="edge"/>
              <c:yMode val="edge"/>
              <c:x val="0.46274063698768431"/>
              <c:y val="0.9130449998098066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in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nl-NL"/>
          </a:p>
        </c:txPr>
        <c:crossAx val="245678464"/>
        <c:crossesAt val="1.0000000000000023E-6"/>
        <c:crossBetween val="midCat"/>
      </c:valAx>
      <c:valAx>
        <c:axId val="245678464"/>
        <c:scaling>
          <c:logBase val="10"/>
          <c:orientation val="minMax"/>
          <c:max val="0.1"/>
          <c:min val="1.0000000000000023E-6"/>
        </c:scaling>
        <c:delete val="0"/>
        <c:axPos val="l"/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nl-NL" sz="1675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q/(gH</a:t>
                </a:r>
                <a:r>
                  <a:rPr lang="nl-NL" sz="1675" b="1" i="0" u="none" strike="noStrike" baseline="-25000">
                    <a:solidFill>
                      <a:srgbClr val="000000"/>
                    </a:solidFill>
                    <a:latin typeface="Arial"/>
                    <a:cs typeface="Arial"/>
                  </a:rPr>
                  <a:t>m0</a:t>
                </a:r>
                <a:r>
                  <a:rPr lang="nl-NL" sz="1675" b="1" i="0" u="none" strike="noStrike" baseline="30000">
                    <a:solidFill>
                      <a:srgbClr val="000000"/>
                    </a:solidFill>
                    <a:latin typeface="Arial"/>
                    <a:cs typeface="Arial"/>
                  </a:rPr>
                  <a:t>3</a:t>
                </a:r>
                <a:r>
                  <a:rPr lang="nl-NL" sz="1675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)</a:t>
                </a:r>
                <a:r>
                  <a:rPr lang="nl-NL" sz="1675" b="1" i="0" u="none" strike="noStrike" baseline="30000">
                    <a:solidFill>
                      <a:srgbClr val="000000"/>
                    </a:solidFill>
                    <a:latin typeface="Arial"/>
                    <a:cs typeface="Arial"/>
                  </a:rPr>
                  <a:t>0.5</a:t>
                </a:r>
                <a:r>
                  <a:rPr lang="nl-NL" sz="1675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(s</a:t>
                </a:r>
                <a:r>
                  <a:rPr lang="nl-NL" sz="1675" b="1" i="0" u="none" strike="noStrike" baseline="-25000">
                    <a:solidFill>
                      <a:srgbClr val="000000"/>
                    </a:solidFill>
                    <a:latin typeface="Arial"/>
                    <a:cs typeface="Arial"/>
                  </a:rPr>
                  <a:t>m-1,0</a:t>
                </a:r>
                <a:r>
                  <a:rPr lang="nl-NL" sz="1675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/tan</a:t>
                </a:r>
                <a:r>
                  <a:rPr lang="nl-NL" sz="1675" b="1" i="0" u="none" strike="noStrike" baseline="0">
                    <a:solidFill>
                      <a:srgbClr val="000000"/>
                    </a:solidFill>
                    <a:latin typeface="Symbol"/>
                  </a:rPr>
                  <a:t>a</a:t>
                </a:r>
                <a:r>
                  <a:rPr lang="nl-NL" sz="1675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)</a:t>
                </a:r>
                <a:r>
                  <a:rPr lang="nl-NL" sz="1675" b="1" i="0" u="none" strike="noStrike" baseline="30000">
                    <a:solidFill>
                      <a:srgbClr val="000000"/>
                    </a:solidFill>
                    <a:latin typeface="Arial"/>
                    <a:cs typeface="Arial"/>
                  </a:rPr>
                  <a:t>0.5</a:t>
                </a:r>
              </a:p>
            </c:rich>
          </c:tx>
          <c:layout>
            <c:manualLayout>
              <c:xMode val="edge"/>
              <c:yMode val="edge"/>
              <c:x val="6.009615384615391E-3"/>
              <c:y val="0.21014530792346625"/>
            </c:manualLayout>
          </c:layout>
          <c:overlay val="0"/>
          <c:spPr>
            <a:noFill/>
            <a:ln w="25400">
              <a:noFill/>
            </a:ln>
          </c:spPr>
        </c:title>
        <c:numFmt formatCode="0.E+00" sourceLinked="0"/>
        <c:majorTickMark val="in"/>
        <c:minorTickMark val="in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nl-NL"/>
          </a:p>
        </c:txPr>
        <c:crossAx val="245288960"/>
        <c:crosses val="autoZero"/>
        <c:crossBetween val="midCat"/>
      </c:valAx>
      <c:spPr>
        <a:noFill/>
        <a:ln w="3175">
          <a:solidFill>
            <a:srgbClr val="000000"/>
          </a:solidFill>
          <a:prstDash val="solid"/>
        </a:ln>
      </c:spPr>
    </c:plotArea>
    <c:legend>
      <c:legendPos val="r"/>
      <c:legendEntry>
        <c:idx val="0"/>
        <c:delete val="1"/>
      </c:legendEntry>
      <c:legendEntry>
        <c:idx val="1"/>
        <c:delete val="1"/>
      </c:legendEntry>
      <c:legendEntry>
        <c:idx val="2"/>
        <c:delete val="1"/>
      </c:legendEntry>
      <c:layout>
        <c:manualLayout>
          <c:xMode val="edge"/>
          <c:yMode val="edge"/>
          <c:x val="0.21514435695538076"/>
          <c:y val="0.57427631328692608"/>
          <c:w val="0.13581743387845774"/>
          <c:h val="0.20108733690897329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nl-NL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nl-NL"/>
    </a:p>
  </c:txPr>
  <c:printSettings>
    <c:headerFooter alignWithMargins="0"/>
    <c:pageMargins b="1" l="0.75000000000000056" r="0.75000000000000056" t="1" header="0.5" footer="0.5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444977991196479"/>
          <c:y val="4.3399638336347288E-2"/>
          <c:w val="0.84873949579831964"/>
          <c:h val="0.8155522571769902"/>
        </c:manualLayout>
      </c:layout>
      <c:scatterChart>
        <c:scatterStyle val="lineMarker"/>
        <c:varyColors val="0"/>
        <c:ser>
          <c:idx val="7"/>
          <c:order val="0"/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Figures!$O$2:$O$3</c:f>
              <c:numCache>
                <c:formatCode>General</c:formatCode>
                <c:ptCount val="2"/>
                <c:pt idx="0">
                  <c:v>0.2</c:v>
                </c:pt>
                <c:pt idx="1">
                  <c:v>1.8</c:v>
                </c:pt>
              </c:numCache>
            </c:numRef>
          </c:xVal>
          <c:yVal>
            <c:numRef>
              <c:f>Figures!$P$2:$P$3</c:f>
              <c:numCache>
                <c:formatCode>General</c:formatCode>
                <c:ptCount val="2"/>
                <c:pt idx="0">
                  <c:v>2.5911648571451579E-2</c:v>
                </c:pt>
                <c:pt idx="1">
                  <c:v>1.2967521670392288E-5</c:v>
                </c:pt>
              </c:numCache>
            </c:numRef>
          </c:yVal>
          <c:smooth val="0"/>
        </c:ser>
        <c:ser>
          <c:idx val="8"/>
          <c:order val="1"/>
          <c:spPr>
            <a:ln w="12700">
              <a:solidFill>
                <a:srgbClr val="000000"/>
              </a:solidFill>
              <a:prstDash val="lgDash"/>
            </a:ln>
          </c:spPr>
          <c:marker>
            <c:symbol val="none"/>
          </c:marker>
          <c:xVal>
            <c:numRef>
              <c:f>Figures!$O$5:$O$6</c:f>
              <c:numCache>
                <c:formatCode>General</c:formatCode>
                <c:ptCount val="2"/>
                <c:pt idx="0">
                  <c:v>0.2</c:v>
                </c:pt>
                <c:pt idx="1">
                  <c:v>1.8</c:v>
                </c:pt>
              </c:numCache>
            </c:numRef>
          </c:xVal>
          <c:yVal>
            <c:numRef>
              <c:f>Figures!$P$5:$P$6</c:f>
              <c:numCache>
                <c:formatCode>General</c:formatCode>
                <c:ptCount val="2"/>
                <c:pt idx="0">
                  <c:v>2.1992304998783182E-2</c:v>
                </c:pt>
                <c:pt idx="1">
                  <c:v>2.9637278904352227E-6</c:v>
                </c:pt>
              </c:numCache>
            </c:numRef>
          </c:yVal>
          <c:smooth val="0"/>
        </c:ser>
        <c:ser>
          <c:idx val="9"/>
          <c:order val="2"/>
          <c:spPr>
            <a:ln w="12700">
              <a:solidFill>
                <a:srgbClr val="000000"/>
              </a:solidFill>
              <a:prstDash val="lgDash"/>
            </a:ln>
          </c:spPr>
          <c:marker>
            <c:symbol val="none"/>
          </c:marker>
          <c:xVal>
            <c:numRef>
              <c:f>Figures!$O$8:$O$9</c:f>
              <c:numCache>
                <c:formatCode>General</c:formatCode>
                <c:ptCount val="2"/>
                <c:pt idx="0">
                  <c:v>0.2</c:v>
                </c:pt>
                <c:pt idx="1">
                  <c:v>1.8</c:v>
                </c:pt>
              </c:numCache>
            </c:numRef>
          </c:xVal>
          <c:yVal>
            <c:numRef>
              <c:f>Figures!$P$8:$P$9</c:f>
              <c:numCache>
                <c:formatCode>General</c:formatCode>
                <c:ptCount val="2"/>
                <c:pt idx="0">
                  <c:v>3.0529475274536137E-2</c:v>
                </c:pt>
                <c:pt idx="1">
                  <c:v>5.6738210958833902E-5</c:v>
                </c:pt>
              </c:numCache>
            </c:numRef>
          </c:yVal>
          <c:smooth val="0"/>
        </c:ser>
        <c:ser>
          <c:idx val="0"/>
          <c:order val="3"/>
          <c:tx>
            <c:v>B=0; u=0 m/s</c:v>
          </c:tx>
          <c:spPr>
            <a:ln w="28575">
              <a:noFill/>
            </a:ln>
          </c:spPr>
          <c:marker>
            <c:symbol val="diamond"/>
            <c:size val="7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trendline>
            <c:name>B=0 u=0 m/s</c:nam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exp"/>
            <c:intercept val="6.7000000000000004E-2"/>
            <c:dispRSqr val="1"/>
            <c:dispEq val="1"/>
            <c:trendlineLbl>
              <c:layout>
                <c:manualLayout>
                  <c:x val="-0.22124226068380121"/>
                  <c:y val="-0.43308434546947511"/>
                </c:manualLayout>
              </c:layout>
              <c:numFmt formatCode="General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25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nl-NL"/>
                </a:p>
              </c:txPr>
            </c:trendlineLbl>
          </c:trendline>
          <c:xVal>
            <c:numRef>
              <c:f>'First analysis'!$U$7:$U$32</c:f>
              <c:numCache>
                <c:formatCode>General</c:formatCode>
                <c:ptCount val="26"/>
                <c:pt idx="0">
                  <c:v>0.51693551020304518</c:v>
                </c:pt>
                <c:pt idx="1">
                  <c:v>0.76483455064886774</c:v>
                </c:pt>
                <c:pt idx="2">
                  <c:v>0.41312313403430817</c:v>
                </c:pt>
                <c:pt idx="3">
                  <c:v>0.5916577571828775</c:v>
                </c:pt>
                <c:pt idx="4">
                  <c:v>0.31285946091724209</c:v>
                </c:pt>
                <c:pt idx="5">
                  <c:v>0.46759783678185662</c:v>
                </c:pt>
                <c:pt idx="6">
                  <c:v>0.51693551020304518</c:v>
                </c:pt>
                <c:pt idx="7">
                  <c:v>0.76483455064886774</c:v>
                </c:pt>
                <c:pt idx="8">
                  <c:v>0.41312313403430817</c:v>
                </c:pt>
                <c:pt idx="9">
                  <c:v>0.5916577571828775</c:v>
                </c:pt>
                <c:pt idx="10">
                  <c:v>0.31285946091724209</c:v>
                </c:pt>
                <c:pt idx="11">
                  <c:v>0.46759783678185662</c:v>
                </c:pt>
                <c:pt idx="12">
                  <c:v>1.2726572524293509</c:v>
                </c:pt>
                <c:pt idx="13">
                  <c:v>0.97926189262544694</c:v>
                </c:pt>
                <c:pt idx="14">
                  <c:v>1.4122624236685368</c:v>
                </c:pt>
                <c:pt idx="15">
                  <c:v>1.2726572524293509</c:v>
                </c:pt>
                <c:pt idx="16">
                  <c:v>0.97926189262544694</c:v>
                </c:pt>
                <c:pt idx="17">
                  <c:v>1.4122624236685368</c:v>
                </c:pt>
                <c:pt idx="18">
                  <c:v>0.97634288188627805</c:v>
                </c:pt>
                <c:pt idx="19">
                  <c:v>0.63126657881365655</c:v>
                </c:pt>
                <c:pt idx="20">
                  <c:v>0.94594890051343827</c:v>
                </c:pt>
                <c:pt idx="21">
                  <c:v>0.97634288188627805</c:v>
                </c:pt>
                <c:pt idx="22">
                  <c:v>0.63126657881365655</c:v>
                </c:pt>
                <c:pt idx="23">
                  <c:v>0.94594890051343827</c:v>
                </c:pt>
                <c:pt idx="24">
                  <c:v>1.302201721894944</c:v>
                </c:pt>
                <c:pt idx="25">
                  <c:v>1.302201721894944</c:v>
                </c:pt>
              </c:numCache>
            </c:numRef>
          </c:xVal>
          <c:yVal>
            <c:numRef>
              <c:f>'First analysis'!$Y$7:$Y$32</c:f>
              <c:numCache>
                <c:formatCode>General</c:formatCode>
                <c:ptCount val="26"/>
                <c:pt idx="0">
                  <c:v>6.0067458474327177E-3</c:v>
                </c:pt>
                <c:pt idx="1">
                  <c:v>1.6793300306038484E-3</c:v>
                </c:pt>
                <c:pt idx="2">
                  <c:v>1.0957872942195161E-2</c:v>
                </c:pt>
                <c:pt idx="3">
                  <c:v>4.7331660419306764E-3</c:v>
                </c:pt>
                <c:pt idx="4">
                  <c:v>1.4916058444068745E-2</c:v>
                </c:pt>
                <c:pt idx="5">
                  <c:v>9.4014335105898576E-3</c:v>
                </c:pt>
                <c:pt idx="6">
                  <c:v>7.4664419712701068E-3</c:v>
                </c:pt>
                <c:pt idx="7">
                  <c:v>1.4419268277787005E-3</c:v>
                </c:pt>
                <c:pt idx="8">
                  <c:v>7.9005675439406085E-3</c:v>
                </c:pt>
                <c:pt idx="9">
                  <c:v>4.0429705631210558E-3</c:v>
                </c:pt>
                <c:pt idx="10">
                  <c:v>1.1360377877621022E-2</c:v>
                </c:pt>
                <c:pt idx="11">
                  <c:v>8.2056399795256314E-3</c:v>
                </c:pt>
                <c:pt idx="12">
                  <c:v>1.030950884087279E-4</c:v>
                </c:pt>
                <c:pt idx="13">
                  <c:v>5.3240691706786297E-4</c:v>
                </c:pt>
                <c:pt idx="14">
                  <c:v>7.9313656214570236E-5</c:v>
                </c:pt>
                <c:pt idx="15">
                  <c:v>2.759975094076917E-4</c:v>
                </c:pt>
                <c:pt idx="16">
                  <c:v>1.9175578270913805E-3</c:v>
                </c:pt>
                <c:pt idx="17">
                  <c:v>8.3574307168245493E-5</c:v>
                </c:pt>
                <c:pt idx="18">
                  <c:v>6.6706256618973784E-4</c:v>
                </c:pt>
                <c:pt idx="20">
                  <c:v>1.040164926671978E-3</c:v>
                </c:pt>
                <c:pt idx="21">
                  <c:v>3.6348918277404871E-4</c:v>
                </c:pt>
                <c:pt idx="23">
                  <c:v>7.8905640906891449E-4</c:v>
                </c:pt>
                <c:pt idx="24">
                  <c:v>1.3389179572695264E-4</c:v>
                </c:pt>
                <c:pt idx="25">
                  <c:v>2.7955185874002224E-4</c:v>
                </c:pt>
              </c:numCache>
            </c:numRef>
          </c:yVal>
          <c:smooth val="0"/>
        </c:ser>
        <c:ser>
          <c:idx val="1"/>
          <c:order val="4"/>
          <c:tx>
            <c:v>LWI 958</c:v>
          </c:tx>
          <c:spPr>
            <a:ln w="28575">
              <a:noFill/>
            </a:ln>
          </c:spPr>
          <c:marker>
            <c:symbol val="square"/>
            <c:size val="7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xVal>
            <c:numRef>
              <c:f>Figures!$O$13:$O$17</c:f>
              <c:numCache>
                <c:formatCode>General</c:formatCode>
                <c:ptCount val="5"/>
                <c:pt idx="0">
                  <c:v>0.63436611765314621</c:v>
                </c:pt>
                <c:pt idx="1">
                  <c:v>0.92389352161920812</c:v>
                </c:pt>
                <c:pt idx="2">
                  <c:v>1.1143948379913382</c:v>
                </c:pt>
                <c:pt idx="3">
                  <c:v>1.3208780138258334</c:v>
                </c:pt>
                <c:pt idx="4">
                  <c:v>1.3187612221370097</c:v>
                </c:pt>
              </c:numCache>
            </c:numRef>
          </c:xVal>
          <c:yVal>
            <c:numRef>
              <c:f>Figures!$P$13:$P$17</c:f>
              <c:numCache>
                <c:formatCode>General</c:formatCode>
                <c:ptCount val="5"/>
                <c:pt idx="0">
                  <c:v>8.070048947136087E-4</c:v>
                </c:pt>
                <c:pt idx="1">
                  <c:v>1.264730988131774E-3</c:v>
                </c:pt>
                <c:pt idx="2">
                  <c:v>7.8964557460166123E-4</c:v>
                </c:pt>
                <c:pt idx="3">
                  <c:v>3.5920858759522857E-4</c:v>
                </c:pt>
                <c:pt idx="4">
                  <c:v>3.6913080617488386E-4</c:v>
                </c:pt>
              </c:numCache>
            </c:numRef>
          </c:yVal>
          <c:smooth val="0"/>
        </c:ser>
        <c:ser>
          <c:idx val="2"/>
          <c:order val="5"/>
          <c:tx>
            <c:v>|B|=15; u=0 m/s</c:v>
          </c:tx>
          <c:spPr>
            <a:ln w="28575">
              <a:noFill/>
            </a:ln>
          </c:spPr>
          <c:marker>
            <c:symbol val="triangle"/>
            <c:size val="7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trendline>
            <c:spPr>
              <a:ln w="25400">
                <a:solidFill>
                  <a:srgbClr val="FF0000"/>
                </a:solidFill>
                <a:prstDash val="lgDash"/>
              </a:ln>
            </c:spPr>
            <c:trendlineType val="exp"/>
            <c:intercept val="6.7000000000000004E-2"/>
            <c:dispRSqr val="1"/>
            <c:dispEq val="1"/>
            <c:trendlineLbl>
              <c:layout>
                <c:manualLayout>
                  <c:x val="1.0768527883594422E-2"/>
                  <c:y val="-0.39566282962425819"/>
                </c:manualLayout>
              </c:layout>
              <c:numFmt formatCode="General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25" b="0" i="0" u="none" strike="noStrike" baseline="0">
                      <a:solidFill>
                        <a:srgbClr val="FF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nl-NL"/>
                </a:p>
              </c:txPr>
            </c:trendlineLbl>
          </c:trendline>
          <c:xVal>
            <c:numRef>
              <c:f>'First analysis'!$U$33:$U$48</c:f>
              <c:numCache>
                <c:formatCode>General</c:formatCode>
                <c:ptCount val="16"/>
                <c:pt idx="0">
                  <c:v>0.5859190432928153</c:v>
                </c:pt>
                <c:pt idx="1">
                  <c:v>0.74871191699777262</c:v>
                </c:pt>
                <c:pt idx="2">
                  <c:v>0.41191359514086512</c:v>
                </c:pt>
                <c:pt idx="3">
                  <c:v>0.59371702286741646</c:v>
                </c:pt>
                <c:pt idx="4">
                  <c:v>0.33184021869679226</c:v>
                </c:pt>
                <c:pt idx="5">
                  <c:v>0.48592327336272151</c:v>
                </c:pt>
                <c:pt idx="6">
                  <c:v>0.5859190432928153</c:v>
                </c:pt>
                <c:pt idx="7">
                  <c:v>0.74871191699777262</c:v>
                </c:pt>
                <c:pt idx="8">
                  <c:v>0.41191359514086512</c:v>
                </c:pt>
                <c:pt idx="9">
                  <c:v>0.59371702286741646</c:v>
                </c:pt>
                <c:pt idx="10">
                  <c:v>0.33184021869679226</c:v>
                </c:pt>
                <c:pt idx="11">
                  <c:v>0.48592327336272151</c:v>
                </c:pt>
                <c:pt idx="12">
                  <c:v>1.1896679230364615</c:v>
                </c:pt>
                <c:pt idx="13">
                  <c:v>0.98991763850007675</c:v>
                </c:pt>
                <c:pt idx="14">
                  <c:v>1.1896679230364615</c:v>
                </c:pt>
                <c:pt idx="15">
                  <c:v>0.98991763850007675</c:v>
                </c:pt>
              </c:numCache>
            </c:numRef>
          </c:xVal>
          <c:yVal>
            <c:numRef>
              <c:f>'First analysis'!$Y$33:$Y$48</c:f>
              <c:numCache>
                <c:formatCode>General</c:formatCode>
                <c:ptCount val="16"/>
                <c:pt idx="0">
                  <c:v>3.5640820154007324E-3</c:v>
                </c:pt>
                <c:pt idx="1">
                  <c:v>7.1538293245909461E-4</c:v>
                </c:pt>
                <c:pt idx="2">
                  <c:v>5.6711271160451255E-3</c:v>
                </c:pt>
                <c:pt idx="4">
                  <c:v>9.5581332642303094E-3</c:v>
                </c:pt>
                <c:pt idx="5">
                  <c:v>7.1984994892878088E-3</c:v>
                </c:pt>
                <c:pt idx="6">
                  <c:v>4.6677768547392978E-3</c:v>
                </c:pt>
                <c:pt idx="7">
                  <c:v>4.9325183429402861E-4</c:v>
                </c:pt>
                <c:pt idx="8">
                  <c:v>1.0229554350674465E-2</c:v>
                </c:pt>
                <c:pt idx="10">
                  <c:v>1.6317115408622185E-2</c:v>
                </c:pt>
                <c:pt idx="11">
                  <c:v>7.3238638686733901E-3</c:v>
                </c:pt>
                <c:pt idx="12">
                  <c:v>1.432411837615425E-4</c:v>
                </c:pt>
                <c:pt idx="13">
                  <c:v>8.7299988058129317E-4</c:v>
                </c:pt>
                <c:pt idx="14">
                  <c:v>1.520607046300876E-4</c:v>
                </c:pt>
                <c:pt idx="15">
                  <c:v>9.3048510919547806E-4</c:v>
                </c:pt>
              </c:numCache>
            </c:numRef>
          </c:yVal>
          <c:smooth val="0"/>
        </c:ser>
        <c:ser>
          <c:idx val="3"/>
          <c:order val="6"/>
          <c:tx>
            <c:v>|B|=30; u=0 m/s</c:v>
          </c:tx>
          <c:spPr>
            <a:ln w="28575">
              <a:noFill/>
            </a:ln>
          </c:spPr>
          <c:marker>
            <c:symbol val="square"/>
            <c:size val="7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trendline>
            <c:spPr>
              <a:ln w="25400">
                <a:solidFill>
                  <a:srgbClr val="0000FF"/>
                </a:solidFill>
                <a:prstDash val="lgDash"/>
              </a:ln>
            </c:spPr>
            <c:trendlineType val="exp"/>
            <c:intercept val="6.7000000000000004E-2"/>
            <c:dispRSqr val="1"/>
            <c:dispEq val="1"/>
            <c:trendlineLbl>
              <c:layout>
                <c:manualLayout>
                  <c:x val="0.15253761347058511"/>
                  <c:y val="-0.45808768793859256"/>
                </c:manualLayout>
              </c:layout>
              <c:numFmt formatCode="General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25" b="0" i="0" u="none" strike="noStrike" baseline="0">
                      <a:solidFill>
                        <a:srgbClr val="0000FF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nl-NL"/>
                </a:p>
              </c:txPr>
            </c:trendlineLbl>
          </c:trendline>
          <c:xVal>
            <c:numRef>
              <c:f>'First analysis'!$U$49:$U$63</c:f>
              <c:numCache>
                <c:formatCode>General</c:formatCode>
                <c:ptCount val="15"/>
                <c:pt idx="0">
                  <c:v>0.53029783703142019</c:v>
                </c:pt>
                <c:pt idx="1">
                  <c:v>0.83638987710520452</c:v>
                </c:pt>
                <c:pt idx="2">
                  <c:v>0.40912510064232421</c:v>
                </c:pt>
                <c:pt idx="3">
                  <c:v>0.57892474423241813</c:v>
                </c:pt>
                <c:pt idx="4">
                  <c:v>0.35310686511698547</c:v>
                </c:pt>
                <c:pt idx="5">
                  <c:v>0.47683979441364577</c:v>
                </c:pt>
                <c:pt idx="6">
                  <c:v>0.53029783703142019</c:v>
                </c:pt>
                <c:pt idx="7">
                  <c:v>0.83638987710520452</c:v>
                </c:pt>
                <c:pt idx="8">
                  <c:v>0.40912510064232421</c:v>
                </c:pt>
                <c:pt idx="9">
                  <c:v>0.57892474423241813</c:v>
                </c:pt>
                <c:pt idx="10">
                  <c:v>0.35310686511698547</c:v>
                </c:pt>
                <c:pt idx="11">
                  <c:v>0.47683979441364577</c:v>
                </c:pt>
                <c:pt idx="12">
                  <c:v>1.1783387147923869</c:v>
                </c:pt>
                <c:pt idx="13">
                  <c:v>0.97249074068761154</c:v>
                </c:pt>
                <c:pt idx="14">
                  <c:v>0.97249074068761154</c:v>
                </c:pt>
              </c:numCache>
            </c:numRef>
          </c:xVal>
          <c:yVal>
            <c:numRef>
              <c:f>'First analysis'!$Y$49:$Y$63</c:f>
              <c:numCache>
                <c:formatCode>General</c:formatCode>
                <c:ptCount val="15"/>
                <c:pt idx="0">
                  <c:v>2.1286242529018093E-3</c:v>
                </c:pt>
                <c:pt idx="1">
                  <c:v>3.0137746212157595E-4</c:v>
                </c:pt>
                <c:pt idx="2">
                  <c:v>7.6481928741409097E-3</c:v>
                </c:pt>
                <c:pt idx="3">
                  <c:v>1.7076855428396027E-3</c:v>
                </c:pt>
                <c:pt idx="4">
                  <c:v>1.3850075857230229E-2</c:v>
                </c:pt>
                <c:pt idx="5">
                  <c:v>4.8086739147382897E-3</c:v>
                </c:pt>
                <c:pt idx="6">
                  <c:v>1.656801206587657E-3</c:v>
                </c:pt>
                <c:pt idx="7">
                  <c:v>4.3647770376228256E-4</c:v>
                </c:pt>
                <c:pt idx="8">
                  <c:v>4.2735617016298431E-3</c:v>
                </c:pt>
                <c:pt idx="9">
                  <c:v>2.1533315507297622E-3</c:v>
                </c:pt>
                <c:pt idx="10">
                  <c:v>1.0119541467997773E-2</c:v>
                </c:pt>
                <c:pt idx="11">
                  <c:v>4.6990496003183812E-3</c:v>
                </c:pt>
                <c:pt idx="12">
                  <c:v>7.5782599922458391E-5</c:v>
                </c:pt>
                <c:pt idx="13">
                  <c:v>3.9693945905115642E-4</c:v>
                </c:pt>
                <c:pt idx="14">
                  <c:v>4.4427278334178245E-4</c:v>
                </c:pt>
              </c:numCache>
            </c:numRef>
          </c:yVal>
          <c:smooth val="0"/>
        </c:ser>
        <c:ser>
          <c:idx val="4"/>
          <c:order val="7"/>
          <c:tx>
            <c:v>|B|=45; u=0 m/s</c:v>
          </c:tx>
          <c:spPr>
            <a:ln w="28575">
              <a:noFill/>
            </a:ln>
          </c:spPr>
          <c:marker>
            <c:symbol val="diamond"/>
            <c:size val="7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trendline>
            <c:spPr>
              <a:ln w="25400">
                <a:solidFill>
                  <a:srgbClr val="000000"/>
                </a:solidFill>
                <a:prstDash val="lgDash"/>
              </a:ln>
            </c:spPr>
            <c:trendlineType val="exp"/>
            <c:intercept val="6.7000000000000004E-2"/>
            <c:dispRSqr val="1"/>
            <c:dispEq val="1"/>
            <c:trendlineLbl>
              <c:layout>
                <c:manualLayout>
                  <c:x val="0.32563853888011896"/>
                  <c:y val="-0.48206765293578807"/>
                </c:manualLayout>
              </c:layout>
              <c:numFmt formatCode="General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25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nl-NL"/>
                </a:p>
              </c:txPr>
            </c:trendlineLbl>
          </c:trendline>
          <c:xVal>
            <c:numRef>
              <c:f>'First analysis'!$U$64:$U$78</c:f>
              <c:numCache>
                <c:formatCode>General</c:formatCode>
                <c:ptCount val="15"/>
                <c:pt idx="0">
                  <c:v>0.5251819539045891</c:v>
                </c:pt>
                <c:pt idx="1">
                  <c:v>0.81832391365485779</c:v>
                </c:pt>
                <c:pt idx="2">
                  <c:v>0.38953553491715598</c:v>
                </c:pt>
                <c:pt idx="3">
                  <c:v>0.60183375582957954</c:v>
                </c:pt>
                <c:pt idx="4">
                  <c:v>0.32278333219805894</c:v>
                </c:pt>
                <c:pt idx="5">
                  <c:v>0.44439871538459835</c:v>
                </c:pt>
                <c:pt idx="6">
                  <c:v>0.5251819539045891</c:v>
                </c:pt>
                <c:pt idx="7">
                  <c:v>0.81832391365485779</c:v>
                </c:pt>
                <c:pt idx="8">
                  <c:v>0.38953553491715598</c:v>
                </c:pt>
                <c:pt idx="9">
                  <c:v>0.60183375582957954</c:v>
                </c:pt>
                <c:pt idx="10">
                  <c:v>0.32278333219805894</c:v>
                </c:pt>
                <c:pt idx="11">
                  <c:v>0.44439871538459835</c:v>
                </c:pt>
                <c:pt idx="12">
                  <c:v>1.1026310362543119</c:v>
                </c:pt>
                <c:pt idx="13">
                  <c:v>0.92285784345085176</c:v>
                </c:pt>
                <c:pt idx="14">
                  <c:v>0.92285784345085176</c:v>
                </c:pt>
              </c:numCache>
            </c:numRef>
          </c:xVal>
          <c:yVal>
            <c:numRef>
              <c:f>'First analysis'!$Y$64:$Y$78</c:f>
              <c:numCache>
                <c:formatCode>General</c:formatCode>
                <c:ptCount val="15"/>
                <c:pt idx="0">
                  <c:v>1.9134643576969419E-3</c:v>
                </c:pt>
                <c:pt idx="1">
                  <c:v>3.0784605185429437E-4</c:v>
                </c:pt>
                <c:pt idx="2">
                  <c:v>4.4991551959031031E-3</c:v>
                </c:pt>
                <c:pt idx="3">
                  <c:v>1.4301994955672435E-3</c:v>
                </c:pt>
                <c:pt idx="4">
                  <c:v>6.4035853806998196E-3</c:v>
                </c:pt>
                <c:pt idx="5">
                  <c:v>2.7125319699003703E-3</c:v>
                </c:pt>
                <c:pt idx="6">
                  <c:v>1.7137502715589669E-3</c:v>
                </c:pt>
                <c:pt idx="7">
                  <c:v>4.1046140247239253E-4</c:v>
                </c:pt>
                <c:pt idx="8">
                  <c:v>3.9430699430830947E-3</c:v>
                </c:pt>
                <c:pt idx="9">
                  <c:v>1.5773413337506026E-3</c:v>
                </c:pt>
                <c:pt idx="10">
                  <c:v>5.4865734436831872E-3</c:v>
                </c:pt>
                <c:pt idx="11">
                  <c:v>2.6721900003217123E-3</c:v>
                </c:pt>
                <c:pt idx="12">
                  <c:v>8.6996173199117949E-5</c:v>
                </c:pt>
                <c:pt idx="13">
                  <c:v>1.3778819681898262E-4</c:v>
                </c:pt>
                <c:pt idx="14">
                  <c:v>2.6586183012123119E-4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51880192"/>
        <c:axId val="251882880"/>
      </c:scatterChart>
      <c:valAx>
        <c:axId val="251880192"/>
        <c:scaling>
          <c:orientation val="minMax"/>
          <c:max val="2"/>
        </c:scaling>
        <c:delete val="0"/>
        <c:axPos val="b"/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nl-NL" sz="1675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R</a:t>
                </a:r>
                <a:r>
                  <a:rPr lang="nl-NL" sz="1675" b="1" i="0" u="none" strike="noStrike" baseline="-25000">
                    <a:solidFill>
                      <a:srgbClr val="000000"/>
                    </a:solidFill>
                    <a:latin typeface="Arial"/>
                    <a:cs typeface="Arial"/>
                  </a:rPr>
                  <a:t>c</a:t>
                </a:r>
                <a:r>
                  <a:rPr lang="nl-NL" sz="1675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/(H</a:t>
                </a:r>
                <a:r>
                  <a:rPr lang="nl-NL" sz="1675" b="1" i="0" u="none" strike="noStrike" baseline="-25000">
                    <a:solidFill>
                      <a:srgbClr val="000000"/>
                    </a:solidFill>
                    <a:latin typeface="Arial"/>
                    <a:cs typeface="Arial"/>
                  </a:rPr>
                  <a:t>m0</a:t>
                </a:r>
                <a:r>
                  <a:rPr lang="nl-NL" sz="1675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nl-NL" sz="1675" b="1" i="0" u="none" strike="noStrike" baseline="0">
                    <a:solidFill>
                      <a:srgbClr val="000000"/>
                    </a:solidFill>
                    <a:latin typeface="Symbol"/>
                  </a:rPr>
                  <a:t>x</a:t>
                </a:r>
                <a:r>
                  <a:rPr lang="nl-NL" sz="1675" b="1" i="0" u="none" strike="noStrike" baseline="-25000">
                    <a:solidFill>
                      <a:srgbClr val="000000"/>
                    </a:solidFill>
                    <a:latin typeface="Arial"/>
                    <a:cs typeface="Arial"/>
                  </a:rPr>
                  <a:t>m-1,0</a:t>
                </a:r>
                <a:r>
                  <a:rPr lang="nl-NL" sz="1675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)</a:t>
                </a:r>
              </a:p>
            </c:rich>
          </c:tx>
          <c:layout>
            <c:manualLayout>
              <c:xMode val="edge"/>
              <c:yMode val="edge"/>
              <c:x val="0.46098439375750355"/>
              <c:y val="0.9132014827260515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in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nl-NL"/>
          </a:p>
        </c:txPr>
        <c:crossAx val="251882880"/>
        <c:crossesAt val="1.0000000000000023E-6"/>
        <c:crossBetween val="midCat"/>
      </c:valAx>
      <c:valAx>
        <c:axId val="251882880"/>
        <c:scaling>
          <c:logBase val="10"/>
          <c:orientation val="minMax"/>
          <c:max val="0.1"/>
          <c:min val="1.0000000000000023E-6"/>
        </c:scaling>
        <c:delete val="0"/>
        <c:axPos val="l"/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nl-NL" sz="1675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q/(gH</a:t>
                </a:r>
                <a:r>
                  <a:rPr lang="nl-NL" sz="1675" b="1" i="0" u="none" strike="noStrike" baseline="-25000">
                    <a:solidFill>
                      <a:srgbClr val="000000"/>
                    </a:solidFill>
                    <a:latin typeface="Arial"/>
                    <a:cs typeface="Arial"/>
                  </a:rPr>
                  <a:t>m0</a:t>
                </a:r>
                <a:r>
                  <a:rPr lang="nl-NL" sz="1675" b="1" i="0" u="none" strike="noStrike" baseline="30000">
                    <a:solidFill>
                      <a:srgbClr val="000000"/>
                    </a:solidFill>
                    <a:latin typeface="Arial"/>
                    <a:cs typeface="Arial"/>
                  </a:rPr>
                  <a:t>3</a:t>
                </a:r>
                <a:r>
                  <a:rPr lang="nl-NL" sz="1675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)</a:t>
                </a:r>
                <a:r>
                  <a:rPr lang="nl-NL" sz="1675" b="1" i="0" u="none" strike="noStrike" baseline="30000">
                    <a:solidFill>
                      <a:srgbClr val="000000"/>
                    </a:solidFill>
                    <a:latin typeface="Arial"/>
                    <a:cs typeface="Arial"/>
                  </a:rPr>
                  <a:t>0.5</a:t>
                </a:r>
                <a:r>
                  <a:rPr lang="nl-NL" sz="1675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(s</a:t>
                </a:r>
                <a:r>
                  <a:rPr lang="nl-NL" sz="1675" b="1" i="0" u="none" strike="noStrike" baseline="-25000">
                    <a:solidFill>
                      <a:srgbClr val="000000"/>
                    </a:solidFill>
                    <a:latin typeface="Arial"/>
                    <a:cs typeface="Arial"/>
                  </a:rPr>
                  <a:t>m-1,0</a:t>
                </a:r>
                <a:r>
                  <a:rPr lang="nl-NL" sz="1675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/tan</a:t>
                </a:r>
                <a:r>
                  <a:rPr lang="nl-NL" sz="1675" b="1" i="0" u="none" strike="noStrike" baseline="0">
                    <a:solidFill>
                      <a:srgbClr val="000000"/>
                    </a:solidFill>
                    <a:latin typeface="Symbol"/>
                  </a:rPr>
                  <a:t>a</a:t>
                </a:r>
                <a:r>
                  <a:rPr lang="nl-NL" sz="1675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)</a:t>
                </a:r>
                <a:r>
                  <a:rPr lang="nl-NL" sz="1675" b="1" i="0" u="none" strike="noStrike" baseline="30000">
                    <a:solidFill>
                      <a:srgbClr val="000000"/>
                    </a:solidFill>
                    <a:latin typeface="Arial"/>
                    <a:cs typeface="Arial"/>
                  </a:rPr>
                  <a:t>0.5</a:t>
                </a:r>
              </a:p>
            </c:rich>
          </c:tx>
          <c:layout>
            <c:manualLayout>
              <c:xMode val="edge"/>
              <c:yMode val="edge"/>
              <c:x val="4.8019207683073269E-3"/>
              <c:y val="0.20976510847536492"/>
            </c:manualLayout>
          </c:layout>
          <c:overlay val="0"/>
          <c:spPr>
            <a:noFill/>
            <a:ln w="25400">
              <a:noFill/>
            </a:ln>
          </c:spPr>
        </c:title>
        <c:numFmt formatCode="0.E+00" sourceLinked="0"/>
        <c:majorTickMark val="in"/>
        <c:minorTickMark val="in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nl-NL"/>
          </a:p>
        </c:txPr>
        <c:crossAx val="251880192"/>
        <c:crosses val="autoZero"/>
        <c:crossBetween val="midCat"/>
      </c:valAx>
      <c:spPr>
        <a:noFill/>
        <a:ln w="3175">
          <a:solidFill>
            <a:srgbClr val="000000"/>
          </a:solidFill>
          <a:prstDash val="solid"/>
        </a:ln>
      </c:spPr>
    </c:plotArea>
    <c:legend>
      <c:legendPos val="r"/>
      <c:legendEntry>
        <c:idx val="0"/>
        <c:delete val="1"/>
      </c:legendEntry>
      <c:legendEntry>
        <c:idx val="1"/>
        <c:delete val="1"/>
      </c:legendEntry>
      <c:legendEntry>
        <c:idx val="2"/>
        <c:delete val="1"/>
      </c:legendEntry>
      <c:legendEntry>
        <c:idx val="8"/>
        <c:delete val="1"/>
      </c:legendEntry>
      <c:legendEntry>
        <c:idx val="9"/>
        <c:delete val="1"/>
      </c:legendEntry>
      <c:legendEntry>
        <c:idx val="10"/>
        <c:delete val="1"/>
      </c:legendEntry>
      <c:legendEntry>
        <c:idx val="11"/>
        <c:delete val="1"/>
      </c:legendEntry>
      <c:layout>
        <c:manualLayout>
          <c:xMode val="edge"/>
          <c:yMode val="edge"/>
          <c:x val="0.20408163265306123"/>
          <c:y val="0.46654649181510538"/>
          <c:w val="0.13565426170468187"/>
          <c:h val="0.20072351715529241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nl-NL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nl-NL"/>
    </a:p>
  </c:txPr>
  <c:printSettings>
    <c:headerFooter alignWithMargins="0"/>
    <c:pageMargins b="1" l="0.75000000000000056" r="0.75000000000000056" t="1" header="0.5" footer="0.5"/>
    <c:pageSetup paperSize="9" orientation="landscape"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541679285281669"/>
          <c:y val="3.8647342995169136E-2"/>
          <c:w val="0.8485581903065551"/>
          <c:h val="0.81521883353649038"/>
        </c:manualLayout>
      </c:layout>
      <c:scatterChart>
        <c:scatterStyle val="lineMarker"/>
        <c:varyColors val="0"/>
        <c:ser>
          <c:idx val="7"/>
          <c:order val="0"/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Figures!$O$2:$O$3</c:f>
              <c:numCache>
                <c:formatCode>General</c:formatCode>
                <c:ptCount val="2"/>
                <c:pt idx="0">
                  <c:v>0.2</c:v>
                </c:pt>
                <c:pt idx="1">
                  <c:v>1.8</c:v>
                </c:pt>
              </c:numCache>
            </c:numRef>
          </c:xVal>
          <c:yVal>
            <c:numRef>
              <c:f>Figures!$P$2:$P$3</c:f>
              <c:numCache>
                <c:formatCode>General</c:formatCode>
                <c:ptCount val="2"/>
                <c:pt idx="0">
                  <c:v>2.5911648571451579E-2</c:v>
                </c:pt>
                <c:pt idx="1">
                  <c:v>1.2967521670392288E-5</c:v>
                </c:pt>
              </c:numCache>
            </c:numRef>
          </c:yVal>
          <c:smooth val="0"/>
        </c:ser>
        <c:ser>
          <c:idx val="0"/>
          <c:order val="1"/>
          <c:tx>
            <c:v>B=0; u=0 m/s</c:v>
          </c:tx>
          <c:spPr>
            <a:ln w="28575">
              <a:noFill/>
            </a:ln>
          </c:spPr>
          <c:marker>
            <c:symbol val="diamond"/>
            <c:size val="7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trendline>
            <c:trendlineType val="exp"/>
            <c:intercept val="6.7000000000000004E-2"/>
            <c:dispRSqr val="1"/>
            <c:dispEq val="1"/>
            <c:trendlineLbl>
              <c:layout>
                <c:manualLayout>
                  <c:x val="-0.20423354532606516"/>
                  <c:y val="-0.39895545665487503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sz="1025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nl-NL"/>
                </a:p>
              </c:txPr>
            </c:trendlineLbl>
          </c:trendline>
          <c:trendline>
            <c:trendlineType val="exp"/>
            <c:intercept val="6.7000000000000004E-2"/>
            <c:dispRSqr val="0"/>
            <c:dispEq val="0"/>
          </c:trendline>
          <c:xVal>
            <c:numRef>
              <c:f>'First analysis'!$U$7:$U$32</c:f>
              <c:numCache>
                <c:formatCode>General</c:formatCode>
                <c:ptCount val="26"/>
                <c:pt idx="0">
                  <c:v>0.51693551020304518</c:v>
                </c:pt>
                <c:pt idx="1">
                  <c:v>0.76483455064886774</c:v>
                </c:pt>
                <c:pt idx="2">
                  <c:v>0.41312313403430817</c:v>
                </c:pt>
                <c:pt idx="3">
                  <c:v>0.5916577571828775</c:v>
                </c:pt>
                <c:pt idx="4">
                  <c:v>0.31285946091724209</c:v>
                </c:pt>
                <c:pt idx="5">
                  <c:v>0.46759783678185662</c:v>
                </c:pt>
                <c:pt idx="6">
                  <c:v>0.51693551020304518</c:v>
                </c:pt>
                <c:pt idx="7">
                  <c:v>0.76483455064886774</c:v>
                </c:pt>
                <c:pt idx="8">
                  <c:v>0.41312313403430817</c:v>
                </c:pt>
                <c:pt idx="9">
                  <c:v>0.5916577571828775</c:v>
                </c:pt>
                <c:pt idx="10">
                  <c:v>0.31285946091724209</c:v>
                </c:pt>
                <c:pt idx="11">
                  <c:v>0.46759783678185662</c:v>
                </c:pt>
                <c:pt idx="12">
                  <c:v>1.2726572524293509</c:v>
                </c:pt>
                <c:pt idx="13">
                  <c:v>0.97926189262544694</c:v>
                </c:pt>
                <c:pt idx="14">
                  <c:v>1.4122624236685368</c:v>
                </c:pt>
                <c:pt idx="15">
                  <c:v>1.2726572524293509</c:v>
                </c:pt>
                <c:pt idx="16">
                  <c:v>0.97926189262544694</c:v>
                </c:pt>
                <c:pt idx="17">
                  <c:v>1.4122624236685368</c:v>
                </c:pt>
                <c:pt idx="18">
                  <c:v>0.97634288188627805</c:v>
                </c:pt>
                <c:pt idx="19">
                  <c:v>0.63126657881365655</c:v>
                </c:pt>
                <c:pt idx="20">
                  <c:v>0.94594890051343827</c:v>
                </c:pt>
                <c:pt idx="21">
                  <c:v>0.97634288188627805</c:v>
                </c:pt>
                <c:pt idx="22">
                  <c:v>0.63126657881365655</c:v>
                </c:pt>
                <c:pt idx="23">
                  <c:v>0.94594890051343827</c:v>
                </c:pt>
                <c:pt idx="24">
                  <c:v>1.302201721894944</c:v>
                </c:pt>
                <c:pt idx="25">
                  <c:v>1.302201721894944</c:v>
                </c:pt>
              </c:numCache>
            </c:numRef>
          </c:xVal>
          <c:yVal>
            <c:numRef>
              <c:f>'First analysis'!$Y$7:$Y$32</c:f>
              <c:numCache>
                <c:formatCode>General</c:formatCode>
                <c:ptCount val="26"/>
                <c:pt idx="0">
                  <c:v>6.0067458474327177E-3</c:v>
                </c:pt>
                <c:pt idx="1">
                  <c:v>1.6793300306038484E-3</c:v>
                </c:pt>
                <c:pt idx="2">
                  <c:v>1.0957872942195161E-2</c:v>
                </c:pt>
                <c:pt idx="3">
                  <c:v>4.7331660419306764E-3</c:v>
                </c:pt>
                <c:pt idx="4">
                  <c:v>1.4916058444068745E-2</c:v>
                </c:pt>
                <c:pt idx="5">
                  <c:v>9.4014335105898576E-3</c:v>
                </c:pt>
                <c:pt idx="6">
                  <c:v>7.4664419712701068E-3</c:v>
                </c:pt>
                <c:pt idx="7">
                  <c:v>1.4419268277787005E-3</c:v>
                </c:pt>
                <c:pt idx="8">
                  <c:v>7.9005675439406085E-3</c:v>
                </c:pt>
                <c:pt idx="9">
                  <c:v>4.0429705631210558E-3</c:v>
                </c:pt>
                <c:pt idx="10">
                  <c:v>1.1360377877621022E-2</c:v>
                </c:pt>
                <c:pt idx="11">
                  <c:v>8.2056399795256314E-3</c:v>
                </c:pt>
                <c:pt idx="12">
                  <c:v>1.030950884087279E-4</c:v>
                </c:pt>
                <c:pt idx="13">
                  <c:v>5.3240691706786297E-4</c:v>
                </c:pt>
                <c:pt idx="14">
                  <c:v>7.9313656214570236E-5</c:v>
                </c:pt>
                <c:pt idx="15">
                  <c:v>2.759975094076917E-4</c:v>
                </c:pt>
                <c:pt idx="16">
                  <c:v>1.9175578270913805E-3</c:v>
                </c:pt>
                <c:pt idx="17">
                  <c:v>8.3574307168245493E-5</c:v>
                </c:pt>
                <c:pt idx="18">
                  <c:v>6.6706256618973784E-4</c:v>
                </c:pt>
                <c:pt idx="20">
                  <c:v>1.040164926671978E-3</c:v>
                </c:pt>
                <c:pt idx="21">
                  <c:v>3.6348918277404871E-4</c:v>
                </c:pt>
                <c:pt idx="23">
                  <c:v>7.8905640906891449E-4</c:v>
                </c:pt>
                <c:pt idx="24">
                  <c:v>1.3389179572695264E-4</c:v>
                </c:pt>
                <c:pt idx="25">
                  <c:v>2.7955185874002224E-4</c:v>
                </c:pt>
              </c:numCache>
            </c:numRef>
          </c:yVal>
          <c:smooth val="0"/>
        </c:ser>
        <c:ser>
          <c:idx val="1"/>
          <c:order val="2"/>
          <c:tx>
            <c:v>B=0; u=0.15 m/s</c:v>
          </c:tx>
          <c:spPr>
            <a:ln>
              <a:noFill/>
            </a:ln>
          </c:spPr>
          <c:trendline>
            <c:trendlineType val="exp"/>
            <c:intercept val="6.7000000000000004E-2"/>
            <c:dispRSqr val="1"/>
            <c:dispEq val="1"/>
            <c:trendlineLbl>
              <c:layout>
                <c:manualLayout>
                  <c:x val="-6.8318064809206658E-2"/>
                  <c:y val="-0.39639716231123306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sz="1025" b="0" i="0" u="none" strike="noStrike" baseline="0">
                      <a:solidFill>
                        <a:srgbClr val="C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nl-NL"/>
                </a:p>
              </c:txPr>
            </c:trendlineLbl>
          </c:trendline>
          <c:xVal>
            <c:numRef>
              <c:f>'First analysis'!$U$83:$U$100</c:f>
              <c:numCache>
                <c:formatCode>General</c:formatCode>
                <c:ptCount val="18"/>
                <c:pt idx="0">
                  <c:v>0.57055096192621368</c:v>
                </c:pt>
                <c:pt idx="1">
                  <c:v>0.8012090443975779</c:v>
                </c:pt>
                <c:pt idx="2">
                  <c:v>0.3885534284677245</c:v>
                </c:pt>
                <c:pt idx="3">
                  <c:v>0.60791056611229499</c:v>
                </c:pt>
                <c:pt idx="4">
                  <c:v>0.31491763628964126</c:v>
                </c:pt>
                <c:pt idx="5">
                  <c:v>0.47736944002222825</c:v>
                </c:pt>
                <c:pt idx="6">
                  <c:v>0.57055096192621368</c:v>
                </c:pt>
                <c:pt idx="7">
                  <c:v>0.8012090443975779</c:v>
                </c:pt>
                <c:pt idx="8">
                  <c:v>0.3885534284677245</c:v>
                </c:pt>
                <c:pt idx="9">
                  <c:v>0.60791056611229499</c:v>
                </c:pt>
                <c:pt idx="10">
                  <c:v>0.31491763628964126</c:v>
                </c:pt>
                <c:pt idx="11">
                  <c:v>0.47736944002222825</c:v>
                </c:pt>
                <c:pt idx="12">
                  <c:v>1.1837832970608364</c:v>
                </c:pt>
                <c:pt idx="13">
                  <c:v>0.96280253732013676</c:v>
                </c:pt>
                <c:pt idx="14">
                  <c:v>1.4129752504050377</c:v>
                </c:pt>
                <c:pt idx="15">
                  <c:v>1.1837832970608364</c:v>
                </c:pt>
                <c:pt idx="16">
                  <c:v>0.96280253732013676</c:v>
                </c:pt>
                <c:pt idx="17">
                  <c:v>1.4129752504050377</c:v>
                </c:pt>
              </c:numCache>
            </c:numRef>
          </c:xVal>
          <c:yVal>
            <c:numRef>
              <c:f>'First analysis'!$Y$83:$Y$100</c:f>
              <c:numCache>
                <c:formatCode>General</c:formatCode>
                <c:ptCount val="18"/>
                <c:pt idx="0">
                  <c:v>6.1381611395739406E-3</c:v>
                </c:pt>
                <c:pt idx="1">
                  <c:v>1.4187309447872653E-3</c:v>
                </c:pt>
                <c:pt idx="2">
                  <c:v>1.0439417658373336E-2</c:v>
                </c:pt>
                <c:pt idx="3">
                  <c:v>6.4383999377814402E-3</c:v>
                </c:pt>
                <c:pt idx="4">
                  <c:v>1.6340078722632982E-2</c:v>
                </c:pt>
                <c:pt idx="5">
                  <c:v>1.2136030347735293E-2</c:v>
                </c:pt>
                <c:pt idx="6">
                  <c:v>6.3192368931913731E-3</c:v>
                </c:pt>
                <c:pt idx="7">
                  <c:v>1.8860171970258839E-3</c:v>
                </c:pt>
                <c:pt idx="8">
                  <c:v>1.0018687666883587E-2</c:v>
                </c:pt>
                <c:pt idx="9">
                  <c:v>7.1616563184573288E-3</c:v>
                </c:pt>
                <c:pt idx="10">
                  <c:v>1.5614527117284329E-2</c:v>
                </c:pt>
                <c:pt idx="11">
                  <c:v>1.1830017696923196E-2</c:v>
                </c:pt>
                <c:pt idx="12">
                  <c:v>1.3429961416954432E-4</c:v>
                </c:pt>
                <c:pt idx="13">
                  <c:v>4.3913339218392631E-4</c:v>
                </c:pt>
                <c:pt idx="14">
                  <c:v>1.1416951347304235E-4</c:v>
                </c:pt>
                <c:pt idx="15">
                  <c:v>1.5929259169436986E-4</c:v>
                </c:pt>
                <c:pt idx="16">
                  <c:v>6.9657129728241483E-4</c:v>
                </c:pt>
                <c:pt idx="17">
                  <c:v>1.2204327302290733E-4</c:v>
                </c:pt>
              </c:numCache>
            </c:numRef>
          </c:yVal>
          <c:smooth val="0"/>
        </c:ser>
        <c:ser>
          <c:idx val="2"/>
          <c:order val="3"/>
          <c:tx>
            <c:v>B=0; u=0.30 m/s</c:v>
          </c:tx>
          <c:spPr>
            <a:ln>
              <a:noFill/>
            </a:ln>
          </c:spPr>
          <c:trendline>
            <c:trendlineType val="exp"/>
            <c:intercept val="6.7000000000000004E-2"/>
            <c:dispRSqr val="0"/>
            <c:dispEq val="0"/>
          </c:trendline>
          <c:trendline>
            <c:trendlineType val="exp"/>
            <c:intercept val="6.7000000000000004E-2"/>
            <c:dispRSqr val="1"/>
            <c:dispEq val="1"/>
            <c:trendlineLbl>
              <c:layout>
                <c:manualLayout>
                  <c:x val="7.238895618816879E-2"/>
                  <c:y val="-0.39098177945148205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sz="1025" b="0" i="0" u="none" strike="noStrike" baseline="0">
                      <a:solidFill>
                        <a:srgbClr val="99CC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nl-NL"/>
                </a:p>
              </c:txPr>
            </c:trendlineLbl>
          </c:trendline>
          <c:trendline>
            <c:trendlineType val="exp"/>
            <c:intercept val="6.7000000000000004E-2"/>
            <c:dispRSqr val="0"/>
            <c:dispEq val="0"/>
          </c:trendline>
          <c:xVal>
            <c:numRef>
              <c:f>'First analysis'!$U$101:$U$118</c:f>
              <c:numCache>
                <c:formatCode>General</c:formatCode>
                <c:ptCount val="18"/>
                <c:pt idx="0">
                  <c:v>0.54347480685471738</c:v>
                </c:pt>
                <c:pt idx="1">
                  <c:v>0.77974885044805442</c:v>
                </c:pt>
                <c:pt idx="2">
                  <c:v>0.38984809119385938</c:v>
                </c:pt>
                <c:pt idx="3">
                  <c:v>0.60314301974480433</c:v>
                </c:pt>
                <c:pt idx="4">
                  <c:v>0.31699618728014006</c:v>
                </c:pt>
                <c:pt idx="5">
                  <c:v>0.48495626091507349</c:v>
                </c:pt>
                <c:pt idx="6">
                  <c:v>0.54347480685471738</c:v>
                </c:pt>
                <c:pt idx="7">
                  <c:v>0.77974885044805442</c:v>
                </c:pt>
                <c:pt idx="8">
                  <c:v>0.38984809119385938</c:v>
                </c:pt>
                <c:pt idx="9">
                  <c:v>0.60314301974480433</c:v>
                </c:pt>
                <c:pt idx="10">
                  <c:v>0.31699618728014006</c:v>
                </c:pt>
                <c:pt idx="11">
                  <c:v>0.48495626091507349</c:v>
                </c:pt>
                <c:pt idx="12">
                  <c:v>1.1760712716631552</c:v>
                </c:pt>
                <c:pt idx="13">
                  <c:v>0.95067695641843042</c:v>
                </c:pt>
                <c:pt idx="14">
                  <c:v>1.4023947912270645</c:v>
                </c:pt>
                <c:pt idx="15">
                  <c:v>1.1760712716631552</c:v>
                </c:pt>
                <c:pt idx="16">
                  <c:v>0.95067695641843042</c:v>
                </c:pt>
                <c:pt idx="17">
                  <c:v>1.4023947912270645</c:v>
                </c:pt>
              </c:numCache>
            </c:numRef>
          </c:xVal>
          <c:yVal>
            <c:numRef>
              <c:f>'First analysis'!$Y$101:$Y$118</c:f>
              <c:numCache>
                <c:formatCode>General</c:formatCode>
                <c:ptCount val="18"/>
                <c:pt idx="0">
                  <c:v>3.7427083887482601E-3</c:v>
                </c:pt>
                <c:pt idx="1">
                  <c:v>1.7092141473996362E-3</c:v>
                </c:pt>
                <c:pt idx="2">
                  <c:v>1.0165509753102755E-2</c:v>
                </c:pt>
                <c:pt idx="3">
                  <c:v>4.4556254293010335E-3</c:v>
                </c:pt>
                <c:pt idx="4">
                  <c:v>1.7451019425857264E-2</c:v>
                </c:pt>
                <c:pt idx="5">
                  <c:v>9.491200626444745E-3</c:v>
                </c:pt>
                <c:pt idx="6">
                  <c:v>6.3888428249730539E-3</c:v>
                </c:pt>
                <c:pt idx="7">
                  <c:v>1.7647983473150716E-3</c:v>
                </c:pt>
                <c:pt idx="8">
                  <c:v>1.1205104039713653E-2</c:v>
                </c:pt>
                <c:pt idx="9">
                  <c:v>6.4417868944367379E-3</c:v>
                </c:pt>
                <c:pt idx="10">
                  <c:v>1.7723862657724163E-2</c:v>
                </c:pt>
                <c:pt idx="11">
                  <c:v>1.3527604293620472E-2</c:v>
                </c:pt>
                <c:pt idx="12">
                  <c:v>1.7327317292598478E-4</c:v>
                </c:pt>
                <c:pt idx="13">
                  <c:v>8.922607796219232E-4</c:v>
                </c:pt>
                <c:pt idx="14">
                  <c:v>9.6307174349750347E-5</c:v>
                </c:pt>
                <c:pt idx="15">
                  <c:v>1.5573780894205148E-4</c:v>
                </c:pt>
                <c:pt idx="16">
                  <c:v>8.9709973221124286E-4</c:v>
                </c:pt>
                <c:pt idx="17">
                  <c:v>1.8679713682602582E-4</c:v>
                </c:pt>
              </c:numCache>
            </c:numRef>
          </c:yVal>
          <c:smooth val="0"/>
        </c:ser>
        <c:ser>
          <c:idx val="3"/>
          <c:order val="4"/>
          <c:tx>
            <c:v>B=0; u=0.40 m/s</c:v>
          </c:tx>
          <c:spPr>
            <a:ln>
              <a:noFill/>
            </a:ln>
          </c:spPr>
          <c:marker>
            <c:symbol val="diamond"/>
            <c:size val="7"/>
          </c:marker>
          <c:trendline>
            <c:trendlineType val="exp"/>
            <c:intercept val="6.7000000000000004E-2"/>
            <c:dispRSqr val="1"/>
            <c:dispEq val="1"/>
            <c:trendlineLbl>
              <c:layout>
                <c:manualLayout>
                  <c:x val="0.2134880375529985"/>
                  <c:y val="-0.3983143139716237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sz="1025" b="0" i="0" u="none" strike="noStrike" baseline="0">
                      <a:solidFill>
                        <a:srgbClr val="666699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nl-NL"/>
                </a:p>
              </c:txPr>
            </c:trendlineLbl>
          </c:trendline>
          <c:xVal>
            <c:numRef>
              <c:f>'First analysis'!$U$119:$U$136</c:f>
              <c:numCache>
                <c:formatCode>General</c:formatCode>
                <c:ptCount val="18"/>
                <c:pt idx="0">
                  <c:v>0.55163926197974955</c:v>
                </c:pt>
                <c:pt idx="1">
                  <c:v>0.75285014709203879</c:v>
                </c:pt>
                <c:pt idx="2">
                  <c:v>0.39937672658645507</c:v>
                </c:pt>
                <c:pt idx="3">
                  <c:v>0.59282023042258991</c:v>
                </c:pt>
                <c:pt idx="4">
                  <c:v>0.32330023457567153</c:v>
                </c:pt>
                <c:pt idx="5">
                  <c:v>0.49048177060360676</c:v>
                </c:pt>
                <c:pt idx="6">
                  <c:v>0.55163926197974955</c:v>
                </c:pt>
                <c:pt idx="7">
                  <c:v>0.75285014709203879</c:v>
                </c:pt>
                <c:pt idx="8">
                  <c:v>0.39937672658645507</c:v>
                </c:pt>
                <c:pt idx="9">
                  <c:v>0.59282023042258991</c:v>
                </c:pt>
                <c:pt idx="10">
                  <c:v>0.32330023457567153</c:v>
                </c:pt>
                <c:pt idx="11">
                  <c:v>0.49048177060360676</c:v>
                </c:pt>
                <c:pt idx="12">
                  <c:v>1.1807718352663132</c:v>
                </c:pt>
                <c:pt idx="13">
                  <c:v>0.95421603192862403</c:v>
                </c:pt>
                <c:pt idx="14">
                  <c:v>1.4097759995651837</c:v>
                </c:pt>
                <c:pt idx="15">
                  <c:v>1.1807718352663132</c:v>
                </c:pt>
                <c:pt idx="16">
                  <c:v>0.95421603192862403</c:v>
                </c:pt>
                <c:pt idx="17">
                  <c:v>1.4097759995651837</c:v>
                </c:pt>
              </c:numCache>
            </c:numRef>
          </c:xVal>
          <c:yVal>
            <c:numRef>
              <c:f>'First analysis'!$Y$119:$Y$136</c:f>
              <c:numCache>
                <c:formatCode>General</c:formatCode>
                <c:ptCount val="18"/>
                <c:pt idx="0">
                  <c:v>5.2734427338340219E-3</c:v>
                </c:pt>
                <c:pt idx="1">
                  <c:v>1.8686712055625916E-3</c:v>
                </c:pt>
                <c:pt idx="2">
                  <c:v>9.6077065294391008E-3</c:v>
                </c:pt>
                <c:pt idx="3">
                  <c:v>4.614131529364008E-3</c:v>
                </c:pt>
                <c:pt idx="4">
                  <c:v>1.8175662008516526E-2</c:v>
                </c:pt>
                <c:pt idx="5">
                  <c:v>9.3269556136911375E-3</c:v>
                </c:pt>
                <c:pt idx="6">
                  <c:v>6.7566781985781291E-3</c:v>
                </c:pt>
                <c:pt idx="7">
                  <c:v>1.4099850272908737E-3</c:v>
                </c:pt>
                <c:pt idx="8">
                  <c:v>1.2066467525559402E-2</c:v>
                </c:pt>
                <c:pt idx="9">
                  <c:v>4.55553643032149E-3</c:v>
                </c:pt>
                <c:pt idx="10">
                  <c:v>1.9950964320601387E-2</c:v>
                </c:pt>
                <c:pt idx="11">
                  <c:v>1.3643719011017652E-2</c:v>
                </c:pt>
                <c:pt idx="12">
                  <c:v>1.9083889523711066E-4</c:v>
                </c:pt>
                <c:pt idx="13">
                  <c:v>1.0833203355979731E-3</c:v>
                </c:pt>
                <c:pt idx="14">
                  <c:v>8.328028497904072E-5</c:v>
                </c:pt>
                <c:pt idx="15">
                  <c:v>1.7196471878508872E-4</c:v>
                </c:pt>
                <c:pt idx="16">
                  <c:v>8.5461702076521757E-4</c:v>
                </c:pt>
                <c:pt idx="17">
                  <c:v>1.2998256243787536E-4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3301120"/>
        <c:axId val="43303296"/>
      </c:scatterChart>
      <c:valAx>
        <c:axId val="43301120"/>
        <c:scaling>
          <c:orientation val="minMax"/>
          <c:max val="2"/>
        </c:scaling>
        <c:delete val="0"/>
        <c:axPos val="b"/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nl-NL" sz="1675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R</a:t>
                </a:r>
                <a:r>
                  <a:rPr lang="nl-NL" sz="1675" b="1" i="0" u="none" strike="noStrike" baseline="-25000">
                    <a:solidFill>
                      <a:srgbClr val="000000"/>
                    </a:solidFill>
                    <a:latin typeface="Arial"/>
                    <a:cs typeface="Arial"/>
                  </a:rPr>
                  <a:t>c</a:t>
                </a:r>
                <a:r>
                  <a:rPr lang="nl-NL" sz="1675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/(H</a:t>
                </a:r>
                <a:r>
                  <a:rPr lang="nl-NL" sz="1675" b="1" i="0" u="none" strike="noStrike" baseline="-25000">
                    <a:solidFill>
                      <a:srgbClr val="000000"/>
                    </a:solidFill>
                    <a:latin typeface="Arial"/>
                    <a:cs typeface="Arial"/>
                  </a:rPr>
                  <a:t>m0</a:t>
                </a:r>
                <a:r>
                  <a:rPr lang="nl-NL" sz="1675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nl-NL" sz="1675" b="1" i="0" u="none" strike="noStrike" baseline="0">
                    <a:solidFill>
                      <a:srgbClr val="000000"/>
                    </a:solidFill>
                    <a:latin typeface="Symbol"/>
                  </a:rPr>
                  <a:t>x</a:t>
                </a:r>
                <a:r>
                  <a:rPr lang="nl-NL" sz="1675" b="1" i="0" u="none" strike="noStrike" baseline="-25000">
                    <a:solidFill>
                      <a:srgbClr val="000000"/>
                    </a:solidFill>
                    <a:latin typeface="Arial"/>
                    <a:cs typeface="Arial"/>
                  </a:rPr>
                  <a:t>m-1,0</a:t>
                </a:r>
                <a:r>
                  <a:rPr lang="nl-NL" sz="1675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)</a:t>
                </a:r>
              </a:p>
            </c:rich>
          </c:tx>
          <c:layout>
            <c:manualLayout>
              <c:xMode val="edge"/>
              <c:yMode val="edge"/>
              <c:x val="0.46274063698768431"/>
              <c:y val="0.9130449998098066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in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nl-NL"/>
          </a:p>
        </c:txPr>
        <c:crossAx val="43303296"/>
        <c:crossesAt val="1.0000000000000023E-6"/>
        <c:crossBetween val="midCat"/>
      </c:valAx>
      <c:valAx>
        <c:axId val="43303296"/>
        <c:scaling>
          <c:logBase val="10"/>
          <c:orientation val="minMax"/>
          <c:max val="0.1"/>
          <c:min val="1.0000000000000027E-6"/>
        </c:scaling>
        <c:delete val="0"/>
        <c:axPos val="l"/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nl-NL" sz="1675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q/(gH</a:t>
                </a:r>
                <a:r>
                  <a:rPr lang="nl-NL" sz="1675" b="1" i="0" u="none" strike="noStrike" baseline="-25000">
                    <a:solidFill>
                      <a:srgbClr val="000000"/>
                    </a:solidFill>
                    <a:latin typeface="Arial"/>
                    <a:cs typeface="Arial"/>
                  </a:rPr>
                  <a:t>m0</a:t>
                </a:r>
                <a:r>
                  <a:rPr lang="nl-NL" sz="1675" b="1" i="0" u="none" strike="noStrike" baseline="30000">
                    <a:solidFill>
                      <a:srgbClr val="000000"/>
                    </a:solidFill>
                    <a:latin typeface="Arial"/>
                    <a:cs typeface="Arial"/>
                  </a:rPr>
                  <a:t>3</a:t>
                </a:r>
                <a:r>
                  <a:rPr lang="nl-NL" sz="1675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)</a:t>
                </a:r>
                <a:r>
                  <a:rPr lang="nl-NL" sz="1675" b="1" i="0" u="none" strike="noStrike" baseline="30000">
                    <a:solidFill>
                      <a:srgbClr val="000000"/>
                    </a:solidFill>
                    <a:latin typeface="Arial"/>
                    <a:cs typeface="Arial"/>
                  </a:rPr>
                  <a:t>0.5</a:t>
                </a:r>
                <a:r>
                  <a:rPr lang="nl-NL" sz="1675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(s</a:t>
                </a:r>
                <a:r>
                  <a:rPr lang="nl-NL" sz="1675" b="1" i="0" u="none" strike="noStrike" baseline="-25000">
                    <a:solidFill>
                      <a:srgbClr val="000000"/>
                    </a:solidFill>
                    <a:latin typeface="Arial"/>
                    <a:cs typeface="Arial"/>
                  </a:rPr>
                  <a:t>m-1,0</a:t>
                </a:r>
                <a:r>
                  <a:rPr lang="nl-NL" sz="1675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/tan</a:t>
                </a:r>
                <a:r>
                  <a:rPr lang="nl-NL" sz="1675" b="1" i="0" u="none" strike="noStrike" baseline="0">
                    <a:solidFill>
                      <a:srgbClr val="000000"/>
                    </a:solidFill>
                    <a:latin typeface="Symbol"/>
                  </a:rPr>
                  <a:t>a</a:t>
                </a:r>
                <a:r>
                  <a:rPr lang="nl-NL" sz="1675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)</a:t>
                </a:r>
                <a:r>
                  <a:rPr lang="nl-NL" sz="1675" b="1" i="0" u="none" strike="noStrike" baseline="30000">
                    <a:solidFill>
                      <a:srgbClr val="000000"/>
                    </a:solidFill>
                    <a:latin typeface="Arial"/>
                    <a:cs typeface="Arial"/>
                  </a:rPr>
                  <a:t>0.5</a:t>
                </a:r>
              </a:p>
            </c:rich>
          </c:tx>
          <c:layout>
            <c:manualLayout>
              <c:xMode val="edge"/>
              <c:yMode val="edge"/>
              <c:x val="6.009615384615391E-3"/>
              <c:y val="0.21014530792346625"/>
            </c:manualLayout>
          </c:layout>
          <c:overlay val="0"/>
          <c:spPr>
            <a:noFill/>
            <a:ln w="25400">
              <a:noFill/>
            </a:ln>
          </c:spPr>
        </c:title>
        <c:numFmt formatCode="0.E+00" sourceLinked="0"/>
        <c:majorTickMark val="in"/>
        <c:minorTickMark val="in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nl-NL"/>
          </a:p>
        </c:txPr>
        <c:crossAx val="43301120"/>
        <c:crosses val="autoZero"/>
        <c:crossBetween val="midCat"/>
      </c:valAx>
      <c:spPr>
        <a:noFill/>
        <a:ln w="3175">
          <a:solidFill>
            <a:srgbClr val="000000"/>
          </a:solidFill>
          <a:prstDash val="solid"/>
        </a:ln>
      </c:spPr>
    </c:plotArea>
    <c:legend>
      <c:legendPos val="r"/>
      <c:legendEntry>
        <c:idx val="0"/>
        <c:delete val="1"/>
      </c:legendEntry>
      <c:legendEntry>
        <c:idx val="5"/>
        <c:delete val="1"/>
      </c:legendEntry>
      <c:legendEntry>
        <c:idx val="6"/>
        <c:delete val="1"/>
      </c:legendEntry>
      <c:legendEntry>
        <c:idx val="7"/>
        <c:delete val="1"/>
      </c:legendEntry>
      <c:legendEntry>
        <c:idx val="8"/>
        <c:delete val="1"/>
      </c:legendEntry>
      <c:legendEntry>
        <c:idx val="9"/>
        <c:delete val="1"/>
      </c:legendEntry>
      <c:legendEntry>
        <c:idx val="10"/>
        <c:delete val="1"/>
      </c:legendEntry>
      <c:legendEntry>
        <c:idx val="11"/>
        <c:delete val="1"/>
      </c:legendEntry>
      <c:layout>
        <c:manualLayout>
          <c:xMode val="edge"/>
          <c:yMode val="edge"/>
          <c:x val="0.18149051080153444"/>
          <c:y val="0.44384153067823029"/>
          <c:w val="0.18760422975974159"/>
          <c:h val="0.22720624595838571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6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nl-NL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nl-NL"/>
    </a:p>
  </c:txPr>
  <c:printSettings>
    <c:headerFooter alignWithMargins="0"/>
    <c:pageMargins b="1" l="0.75000000000000089" r="0.75000000000000089" t="1" header="0.5" footer="0.5"/>
    <c:pageSetup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38142287502524"/>
          <c:y val="5.7971014492753624E-2"/>
          <c:w val="0.8485581903065551"/>
          <c:h val="0.81521883353649072"/>
        </c:manualLayout>
      </c:layout>
      <c:scatterChart>
        <c:scatterStyle val="lineMarker"/>
        <c:varyColors val="0"/>
        <c:ser>
          <c:idx val="7"/>
          <c:order val="0"/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Figures!$O$2:$O$3</c:f>
              <c:numCache>
                <c:formatCode>General</c:formatCode>
                <c:ptCount val="2"/>
                <c:pt idx="0">
                  <c:v>0.2</c:v>
                </c:pt>
                <c:pt idx="1">
                  <c:v>1.8</c:v>
                </c:pt>
              </c:numCache>
            </c:numRef>
          </c:xVal>
          <c:yVal>
            <c:numRef>
              <c:f>Figures!$P$2:$P$3</c:f>
              <c:numCache>
                <c:formatCode>General</c:formatCode>
                <c:ptCount val="2"/>
                <c:pt idx="0">
                  <c:v>2.5911648571451579E-2</c:v>
                </c:pt>
                <c:pt idx="1">
                  <c:v>1.2967521670392288E-5</c:v>
                </c:pt>
              </c:numCache>
            </c:numRef>
          </c:yVal>
          <c:smooth val="0"/>
        </c:ser>
        <c:ser>
          <c:idx val="0"/>
          <c:order val="1"/>
          <c:tx>
            <c:v>B=15; u=0 m/s</c:v>
          </c:tx>
          <c:spPr>
            <a:ln w="28575">
              <a:noFill/>
            </a:ln>
          </c:spPr>
          <c:marker>
            <c:symbol val="diamond"/>
            <c:size val="7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trendline>
            <c:trendlineType val="exp"/>
            <c:intercept val="6.7000000000000004E-2"/>
            <c:dispRSqr val="1"/>
            <c:dispEq val="1"/>
            <c:trendlineLbl>
              <c:layout>
                <c:manualLayout>
                  <c:x val="-1.4944351907934585E-2"/>
                  <c:y val="-0.35551884818745538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sz="1025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nl-NL"/>
                </a:p>
              </c:txPr>
            </c:trendlineLbl>
          </c:trendline>
          <c:xVal>
            <c:numRef>
              <c:f>'First analysis'!$U$33:$U$48</c:f>
              <c:numCache>
                <c:formatCode>General</c:formatCode>
                <c:ptCount val="16"/>
                <c:pt idx="0">
                  <c:v>0.5859190432928153</c:v>
                </c:pt>
                <c:pt idx="1">
                  <c:v>0.74871191699777262</c:v>
                </c:pt>
                <c:pt idx="2">
                  <c:v>0.41191359514086512</c:v>
                </c:pt>
                <c:pt idx="3">
                  <c:v>0.59371702286741646</c:v>
                </c:pt>
                <c:pt idx="4">
                  <c:v>0.33184021869679226</c:v>
                </c:pt>
                <c:pt idx="5">
                  <c:v>0.48592327336272151</c:v>
                </c:pt>
                <c:pt idx="6">
                  <c:v>0.5859190432928153</c:v>
                </c:pt>
                <c:pt idx="7">
                  <c:v>0.74871191699777262</c:v>
                </c:pt>
                <c:pt idx="8">
                  <c:v>0.41191359514086512</c:v>
                </c:pt>
                <c:pt idx="9">
                  <c:v>0.59371702286741646</c:v>
                </c:pt>
                <c:pt idx="10">
                  <c:v>0.33184021869679226</c:v>
                </c:pt>
                <c:pt idx="11">
                  <c:v>0.48592327336272151</c:v>
                </c:pt>
                <c:pt idx="12">
                  <c:v>1.1896679230364615</c:v>
                </c:pt>
                <c:pt idx="13">
                  <c:v>0.98991763850007675</c:v>
                </c:pt>
                <c:pt idx="14">
                  <c:v>1.1896679230364615</c:v>
                </c:pt>
                <c:pt idx="15">
                  <c:v>0.98991763850007675</c:v>
                </c:pt>
              </c:numCache>
            </c:numRef>
          </c:xVal>
          <c:yVal>
            <c:numRef>
              <c:f>'First analysis'!$Y$33:$Y$48</c:f>
              <c:numCache>
                <c:formatCode>General</c:formatCode>
                <c:ptCount val="16"/>
                <c:pt idx="0">
                  <c:v>3.5640820154007324E-3</c:v>
                </c:pt>
                <c:pt idx="1">
                  <c:v>7.1538293245909461E-4</c:v>
                </c:pt>
                <c:pt idx="2">
                  <c:v>5.6711271160451255E-3</c:v>
                </c:pt>
                <c:pt idx="4">
                  <c:v>9.5581332642303094E-3</c:v>
                </c:pt>
                <c:pt idx="5">
                  <c:v>7.1984994892878088E-3</c:v>
                </c:pt>
                <c:pt idx="6">
                  <c:v>4.6677768547392978E-3</c:v>
                </c:pt>
                <c:pt idx="7">
                  <c:v>4.9325183429402861E-4</c:v>
                </c:pt>
                <c:pt idx="8">
                  <c:v>1.0229554350674465E-2</c:v>
                </c:pt>
                <c:pt idx="10">
                  <c:v>1.6317115408622185E-2</c:v>
                </c:pt>
                <c:pt idx="11">
                  <c:v>7.3238638686733901E-3</c:v>
                </c:pt>
                <c:pt idx="12">
                  <c:v>1.432411837615425E-4</c:v>
                </c:pt>
                <c:pt idx="13">
                  <c:v>8.7299988058129317E-4</c:v>
                </c:pt>
                <c:pt idx="14">
                  <c:v>1.520607046300876E-4</c:v>
                </c:pt>
                <c:pt idx="15">
                  <c:v>9.3048510919547806E-4</c:v>
                </c:pt>
              </c:numCache>
            </c:numRef>
          </c:yVal>
          <c:smooth val="0"/>
        </c:ser>
        <c:ser>
          <c:idx val="1"/>
          <c:order val="2"/>
          <c:tx>
            <c:v>B=15; u=0.30 m/s</c:v>
          </c:tx>
          <c:spPr>
            <a:ln>
              <a:noFill/>
            </a:ln>
          </c:spPr>
          <c:trendline>
            <c:trendlineType val="exp"/>
            <c:intercept val="6.7000000000000004E-2"/>
            <c:dispRSqr val="1"/>
            <c:dispEq val="1"/>
            <c:trendlineLbl>
              <c:layout>
                <c:manualLayout>
                  <c:x val="4.3434660811629375E-2"/>
                  <c:y val="-0.42659591464110463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sz="1025" b="0" i="0" u="none" strike="noStrike" baseline="0">
                      <a:solidFill>
                        <a:srgbClr val="C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nl-NL"/>
                </a:p>
              </c:txPr>
            </c:trendlineLbl>
          </c:trendline>
          <c:xVal>
            <c:numRef>
              <c:f>'First analysis'!$U$137:$U$142</c:f>
              <c:numCache>
                <c:formatCode>General</c:formatCode>
                <c:ptCount val="6"/>
                <c:pt idx="0">
                  <c:v>1.0824791694121254</c:v>
                </c:pt>
                <c:pt idx="1">
                  <c:v>0.70878436191058947</c:v>
                </c:pt>
                <c:pt idx="2">
                  <c:v>1.0824791694121254</c:v>
                </c:pt>
                <c:pt idx="3">
                  <c:v>0.70878436191058947</c:v>
                </c:pt>
                <c:pt idx="4">
                  <c:v>1.4139812548723318</c:v>
                </c:pt>
                <c:pt idx="5">
                  <c:v>1.4139812548723318</c:v>
                </c:pt>
              </c:numCache>
            </c:numRef>
          </c:xVal>
          <c:yVal>
            <c:numRef>
              <c:f>'First analysis'!$Y$137:$Y$142</c:f>
              <c:numCache>
                <c:formatCode>General</c:formatCode>
                <c:ptCount val="6"/>
                <c:pt idx="0">
                  <c:v>1.9885636151214245E-4</c:v>
                </c:pt>
                <c:pt idx="1">
                  <c:v>7.4807515055431322E-4</c:v>
                </c:pt>
                <c:pt idx="2">
                  <c:v>1.139127799279433E-4</c:v>
                </c:pt>
                <c:pt idx="3">
                  <c:v>1.4632592023329357E-3</c:v>
                </c:pt>
                <c:pt idx="4">
                  <c:v>1.7697589757599341E-4</c:v>
                </c:pt>
                <c:pt idx="5">
                  <c:v>1.1152623131268225E-4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3340160"/>
        <c:axId val="43342080"/>
      </c:scatterChart>
      <c:valAx>
        <c:axId val="43340160"/>
        <c:scaling>
          <c:orientation val="minMax"/>
          <c:max val="2"/>
        </c:scaling>
        <c:delete val="0"/>
        <c:axPos val="b"/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nl-NL" sz="1675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R</a:t>
                </a:r>
                <a:r>
                  <a:rPr lang="nl-NL" sz="1675" b="1" i="0" u="none" strike="noStrike" baseline="-25000">
                    <a:solidFill>
                      <a:srgbClr val="000000"/>
                    </a:solidFill>
                    <a:latin typeface="Arial"/>
                    <a:cs typeface="Arial"/>
                  </a:rPr>
                  <a:t>c</a:t>
                </a:r>
                <a:r>
                  <a:rPr lang="nl-NL" sz="1675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/(H</a:t>
                </a:r>
                <a:r>
                  <a:rPr lang="nl-NL" sz="1675" b="1" i="0" u="none" strike="noStrike" baseline="-25000">
                    <a:solidFill>
                      <a:srgbClr val="000000"/>
                    </a:solidFill>
                    <a:latin typeface="Arial"/>
                    <a:cs typeface="Arial"/>
                  </a:rPr>
                  <a:t>m0</a:t>
                </a:r>
                <a:r>
                  <a:rPr lang="nl-NL" sz="1675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nl-NL" sz="1675" b="1" i="0" u="none" strike="noStrike" baseline="0">
                    <a:solidFill>
                      <a:srgbClr val="000000"/>
                    </a:solidFill>
                    <a:latin typeface="Symbol"/>
                  </a:rPr>
                  <a:t>x</a:t>
                </a:r>
                <a:r>
                  <a:rPr lang="nl-NL" sz="1675" b="1" i="0" u="none" strike="noStrike" baseline="-25000">
                    <a:solidFill>
                      <a:srgbClr val="000000"/>
                    </a:solidFill>
                    <a:latin typeface="Arial"/>
                    <a:cs typeface="Arial"/>
                  </a:rPr>
                  <a:t>m-1,0</a:t>
                </a:r>
                <a:r>
                  <a:rPr lang="nl-NL" sz="1675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)</a:t>
                </a:r>
              </a:p>
            </c:rich>
          </c:tx>
          <c:layout>
            <c:manualLayout>
              <c:xMode val="edge"/>
              <c:yMode val="edge"/>
              <c:x val="0.46274063698768431"/>
              <c:y val="0.9130449998098066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in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nl-NL"/>
          </a:p>
        </c:txPr>
        <c:crossAx val="43342080"/>
        <c:crossesAt val="1.0000000000000023E-6"/>
        <c:crossBetween val="midCat"/>
      </c:valAx>
      <c:valAx>
        <c:axId val="43342080"/>
        <c:scaling>
          <c:logBase val="10"/>
          <c:orientation val="minMax"/>
          <c:max val="0.1"/>
          <c:min val="1.0000000000000023E-6"/>
        </c:scaling>
        <c:delete val="0"/>
        <c:axPos val="l"/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nl-NL" sz="1675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q/(gH</a:t>
                </a:r>
                <a:r>
                  <a:rPr lang="nl-NL" sz="1675" b="1" i="0" u="none" strike="noStrike" baseline="-25000">
                    <a:solidFill>
                      <a:srgbClr val="000000"/>
                    </a:solidFill>
                    <a:latin typeface="Arial"/>
                    <a:cs typeface="Arial"/>
                  </a:rPr>
                  <a:t>m0</a:t>
                </a:r>
                <a:r>
                  <a:rPr lang="nl-NL" sz="1675" b="1" i="0" u="none" strike="noStrike" baseline="30000">
                    <a:solidFill>
                      <a:srgbClr val="000000"/>
                    </a:solidFill>
                    <a:latin typeface="Arial"/>
                    <a:cs typeface="Arial"/>
                  </a:rPr>
                  <a:t>3</a:t>
                </a:r>
                <a:r>
                  <a:rPr lang="nl-NL" sz="1675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)</a:t>
                </a:r>
                <a:r>
                  <a:rPr lang="nl-NL" sz="1675" b="1" i="0" u="none" strike="noStrike" baseline="30000">
                    <a:solidFill>
                      <a:srgbClr val="000000"/>
                    </a:solidFill>
                    <a:latin typeface="Arial"/>
                    <a:cs typeface="Arial"/>
                  </a:rPr>
                  <a:t>0.5</a:t>
                </a:r>
                <a:r>
                  <a:rPr lang="nl-NL" sz="1675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(s</a:t>
                </a:r>
                <a:r>
                  <a:rPr lang="nl-NL" sz="1675" b="1" i="0" u="none" strike="noStrike" baseline="-25000">
                    <a:solidFill>
                      <a:srgbClr val="000000"/>
                    </a:solidFill>
                    <a:latin typeface="Arial"/>
                    <a:cs typeface="Arial"/>
                  </a:rPr>
                  <a:t>m-1,0</a:t>
                </a:r>
                <a:r>
                  <a:rPr lang="nl-NL" sz="1675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/tan</a:t>
                </a:r>
                <a:r>
                  <a:rPr lang="nl-NL" sz="1675" b="1" i="0" u="none" strike="noStrike" baseline="0">
                    <a:solidFill>
                      <a:srgbClr val="000000"/>
                    </a:solidFill>
                    <a:latin typeface="Symbol"/>
                  </a:rPr>
                  <a:t>a</a:t>
                </a:r>
                <a:r>
                  <a:rPr lang="nl-NL" sz="1675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)</a:t>
                </a:r>
                <a:r>
                  <a:rPr lang="nl-NL" sz="1675" b="1" i="0" u="none" strike="noStrike" baseline="30000">
                    <a:solidFill>
                      <a:srgbClr val="000000"/>
                    </a:solidFill>
                    <a:latin typeface="Arial"/>
                    <a:cs typeface="Arial"/>
                  </a:rPr>
                  <a:t>0.5</a:t>
                </a:r>
              </a:p>
            </c:rich>
          </c:tx>
          <c:layout>
            <c:manualLayout>
              <c:xMode val="edge"/>
              <c:yMode val="edge"/>
              <c:x val="6.009615384615391E-3"/>
              <c:y val="0.21014530792346625"/>
            </c:manualLayout>
          </c:layout>
          <c:overlay val="0"/>
          <c:spPr>
            <a:noFill/>
            <a:ln w="25400">
              <a:noFill/>
            </a:ln>
          </c:spPr>
        </c:title>
        <c:numFmt formatCode="0.E+00" sourceLinked="0"/>
        <c:majorTickMark val="in"/>
        <c:minorTickMark val="in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nl-NL"/>
          </a:p>
        </c:txPr>
        <c:crossAx val="43340160"/>
        <c:crosses val="autoZero"/>
        <c:crossBetween val="midCat"/>
      </c:valAx>
      <c:spPr>
        <a:noFill/>
        <a:ln w="3175">
          <a:solidFill>
            <a:srgbClr val="000000"/>
          </a:solidFill>
          <a:prstDash val="solid"/>
        </a:ln>
      </c:spPr>
    </c:plotArea>
    <c:legend>
      <c:legendPos val="r"/>
      <c:legendEntry>
        <c:idx val="0"/>
        <c:delete val="1"/>
      </c:legendEntry>
      <c:legendEntry>
        <c:idx val="3"/>
        <c:delete val="1"/>
      </c:legendEntry>
      <c:legendEntry>
        <c:idx val="4"/>
        <c:delete val="1"/>
      </c:legendEntry>
      <c:layout>
        <c:manualLayout>
          <c:xMode val="edge"/>
          <c:yMode val="edge"/>
          <c:x val="0.21193922875025253"/>
          <c:y val="0.55736810072653897"/>
          <c:w val="0.18279653745204949"/>
          <c:h val="0.12817242953326488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6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nl-NL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nl-NL"/>
    </a:p>
  </c:txPr>
  <c:printSettings>
    <c:headerFooter alignWithMargins="0"/>
    <c:pageMargins b="1" l="0.75000000000000111" r="0.75000000000000111" t="1" header="0.5" footer="0.5"/>
    <c:pageSetup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38142287502524"/>
          <c:y val="5.7971014492753624E-2"/>
          <c:w val="0.8485581903065551"/>
          <c:h val="0.80314161816729501"/>
        </c:manualLayout>
      </c:layout>
      <c:scatterChart>
        <c:scatterStyle val="lineMarker"/>
        <c:varyColors val="0"/>
        <c:ser>
          <c:idx val="7"/>
          <c:order val="0"/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Figures!$O$2:$O$3</c:f>
              <c:numCache>
                <c:formatCode>General</c:formatCode>
                <c:ptCount val="2"/>
                <c:pt idx="0">
                  <c:v>0.2</c:v>
                </c:pt>
                <c:pt idx="1">
                  <c:v>1.8</c:v>
                </c:pt>
              </c:numCache>
            </c:numRef>
          </c:xVal>
          <c:yVal>
            <c:numRef>
              <c:f>Figures!$P$2:$P$3</c:f>
              <c:numCache>
                <c:formatCode>General</c:formatCode>
                <c:ptCount val="2"/>
                <c:pt idx="0">
                  <c:v>2.5911648571451579E-2</c:v>
                </c:pt>
                <c:pt idx="1">
                  <c:v>1.2967521670392288E-5</c:v>
                </c:pt>
              </c:numCache>
            </c:numRef>
          </c:yVal>
          <c:smooth val="0"/>
        </c:ser>
        <c:ser>
          <c:idx val="0"/>
          <c:order val="1"/>
          <c:tx>
            <c:v>B=30; u=0 m/s</c:v>
          </c:tx>
          <c:spPr>
            <a:ln w="28575">
              <a:noFill/>
            </a:ln>
          </c:spPr>
          <c:marker>
            <c:symbol val="diamond"/>
            <c:size val="7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trendline>
            <c:trendlineType val="exp"/>
            <c:intercept val="6.7000000000000004E-2"/>
            <c:dispRSqr val="1"/>
            <c:dispEq val="1"/>
            <c:trendlineLbl>
              <c:layout>
                <c:manualLayout>
                  <c:x val="-7.6138451443569552E-2"/>
                  <c:y val="-0.45295028338848992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sz="1025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nl-NL"/>
                </a:p>
              </c:txPr>
            </c:trendlineLbl>
          </c:trendline>
          <c:xVal>
            <c:numRef>
              <c:f>'First analysis'!$U$49:$U$63</c:f>
              <c:numCache>
                <c:formatCode>General</c:formatCode>
                <c:ptCount val="15"/>
                <c:pt idx="0">
                  <c:v>0.53029783703142019</c:v>
                </c:pt>
                <c:pt idx="1">
                  <c:v>0.83638987710520452</c:v>
                </c:pt>
                <c:pt idx="2">
                  <c:v>0.40912510064232421</c:v>
                </c:pt>
                <c:pt idx="3">
                  <c:v>0.57892474423241813</c:v>
                </c:pt>
                <c:pt idx="4">
                  <c:v>0.35310686511698547</c:v>
                </c:pt>
                <c:pt idx="5">
                  <c:v>0.47683979441364577</c:v>
                </c:pt>
                <c:pt idx="6">
                  <c:v>0.53029783703142019</c:v>
                </c:pt>
                <c:pt idx="7">
                  <c:v>0.83638987710520452</c:v>
                </c:pt>
                <c:pt idx="8">
                  <c:v>0.40912510064232421</c:v>
                </c:pt>
                <c:pt idx="9">
                  <c:v>0.57892474423241813</c:v>
                </c:pt>
                <c:pt idx="10">
                  <c:v>0.35310686511698547</c:v>
                </c:pt>
                <c:pt idx="11">
                  <c:v>0.47683979441364577</c:v>
                </c:pt>
                <c:pt idx="12">
                  <c:v>1.1783387147923869</c:v>
                </c:pt>
                <c:pt idx="13">
                  <c:v>0.97249074068761154</c:v>
                </c:pt>
                <c:pt idx="14">
                  <c:v>0.97249074068761154</c:v>
                </c:pt>
              </c:numCache>
            </c:numRef>
          </c:xVal>
          <c:yVal>
            <c:numRef>
              <c:f>'First analysis'!$Y$49:$Y$63</c:f>
              <c:numCache>
                <c:formatCode>General</c:formatCode>
                <c:ptCount val="15"/>
                <c:pt idx="0">
                  <c:v>2.1286242529018093E-3</c:v>
                </c:pt>
                <c:pt idx="1">
                  <c:v>3.0137746212157595E-4</c:v>
                </c:pt>
                <c:pt idx="2">
                  <c:v>7.6481928741409097E-3</c:v>
                </c:pt>
                <c:pt idx="3">
                  <c:v>1.7076855428396027E-3</c:v>
                </c:pt>
                <c:pt idx="4">
                  <c:v>1.3850075857230229E-2</c:v>
                </c:pt>
                <c:pt idx="5">
                  <c:v>4.8086739147382897E-3</c:v>
                </c:pt>
                <c:pt idx="6">
                  <c:v>1.656801206587657E-3</c:v>
                </c:pt>
                <c:pt idx="7">
                  <c:v>4.3647770376228256E-4</c:v>
                </c:pt>
                <c:pt idx="8">
                  <c:v>4.2735617016298431E-3</c:v>
                </c:pt>
                <c:pt idx="9">
                  <c:v>2.1533315507297622E-3</c:v>
                </c:pt>
                <c:pt idx="10">
                  <c:v>1.0119541467997773E-2</c:v>
                </c:pt>
                <c:pt idx="11">
                  <c:v>4.6990496003183812E-3</c:v>
                </c:pt>
                <c:pt idx="12">
                  <c:v>7.5782599922458391E-5</c:v>
                </c:pt>
                <c:pt idx="13">
                  <c:v>3.9693945905115642E-4</c:v>
                </c:pt>
                <c:pt idx="14">
                  <c:v>4.4427278334178245E-4</c:v>
                </c:pt>
              </c:numCache>
            </c:numRef>
          </c:yVal>
          <c:smooth val="0"/>
        </c:ser>
        <c:ser>
          <c:idx val="1"/>
          <c:order val="2"/>
          <c:tx>
            <c:v>B=30; u=0.15 m/s</c:v>
          </c:tx>
          <c:spPr>
            <a:ln>
              <a:noFill/>
            </a:ln>
          </c:spPr>
          <c:trendline>
            <c:trendlineType val="exp"/>
            <c:intercept val="6.7000000000000004E-2"/>
            <c:dispRSqr val="1"/>
            <c:dispEq val="1"/>
            <c:trendlineLbl>
              <c:layout>
                <c:manualLayout>
                  <c:x val="0.14920389158086048"/>
                  <c:y val="-0.36862490014835164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sz="1025" b="0" i="0" u="none" strike="noStrike" baseline="0">
                      <a:solidFill>
                        <a:srgbClr val="C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nl-NL"/>
                </a:p>
              </c:txPr>
            </c:trendlineLbl>
          </c:trendline>
          <c:xVal>
            <c:numRef>
              <c:f>'First analysis'!$U$143:$U$156</c:f>
              <c:numCache>
                <c:formatCode>General</c:formatCode>
                <c:ptCount val="14"/>
                <c:pt idx="0">
                  <c:v>0.59139530360546189</c:v>
                </c:pt>
                <c:pt idx="1">
                  <c:v>0.83752227582046779</c:v>
                </c:pt>
                <c:pt idx="2">
                  <c:v>0.42339185099892657</c:v>
                </c:pt>
                <c:pt idx="3">
                  <c:v>0.61899525499364771</c:v>
                </c:pt>
                <c:pt idx="4">
                  <c:v>0.35919269510053897</c:v>
                </c:pt>
                <c:pt idx="5">
                  <c:v>0.49198484166749679</c:v>
                </c:pt>
                <c:pt idx="6">
                  <c:v>0.59139530360546189</c:v>
                </c:pt>
                <c:pt idx="7">
                  <c:v>0.83752227582046779</c:v>
                </c:pt>
                <c:pt idx="8">
                  <c:v>0.42339185099892657</c:v>
                </c:pt>
                <c:pt idx="9">
                  <c:v>0.61899525499364771</c:v>
                </c:pt>
                <c:pt idx="10">
                  <c:v>0.35919269510053897</c:v>
                </c:pt>
                <c:pt idx="11">
                  <c:v>0.49198484166749679</c:v>
                </c:pt>
                <c:pt idx="12">
                  <c:v>0.9732250235356501</c:v>
                </c:pt>
                <c:pt idx="13">
                  <c:v>0.9732250235356501</c:v>
                </c:pt>
              </c:numCache>
            </c:numRef>
          </c:xVal>
          <c:yVal>
            <c:numRef>
              <c:f>'First analysis'!$Y$143:$Y$156</c:f>
              <c:numCache>
                <c:formatCode>General</c:formatCode>
                <c:ptCount val="14"/>
                <c:pt idx="0">
                  <c:v>2.5621005368510101E-3</c:v>
                </c:pt>
                <c:pt idx="1">
                  <c:v>3.1020985040933858E-4</c:v>
                </c:pt>
                <c:pt idx="2">
                  <c:v>8.2626608078628285E-3</c:v>
                </c:pt>
                <c:pt idx="3">
                  <c:v>1.7821517647635683E-3</c:v>
                </c:pt>
                <c:pt idx="4">
                  <c:v>1.4937359643228188E-2</c:v>
                </c:pt>
                <c:pt idx="5">
                  <c:v>4.8551596159035152E-3</c:v>
                </c:pt>
                <c:pt idx="6">
                  <c:v>2.2449980036543062E-3</c:v>
                </c:pt>
                <c:pt idx="7">
                  <c:v>3.5509809749699483E-4</c:v>
                </c:pt>
                <c:pt idx="8">
                  <c:v>6.2536770291616002E-3</c:v>
                </c:pt>
                <c:pt idx="9">
                  <c:v>1.7076208090252344E-3</c:v>
                </c:pt>
                <c:pt idx="10">
                  <c:v>1.1623142264143104E-2</c:v>
                </c:pt>
                <c:pt idx="11">
                  <c:v>4.727721967650058E-3</c:v>
                </c:pt>
                <c:pt idx="12">
                  <c:v>2.7208167366390908E-4</c:v>
                </c:pt>
                <c:pt idx="13">
                  <c:v>4.403136971692272E-4</c:v>
                </c:pt>
              </c:numCache>
            </c:numRef>
          </c:yVal>
          <c:smooth val="0"/>
        </c:ser>
        <c:ser>
          <c:idx val="2"/>
          <c:order val="3"/>
          <c:tx>
            <c:v>B=30; u=0.30 m/s</c:v>
          </c:tx>
          <c:spPr>
            <a:ln>
              <a:noFill/>
            </a:ln>
          </c:spPr>
          <c:trendline>
            <c:trendlineType val="exp"/>
            <c:intercept val="6.7000000000000004E-2"/>
            <c:dispRSqr val="1"/>
            <c:dispEq val="1"/>
            <c:trendlineLbl>
              <c:layout>
                <c:manualLayout>
                  <c:x val="0.2839714566929134"/>
                  <c:y val="-0.32737228498611626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sz="1025" b="0" i="0" u="none" strike="noStrike" baseline="0">
                      <a:solidFill>
                        <a:srgbClr val="99CC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nl-NL"/>
                </a:p>
              </c:txPr>
            </c:trendlineLbl>
          </c:trendline>
          <c:xVal>
            <c:numRef>
              <c:f>'First analysis'!$U$157:$U$170</c:f>
              <c:numCache>
                <c:formatCode>General</c:formatCode>
                <c:ptCount val="14"/>
                <c:pt idx="0">
                  <c:v>0.61960518705934131</c:v>
                </c:pt>
                <c:pt idx="1">
                  <c:v>0.81572125823889119</c:v>
                </c:pt>
                <c:pt idx="2">
                  <c:v>0.42684300783681461</c:v>
                </c:pt>
                <c:pt idx="3">
                  <c:v>0.63687174639122424</c:v>
                </c:pt>
                <c:pt idx="4">
                  <c:v>0.3565166337537099</c:v>
                </c:pt>
                <c:pt idx="5">
                  <c:v>0.48969085682277785</c:v>
                </c:pt>
                <c:pt idx="6">
                  <c:v>0.61960518705934131</c:v>
                </c:pt>
                <c:pt idx="7">
                  <c:v>0.81572125823889119</c:v>
                </c:pt>
                <c:pt idx="8">
                  <c:v>0.42684300783681461</c:v>
                </c:pt>
                <c:pt idx="9">
                  <c:v>0.63687174639122424</c:v>
                </c:pt>
                <c:pt idx="10">
                  <c:v>0.3565166337537099</c:v>
                </c:pt>
                <c:pt idx="11">
                  <c:v>0.48969085682277785</c:v>
                </c:pt>
                <c:pt idx="12">
                  <c:v>0.9796706280419063</c:v>
                </c:pt>
                <c:pt idx="13">
                  <c:v>0.9796706280419063</c:v>
                </c:pt>
              </c:numCache>
            </c:numRef>
          </c:xVal>
          <c:yVal>
            <c:numRef>
              <c:f>'First analysis'!$Y$157:$Y$170</c:f>
              <c:numCache>
                <c:formatCode>General</c:formatCode>
                <c:ptCount val="14"/>
                <c:pt idx="0">
                  <c:v>4.5714381270085249E-3</c:v>
                </c:pt>
                <c:pt idx="1">
                  <c:v>8.9775814799112827E-4</c:v>
                </c:pt>
                <c:pt idx="2">
                  <c:v>9.5085185736675168E-3</c:v>
                </c:pt>
                <c:pt idx="3">
                  <c:v>3.2868801091401551E-3</c:v>
                </c:pt>
                <c:pt idx="4">
                  <c:v>1.4583800770575807E-2</c:v>
                </c:pt>
                <c:pt idx="5">
                  <c:v>7.0989324630461592E-3</c:v>
                </c:pt>
                <c:pt idx="6">
                  <c:v>3.6762132417511159E-3</c:v>
                </c:pt>
                <c:pt idx="7">
                  <c:v>5.7912171569614041E-4</c:v>
                </c:pt>
                <c:pt idx="8">
                  <c:v>9.7819422160437854E-3</c:v>
                </c:pt>
                <c:pt idx="9">
                  <c:v>2.9036612329275376E-3</c:v>
                </c:pt>
                <c:pt idx="10">
                  <c:v>1.4371831566811089E-2</c:v>
                </c:pt>
                <c:pt idx="11">
                  <c:v>7.1479166042455241E-3</c:v>
                </c:pt>
                <c:pt idx="12">
                  <c:v>2.0688488314006895E-4</c:v>
                </c:pt>
                <c:pt idx="13">
                  <c:v>4.4259066252751248E-4</c:v>
                </c:pt>
              </c:numCache>
            </c:numRef>
          </c:yVal>
          <c:smooth val="0"/>
        </c:ser>
        <c:ser>
          <c:idx val="3"/>
          <c:order val="4"/>
          <c:tx>
            <c:v>B=30; u=0.40 m/s</c:v>
          </c:tx>
          <c:spPr>
            <a:ln>
              <a:noFill/>
            </a:ln>
          </c:spPr>
          <c:marker>
            <c:symbol val="square"/>
            <c:size val="7"/>
          </c:marker>
          <c:trendline>
            <c:trendlineType val="exp"/>
            <c:intercept val="6.7000000000000004E-2"/>
            <c:dispRSqr val="1"/>
            <c:dispEq val="1"/>
            <c:trendlineLbl>
              <c:layout>
                <c:manualLayout>
                  <c:x val="0.42807061376943323"/>
                  <c:y val="-0.34705218912853286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sz="1025" b="0" i="0" u="none" strike="noStrike" baseline="0">
                      <a:solidFill>
                        <a:srgbClr val="666699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nl-NL"/>
                </a:p>
              </c:txPr>
            </c:trendlineLbl>
          </c:trendline>
          <c:xVal>
            <c:numRef>
              <c:f>'First analysis'!$U$171:$U$184</c:f>
              <c:numCache>
                <c:formatCode>General</c:formatCode>
                <c:ptCount val="14"/>
                <c:pt idx="0">
                  <c:v>0.58381273309468218</c:v>
                </c:pt>
                <c:pt idx="1">
                  <c:v>0.87026943117820876</c:v>
                </c:pt>
                <c:pt idx="2">
                  <c:v>0.41687837605214723</c:v>
                </c:pt>
                <c:pt idx="3">
                  <c:v>0.64559355609143876</c:v>
                </c:pt>
                <c:pt idx="4">
                  <c:v>0.34650302264303778</c:v>
                </c:pt>
                <c:pt idx="5">
                  <c:v>0.4932857259524957</c:v>
                </c:pt>
                <c:pt idx="6">
                  <c:v>0.58381273309468218</c:v>
                </c:pt>
                <c:pt idx="7">
                  <c:v>0.87026943117820876</c:v>
                </c:pt>
                <c:pt idx="8">
                  <c:v>0.41687837605214723</c:v>
                </c:pt>
                <c:pt idx="9">
                  <c:v>0.64559355609143876</c:v>
                </c:pt>
                <c:pt idx="10">
                  <c:v>0.34650302264303778</c:v>
                </c:pt>
                <c:pt idx="11">
                  <c:v>0.4932857259524957</c:v>
                </c:pt>
                <c:pt idx="12">
                  <c:v>0.98004575213218192</c:v>
                </c:pt>
                <c:pt idx="13">
                  <c:v>0.98004575213218192</c:v>
                </c:pt>
              </c:numCache>
            </c:numRef>
          </c:xVal>
          <c:yVal>
            <c:numRef>
              <c:f>'First analysis'!$Y$171:$Y$184</c:f>
              <c:numCache>
                <c:formatCode>General</c:formatCode>
                <c:ptCount val="14"/>
                <c:pt idx="0">
                  <c:v>2.6467613687256556E-3</c:v>
                </c:pt>
                <c:pt idx="1">
                  <c:v>3.8167870733660106E-4</c:v>
                </c:pt>
                <c:pt idx="2">
                  <c:v>5.9037725187811342E-3</c:v>
                </c:pt>
                <c:pt idx="3">
                  <c:v>3.707333006851425E-3</c:v>
                </c:pt>
                <c:pt idx="4">
                  <c:v>9.8285832020372828E-3</c:v>
                </c:pt>
                <c:pt idx="5">
                  <c:v>5.9796289024338463E-3</c:v>
                </c:pt>
                <c:pt idx="6">
                  <c:v>3.0289507396899255E-3</c:v>
                </c:pt>
                <c:pt idx="7">
                  <c:v>6.5257538623990276E-4</c:v>
                </c:pt>
                <c:pt idx="8">
                  <c:v>8.8986784116912264E-3</c:v>
                </c:pt>
                <c:pt idx="9">
                  <c:v>2.9131408720900372E-3</c:v>
                </c:pt>
                <c:pt idx="10">
                  <c:v>1.3416356913056598E-2</c:v>
                </c:pt>
                <c:pt idx="11">
                  <c:v>6.1172762203490702E-3</c:v>
                </c:pt>
                <c:pt idx="12">
                  <c:v>1.4264973747985467E-4</c:v>
                </c:pt>
                <c:pt idx="13">
                  <c:v>2.7233131700699531E-4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3416960"/>
        <c:axId val="43423232"/>
      </c:scatterChart>
      <c:valAx>
        <c:axId val="43416960"/>
        <c:scaling>
          <c:orientation val="minMax"/>
          <c:max val="2"/>
        </c:scaling>
        <c:delete val="0"/>
        <c:axPos val="b"/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nl-NL" sz="1675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R</a:t>
                </a:r>
                <a:r>
                  <a:rPr lang="nl-NL" sz="1675" b="1" i="0" u="none" strike="noStrike" baseline="-25000">
                    <a:solidFill>
                      <a:srgbClr val="000000"/>
                    </a:solidFill>
                    <a:latin typeface="Arial"/>
                    <a:cs typeface="Arial"/>
                  </a:rPr>
                  <a:t>c</a:t>
                </a:r>
                <a:r>
                  <a:rPr lang="nl-NL" sz="1675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/(H</a:t>
                </a:r>
                <a:r>
                  <a:rPr lang="nl-NL" sz="1675" b="1" i="0" u="none" strike="noStrike" baseline="-25000">
                    <a:solidFill>
                      <a:srgbClr val="000000"/>
                    </a:solidFill>
                    <a:latin typeface="Arial"/>
                    <a:cs typeface="Arial"/>
                  </a:rPr>
                  <a:t>m0</a:t>
                </a:r>
                <a:r>
                  <a:rPr lang="nl-NL" sz="1675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nl-NL" sz="1675" b="1" i="0" u="none" strike="noStrike" baseline="0">
                    <a:solidFill>
                      <a:srgbClr val="000000"/>
                    </a:solidFill>
                    <a:latin typeface="Symbol"/>
                  </a:rPr>
                  <a:t>x</a:t>
                </a:r>
                <a:r>
                  <a:rPr lang="nl-NL" sz="1675" b="1" i="0" u="none" strike="noStrike" baseline="-25000">
                    <a:solidFill>
                      <a:srgbClr val="000000"/>
                    </a:solidFill>
                    <a:latin typeface="Arial"/>
                    <a:cs typeface="Arial"/>
                  </a:rPr>
                  <a:t>m-1,0</a:t>
                </a:r>
                <a:r>
                  <a:rPr lang="nl-NL" sz="1675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)</a:t>
                </a:r>
              </a:p>
            </c:rich>
          </c:tx>
          <c:layout>
            <c:manualLayout>
              <c:xMode val="edge"/>
              <c:yMode val="edge"/>
              <c:x val="0.46274063698768431"/>
              <c:y val="0.9130449998098066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in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nl-NL"/>
          </a:p>
        </c:txPr>
        <c:crossAx val="43423232"/>
        <c:crossesAt val="1.0000000000000023E-6"/>
        <c:crossBetween val="midCat"/>
      </c:valAx>
      <c:valAx>
        <c:axId val="43423232"/>
        <c:scaling>
          <c:logBase val="10"/>
          <c:orientation val="minMax"/>
          <c:max val="0.1"/>
          <c:min val="1.0000000000000023E-6"/>
        </c:scaling>
        <c:delete val="0"/>
        <c:axPos val="l"/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nl-NL" sz="1675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q/(gH</a:t>
                </a:r>
                <a:r>
                  <a:rPr lang="nl-NL" sz="1675" b="1" i="0" u="none" strike="noStrike" baseline="-25000">
                    <a:solidFill>
                      <a:srgbClr val="000000"/>
                    </a:solidFill>
                    <a:latin typeface="Arial"/>
                    <a:cs typeface="Arial"/>
                  </a:rPr>
                  <a:t>m0</a:t>
                </a:r>
                <a:r>
                  <a:rPr lang="nl-NL" sz="1675" b="1" i="0" u="none" strike="noStrike" baseline="30000">
                    <a:solidFill>
                      <a:srgbClr val="000000"/>
                    </a:solidFill>
                    <a:latin typeface="Arial"/>
                    <a:cs typeface="Arial"/>
                  </a:rPr>
                  <a:t>3</a:t>
                </a:r>
                <a:r>
                  <a:rPr lang="nl-NL" sz="1675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)</a:t>
                </a:r>
                <a:r>
                  <a:rPr lang="nl-NL" sz="1675" b="1" i="0" u="none" strike="noStrike" baseline="30000">
                    <a:solidFill>
                      <a:srgbClr val="000000"/>
                    </a:solidFill>
                    <a:latin typeface="Arial"/>
                    <a:cs typeface="Arial"/>
                  </a:rPr>
                  <a:t>0.5</a:t>
                </a:r>
                <a:r>
                  <a:rPr lang="nl-NL" sz="1675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(s</a:t>
                </a:r>
                <a:r>
                  <a:rPr lang="nl-NL" sz="1675" b="1" i="0" u="none" strike="noStrike" baseline="-25000">
                    <a:solidFill>
                      <a:srgbClr val="000000"/>
                    </a:solidFill>
                    <a:latin typeface="Arial"/>
                    <a:cs typeface="Arial"/>
                  </a:rPr>
                  <a:t>m-1,0</a:t>
                </a:r>
                <a:r>
                  <a:rPr lang="nl-NL" sz="1675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/tan</a:t>
                </a:r>
                <a:r>
                  <a:rPr lang="nl-NL" sz="1675" b="1" i="0" u="none" strike="noStrike" baseline="0">
                    <a:solidFill>
                      <a:srgbClr val="000000"/>
                    </a:solidFill>
                    <a:latin typeface="Symbol"/>
                  </a:rPr>
                  <a:t>a</a:t>
                </a:r>
                <a:r>
                  <a:rPr lang="nl-NL" sz="1675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)</a:t>
                </a:r>
                <a:r>
                  <a:rPr lang="nl-NL" sz="1675" b="1" i="0" u="none" strike="noStrike" baseline="30000">
                    <a:solidFill>
                      <a:srgbClr val="000000"/>
                    </a:solidFill>
                    <a:latin typeface="Arial"/>
                    <a:cs typeface="Arial"/>
                  </a:rPr>
                  <a:t>0.5</a:t>
                </a:r>
              </a:p>
            </c:rich>
          </c:tx>
          <c:layout>
            <c:manualLayout>
              <c:xMode val="edge"/>
              <c:yMode val="edge"/>
              <c:x val="6.009615384615391E-3"/>
              <c:y val="0.21014530792346625"/>
            </c:manualLayout>
          </c:layout>
          <c:overlay val="0"/>
          <c:spPr>
            <a:noFill/>
            <a:ln w="25400">
              <a:noFill/>
            </a:ln>
          </c:spPr>
        </c:title>
        <c:numFmt formatCode="0.E+00" sourceLinked="0"/>
        <c:majorTickMark val="in"/>
        <c:minorTickMark val="in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nl-NL"/>
          </a:p>
        </c:txPr>
        <c:crossAx val="43416960"/>
        <c:crosses val="autoZero"/>
        <c:crossBetween val="midCat"/>
      </c:valAx>
      <c:spPr>
        <a:noFill/>
        <a:ln w="3175">
          <a:solidFill>
            <a:srgbClr val="000000"/>
          </a:solidFill>
          <a:prstDash val="solid"/>
        </a:ln>
      </c:spPr>
    </c:plotArea>
    <c:legend>
      <c:legendPos val="r"/>
      <c:legendEntry>
        <c:idx val="0"/>
        <c:delete val="1"/>
      </c:legendEntry>
      <c:legendEntry>
        <c:idx val="5"/>
        <c:delete val="1"/>
      </c:legendEntry>
      <c:legendEntry>
        <c:idx val="6"/>
        <c:delete val="1"/>
      </c:legendEntry>
      <c:legendEntry>
        <c:idx val="7"/>
        <c:delete val="1"/>
      </c:legendEntry>
      <c:legendEntry>
        <c:idx val="8"/>
        <c:delete val="1"/>
      </c:legendEntry>
      <c:layout>
        <c:manualLayout>
          <c:xMode val="edge"/>
          <c:yMode val="edge"/>
          <c:x val="0.21193922875025253"/>
          <c:y val="0.55736810072653897"/>
          <c:w val="0.19791666666666671"/>
          <c:h val="0.21271349233519751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6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nl-NL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nl-NL"/>
    </a:p>
  </c:txPr>
  <c:printSettings>
    <c:headerFooter alignWithMargins="0"/>
    <c:pageMargins b="1" l="0.75000000000000133" r="0.75000000000000133" t="1" header="0.5" footer="0.5"/>
    <c:pageSetup/>
  </c:printSettings>
  <c:userShapes r:id="rId1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541679285281669"/>
          <c:y val="5.7971014492753624E-2"/>
          <c:w val="0.8485581903065551"/>
          <c:h val="0.80314161816729501"/>
        </c:manualLayout>
      </c:layout>
      <c:scatterChart>
        <c:scatterStyle val="lineMarker"/>
        <c:varyColors val="0"/>
        <c:ser>
          <c:idx val="7"/>
          <c:order val="0"/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Figures!$O$2:$O$3</c:f>
              <c:numCache>
                <c:formatCode>General</c:formatCode>
                <c:ptCount val="2"/>
                <c:pt idx="0">
                  <c:v>0.2</c:v>
                </c:pt>
                <c:pt idx="1">
                  <c:v>1.8</c:v>
                </c:pt>
              </c:numCache>
            </c:numRef>
          </c:xVal>
          <c:yVal>
            <c:numRef>
              <c:f>Figures!$P$2:$P$3</c:f>
              <c:numCache>
                <c:formatCode>General</c:formatCode>
                <c:ptCount val="2"/>
                <c:pt idx="0">
                  <c:v>2.5911648571451579E-2</c:v>
                </c:pt>
                <c:pt idx="1">
                  <c:v>1.2967521670392288E-5</c:v>
                </c:pt>
              </c:numCache>
            </c:numRef>
          </c:yVal>
          <c:smooth val="0"/>
        </c:ser>
        <c:ser>
          <c:idx val="0"/>
          <c:order val="1"/>
          <c:tx>
            <c:v>|B|=30; u=0 m/s</c:v>
          </c:tx>
          <c:spPr>
            <a:ln w="28575">
              <a:noFill/>
            </a:ln>
          </c:spPr>
          <c:marker>
            <c:symbol val="diamond"/>
            <c:size val="7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trendline>
            <c:trendlineType val="exp"/>
            <c:intercept val="6.7000000000000004E-2"/>
            <c:dispRSqr val="1"/>
            <c:dispEq val="1"/>
            <c:trendlineLbl>
              <c:layout>
                <c:manualLayout>
                  <c:x val="-5.2099989905108106E-2"/>
                  <c:y val="-0.43362661189090557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sz="1025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nl-NL"/>
                </a:p>
              </c:txPr>
            </c:trendlineLbl>
          </c:trendline>
          <c:xVal>
            <c:numRef>
              <c:f>'First analysis'!$U$49:$U$63</c:f>
              <c:numCache>
                <c:formatCode>General</c:formatCode>
                <c:ptCount val="15"/>
                <c:pt idx="0">
                  <c:v>0.53029783703142019</c:v>
                </c:pt>
                <c:pt idx="1">
                  <c:v>0.83638987710520452</c:v>
                </c:pt>
                <c:pt idx="2">
                  <c:v>0.40912510064232421</c:v>
                </c:pt>
                <c:pt idx="3">
                  <c:v>0.57892474423241813</c:v>
                </c:pt>
                <c:pt idx="4">
                  <c:v>0.35310686511698547</c:v>
                </c:pt>
                <c:pt idx="5">
                  <c:v>0.47683979441364577</c:v>
                </c:pt>
                <c:pt idx="6">
                  <c:v>0.53029783703142019</c:v>
                </c:pt>
                <c:pt idx="7">
                  <c:v>0.83638987710520452</c:v>
                </c:pt>
                <c:pt idx="8">
                  <c:v>0.40912510064232421</c:v>
                </c:pt>
                <c:pt idx="9">
                  <c:v>0.57892474423241813</c:v>
                </c:pt>
                <c:pt idx="10">
                  <c:v>0.35310686511698547</c:v>
                </c:pt>
                <c:pt idx="11">
                  <c:v>0.47683979441364577</c:v>
                </c:pt>
                <c:pt idx="12">
                  <c:v>1.1783387147923869</c:v>
                </c:pt>
                <c:pt idx="13">
                  <c:v>0.97249074068761154</c:v>
                </c:pt>
                <c:pt idx="14">
                  <c:v>0.97249074068761154</c:v>
                </c:pt>
              </c:numCache>
            </c:numRef>
          </c:xVal>
          <c:yVal>
            <c:numRef>
              <c:f>'First analysis'!$Y$49:$Y$63</c:f>
              <c:numCache>
                <c:formatCode>General</c:formatCode>
                <c:ptCount val="15"/>
                <c:pt idx="0">
                  <c:v>2.1286242529018093E-3</c:v>
                </c:pt>
                <c:pt idx="1">
                  <c:v>3.0137746212157595E-4</c:v>
                </c:pt>
                <c:pt idx="2">
                  <c:v>7.6481928741409097E-3</c:v>
                </c:pt>
                <c:pt idx="3">
                  <c:v>1.7076855428396027E-3</c:v>
                </c:pt>
                <c:pt idx="4">
                  <c:v>1.3850075857230229E-2</c:v>
                </c:pt>
                <c:pt idx="5">
                  <c:v>4.8086739147382897E-3</c:v>
                </c:pt>
                <c:pt idx="6">
                  <c:v>1.656801206587657E-3</c:v>
                </c:pt>
                <c:pt idx="7">
                  <c:v>4.3647770376228256E-4</c:v>
                </c:pt>
                <c:pt idx="8">
                  <c:v>4.2735617016298431E-3</c:v>
                </c:pt>
                <c:pt idx="9">
                  <c:v>2.1533315507297622E-3</c:v>
                </c:pt>
                <c:pt idx="10">
                  <c:v>1.0119541467997773E-2</c:v>
                </c:pt>
                <c:pt idx="11">
                  <c:v>4.6990496003183812E-3</c:v>
                </c:pt>
                <c:pt idx="12">
                  <c:v>7.5782599922458391E-5</c:v>
                </c:pt>
                <c:pt idx="13">
                  <c:v>3.9693945905115642E-4</c:v>
                </c:pt>
                <c:pt idx="14">
                  <c:v>4.4427278334178245E-4</c:v>
                </c:pt>
              </c:numCache>
            </c:numRef>
          </c:yVal>
          <c:smooth val="0"/>
        </c:ser>
        <c:ser>
          <c:idx val="1"/>
          <c:order val="2"/>
          <c:tx>
            <c:v>B=-30; u=0.15 m/s</c:v>
          </c:tx>
          <c:spPr>
            <a:ln>
              <a:noFill/>
            </a:ln>
          </c:spPr>
          <c:trendline>
            <c:trendlineType val="exp"/>
            <c:intercept val="6.7000000000000004E-2"/>
            <c:dispRSqr val="1"/>
            <c:dispEq val="1"/>
            <c:trendlineLbl>
              <c:layout>
                <c:manualLayout>
                  <c:x val="9.1723576620230202E-2"/>
                  <c:y val="-0.3696485221955953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sz="1025" b="0" i="0" u="none" strike="noStrike" baseline="0">
                      <a:solidFill>
                        <a:srgbClr val="C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nl-NL"/>
                </a:p>
              </c:txPr>
            </c:trendlineLbl>
          </c:trendline>
          <c:xVal>
            <c:numRef>
              <c:f>'First analysis'!$U$193:$U$208</c:f>
              <c:numCache>
                <c:formatCode>General</c:formatCode>
                <c:ptCount val="16"/>
                <c:pt idx="0">
                  <c:v>0.53465435486485402</c:v>
                </c:pt>
                <c:pt idx="1">
                  <c:v>0.8240933585439657</c:v>
                </c:pt>
                <c:pt idx="2">
                  <c:v>0.4395407088651257</c:v>
                </c:pt>
                <c:pt idx="3">
                  <c:v>0.5997172495348766</c:v>
                </c:pt>
                <c:pt idx="4">
                  <c:v>0.3365522435163098</c:v>
                </c:pt>
                <c:pt idx="5">
                  <c:v>0.47964925630110394</c:v>
                </c:pt>
                <c:pt idx="6">
                  <c:v>0.53465435486485402</c:v>
                </c:pt>
                <c:pt idx="7">
                  <c:v>0.8240933585439657</c:v>
                </c:pt>
                <c:pt idx="8">
                  <c:v>0.4395407088651257</c:v>
                </c:pt>
                <c:pt idx="9">
                  <c:v>0.5997172495348766</c:v>
                </c:pt>
                <c:pt idx="10">
                  <c:v>0.3365522435163098</c:v>
                </c:pt>
                <c:pt idx="11">
                  <c:v>0.47964925630110394</c:v>
                </c:pt>
                <c:pt idx="12">
                  <c:v>1.1554256807429117</c:v>
                </c:pt>
                <c:pt idx="13">
                  <c:v>0.95993604072416217</c:v>
                </c:pt>
                <c:pt idx="14">
                  <c:v>1.1554256807429117</c:v>
                </c:pt>
                <c:pt idx="15">
                  <c:v>0.95993604072416217</c:v>
                </c:pt>
              </c:numCache>
            </c:numRef>
          </c:xVal>
          <c:yVal>
            <c:numRef>
              <c:f>'First analysis'!$Y$193:$Y$208</c:f>
              <c:numCache>
                <c:formatCode>General</c:formatCode>
                <c:ptCount val="16"/>
                <c:pt idx="0">
                  <c:v>3.1641615085285378E-3</c:v>
                </c:pt>
                <c:pt idx="1">
                  <c:v>6.5966529950625956E-4</c:v>
                </c:pt>
                <c:pt idx="2">
                  <c:v>1.0302637666852937E-2</c:v>
                </c:pt>
                <c:pt idx="3">
                  <c:v>2.7931991837766342E-3</c:v>
                </c:pt>
                <c:pt idx="4">
                  <c:v>1.5403640917247866E-2</c:v>
                </c:pt>
                <c:pt idx="5">
                  <c:v>6.9188837506257792E-3</c:v>
                </c:pt>
                <c:pt idx="6">
                  <c:v>5.9847882197198625E-3</c:v>
                </c:pt>
                <c:pt idx="7">
                  <c:v>1.4062512031827556E-3</c:v>
                </c:pt>
                <c:pt idx="8">
                  <c:v>1.2505414112276387E-2</c:v>
                </c:pt>
                <c:pt idx="9">
                  <c:v>3.8378528229638404E-3</c:v>
                </c:pt>
                <c:pt idx="10">
                  <c:v>1.5176778278914008E-2</c:v>
                </c:pt>
                <c:pt idx="11">
                  <c:v>8.5714541158477802E-3</c:v>
                </c:pt>
                <c:pt idx="12">
                  <c:v>1.6724304930939519E-4</c:v>
                </c:pt>
                <c:pt idx="13">
                  <c:v>8.4129785413960157E-4</c:v>
                </c:pt>
                <c:pt idx="14">
                  <c:v>8.7207353327712066E-5</c:v>
                </c:pt>
                <c:pt idx="15">
                  <c:v>3.7495886002958281E-4</c:v>
                </c:pt>
              </c:numCache>
            </c:numRef>
          </c:yVal>
          <c:smooth val="0"/>
        </c:ser>
        <c:ser>
          <c:idx val="2"/>
          <c:order val="3"/>
          <c:tx>
            <c:v>B=-30; u=0.30 m/s</c:v>
          </c:tx>
          <c:spPr>
            <a:ln>
              <a:noFill/>
            </a:ln>
          </c:spPr>
          <c:marker>
            <c:symbol val="triangle"/>
            <c:size val="7"/>
          </c:marker>
          <c:trendline>
            <c:trendlineType val="exp"/>
            <c:intercept val="6.7000000000000004E-2"/>
            <c:dispRSqr val="1"/>
            <c:dispEq val="1"/>
            <c:trendlineLbl>
              <c:layout>
                <c:manualLayout>
                  <c:x val="0.11604166666666667"/>
                  <c:y val="-0.42223021035414077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sz="1025" b="0" i="0" u="none" strike="noStrike" baseline="0">
                      <a:solidFill>
                        <a:srgbClr val="99CC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nl-NL"/>
                </a:p>
              </c:txPr>
            </c:trendlineLbl>
          </c:trendline>
          <c:xVal>
            <c:numRef>
              <c:f>'First analysis'!$U$209:$U$225</c:f>
              <c:numCache>
                <c:formatCode>General</c:formatCode>
                <c:ptCount val="17"/>
                <c:pt idx="0">
                  <c:v>0.52409946084793868</c:v>
                </c:pt>
                <c:pt idx="1">
                  <c:v>0.82693814668049381</c:v>
                </c:pt>
                <c:pt idx="2">
                  <c:v>0.42885041379330652</c:v>
                </c:pt>
                <c:pt idx="3">
                  <c:v>0.6069480124925748</c:v>
                </c:pt>
                <c:pt idx="4">
                  <c:v>0.33000771510323407</c:v>
                </c:pt>
                <c:pt idx="5">
                  <c:v>0.44596929122335732</c:v>
                </c:pt>
                <c:pt idx="6">
                  <c:v>0.52409946084793868</c:v>
                </c:pt>
                <c:pt idx="7">
                  <c:v>0.82693814668049381</c:v>
                </c:pt>
                <c:pt idx="8">
                  <c:v>0.42885041379330652</c:v>
                </c:pt>
                <c:pt idx="9">
                  <c:v>0.6069480124925748</c:v>
                </c:pt>
                <c:pt idx="10">
                  <c:v>0.33000771510323407</c:v>
                </c:pt>
                <c:pt idx="11">
                  <c:v>0.44596929122335732</c:v>
                </c:pt>
                <c:pt idx="12">
                  <c:v>1.1617178751823738</c:v>
                </c:pt>
                <c:pt idx="13">
                  <c:v>0.9260366156636054</c:v>
                </c:pt>
                <c:pt idx="14">
                  <c:v>1.4110936896104971</c:v>
                </c:pt>
                <c:pt idx="15">
                  <c:v>1.1617178751823738</c:v>
                </c:pt>
                <c:pt idx="16">
                  <c:v>0.9260366156636054</c:v>
                </c:pt>
              </c:numCache>
            </c:numRef>
          </c:xVal>
          <c:yVal>
            <c:numRef>
              <c:f>'First analysis'!$Y$209:$Y$225</c:f>
              <c:numCache>
                <c:formatCode>General</c:formatCode>
                <c:ptCount val="17"/>
                <c:pt idx="0">
                  <c:v>3.5330890361917437E-3</c:v>
                </c:pt>
                <c:pt idx="1">
                  <c:v>1.0721413587927175E-3</c:v>
                </c:pt>
                <c:pt idx="2">
                  <c:v>1.1063954931930171E-2</c:v>
                </c:pt>
                <c:pt idx="3">
                  <c:v>3.7832530124555968E-3</c:v>
                </c:pt>
                <c:pt idx="4">
                  <c:v>1.4533173316963266E-2</c:v>
                </c:pt>
                <c:pt idx="5">
                  <c:v>7.2620314141860765E-3</c:v>
                </c:pt>
                <c:pt idx="6">
                  <c:v>5.3553416300472197E-3</c:v>
                </c:pt>
                <c:pt idx="7">
                  <c:v>1.9379814648731336E-3</c:v>
                </c:pt>
                <c:pt idx="8">
                  <c:v>1.1451700330004325E-2</c:v>
                </c:pt>
                <c:pt idx="9">
                  <c:v>4.4140389160914088E-3</c:v>
                </c:pt>
                <c:pt idx="10">
                  <c:v>1.7169843607889347E-2</c:v>
                </c:pt>
                <c:pt idx="11">
                  <c:v>8.6464958099705721E-3</c:v>
                </c:pt>
                <c:pt idx="12">
                  <c:v>3.3552910093700636E-4</c:v>
                </c:pt>
                <c:pt idx="13">
                  <c:v>1.1428504562559412E-3</c:v>
                </c:pt>
                <c:pt idx="14">
                  <c:v>1.2597205834043079E-4</c:v>
                </c:pt>
                <c:pt idx="15">
                  <c:v>1.2092967596433159E-4</c:v>
                </c:pt>
                <c:pt idx="16">
                  <c:v>4.3717772911799321E-4</c:v>
                </c:pt>
              </c:numCache>
            </c:numRef>
          </c:yVal>
          <c:smooth val="0"/>
        </c:ser>
        <c:ser>
          <c:idx val="3"/>
          <c:order val="4"/>
          <c:tx>
            <c:v>B=-30; u=0.40 m/s</c:v>
          </c:tx>
          <c:spPr>
            <a:ln>
              <a:noFill/>
            </a:ln>
          </c:spPr>
          <c:marker>
            <c:symbol val="square"/>
            <c:size val="7"/>
          </c:marker>
          <c:trendline>
            <c:trendlineType val="exp"/>
            <c:intercept val="6.7000000000000004E-2"/>
            <c:dispRSqr val="1"/>
            <c:dispEq val="1"/>
            <c:trendlineLbl>
              <c:layout>
                <c:manualLayout>
                  <c:x val="0.2361428679588127"/>
                  <c:y val="-0.40694910418806346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sz="1025" b="0" i="0" u="none" strike="noStrike" baseline="0">
                      <a:solidFill>
                        <a:srgbClr val="666699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nl-NL"/>
                </a:p>
              </c:txPr>
            </c:trendlineLbl>
          </c:trendline>
          <c:xVal>
            <c:numRef>
              <c:f>'First analysis'!$U$226:$U$242</c:f>
              <c:numCache>
                <c:formatCode>General</c:formatCode>
                <c:ptCount val="17"/>
                <c:pt idx="0">
                  <c:v>0.56731345084204876</c:v>
                </c:pt>
                <c:pt idx="1">
                  <c:v>0.8324875526932658</c:v>
                </c:pt>
                <c:pt idx="2">
                  <c:v>0.41948669766972735</c:v>
                </c:pt>
                <c:pt idx="3">
                  <c:v>0.57061109524978992</c:v>
                </c:pt>
                <c:pt idx="4">
                  <c:v>0.32104207427839609</c:v>
                </c:pt>
                <c:pt idx="5">
                  <c:v>0.47520902857729391</c:v>
                </c:pt>
                <c:pt idx="6">
                  <c:v>0.56731345084204876</c:v>
                </c:pt>
                <c:pt idx="7">
                  <c:v>0.8324875526932658</c:v>
                </c:pt>
                <c:pt idx="8">
                  <c:v>0.41948669766972735</c:v>
                </c:pt>
                <c:pt idx="9">
                  <c:v>0.57061109524978992</c:v>
                </c:pt>
                <c:pt idx="10">
                  <c:v>0.32104207427839609</c:v>
                </c:pt>
                <c:pt idx="11">
                  <c:v>0.47520902857729391</c:v>
                </c:pt>
                <c:pt idx="12">
                  <c:v>1.2324311715530278</c:v>
                </c:pt>
                <c:pt idx="13">
                  <c:v>0.91623461219384683</c:v>
                </c:pt>
                <c:pt idx="14">
                  <c:v>1.4281458634656008</c:v>
                </c:pt>
                <c:pt idx="15">
                  <c:v>1.2324311715530278</c:v>
                </c:pt>
                <c:pt idx="16">
                  <c:v>0.91623461219384683</c:v>
                </c:pt>
              </c:numCache>
            </c:numRef>
          </c:xVal>
          <c:yVal>
            <c:numRef>
              <c:f>'First analysis'!$Y$226:$Y$242</c:f>
              <c:numCache>
                <c:formatCode>General</c:formatCode>
                <c:ptCount val="17"/>
                <c:pt idx="0">
                  <c:v>4.3047301475750682E-3</c:v>
                </c:pt>
                <c:pt idx="1">
                  <c:v>1.0042148431876736E-3</c:v>
                </c:pt>
                <c:pt idx="2">
                  <c:v>9.0888148695894618E-3</c:v>
                </c:pt>
                <c:pt idx="3">
                  <c:v>2.9646283155440449E-3</c:v>
                </c:pt>
                <c:pt idx="4">
                  <c:v>1.1214393355499962E-2</c:v>
                </c:pt>
                <c:pt idx="5">
                  <c:v>8.0083812549367889E-3</c:v>
                </c:pt>
                <c:pt idx="6">
                  <c:v>4.2814668032625149E-3</c:v>
                </c:pt>
                <c:pt idx="7">
                  <c:v>1.4429648614258214E-3</c:v>
                </c:pt>
                <c:pt idx="8">
                  <c:v>1.0398683707058546E-2</c:v>
                </c:pt>
                <c:pt idx="9">
                  <c:v>4.187497703563363E-3</c:v>
                </c:pt>
                <c:pt idx="10">
                  <c:v>1.5944676038243105E-2</c:v>
                </c:pt>
                <c:pt idx="11">
                  <c:v>8.4144945876864097E-3</c:v>
                </c:pt>
                <c:pt idx="12">
                  <c:v>4.4612600304995182E-4</c:v>
                </c:pt>
                <c:pt idx="13">
                  <c:v>2.0013053240738889E-3</c:v>
                </c:pt>
                <c:pt idx="14">
                  <c:v>1.9941778819914912E-4</c:v>
                </c:pt>
                <c:pt idx="15">
                  <c:v>1.1880529429047629E-4</c:v>
                </c:pt>
                <c:pt idx="16">
                  <c:v>4.9812784601741466E-4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3466112"/>
        <c:axId val="43480576"/>
      </c:scatterChart>
      <c:valAx>
        <c:axId val="43466112"/>
        <c:scaling>
          <c:orientation val="minMax"/>
          <c:max val="2"/>
        </c:scaling>
        <c:delete val="0"/>
        <c:axPos val="b"/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nl-NL" sz="1675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R</a:t>
                </a:r>
                <a:r>
                  <a:rPr lang="nl-NL" sz="1675" b="1" i="0" u="none" strike="noStrike" baseline="-25000">
                    <a:solidFill>
                      <a:srgbClr val="000000"/>
                    </a:solidFill>
                    <a:latin typeface="Arial"/>
                    <a:cs typeface="Arial"/>
                  </a:rPr>
                  <a:t>c</a:t>
                </a:r>
                <a:r>
                  <a:rPr lang="nl-NL" sz="1675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/(H</a:t>
                </a:r>
                <a:r>
                  <a:rPr lang="nl-NL" sz="1675" b="1" i="0" u="none" strike="noStrike" baseline="-25000">
                    <a:solidFill>
                      <a:srgbClr val="000000"/>
                    </a:solidFill>
                    <a:latin typeface="Arial"/>
                    <a:cs typeface="Arial"/>
                  </a:rPr>
                  <a:t>m0</a:t>
                </a:r>
                <a:r>
                  <a:rPr lang="nl-NL" sz="1675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nl-NL" sz="1675" b="1" i="0" u="none" strike="noStrike" baseline="0">
                    <a:solidFill>
                      <a:srgbClr val="000000"/>
                    </a:solidFill>
                    <a:latin typeface="Symbol"/>
                  </a:rPr>
                  <a:t>x</a:t>
                </a:r>
                <a:r>
                  <a:rPr lang="nl-NL" sz="1675" b="1" i="0" u="none" strike="noStrike" baseline="-25000">
                    <a:solidFill>
                      <a:srgbClr val="000000"/>
                    </a:solidFill>
                    <a:latin typeface="Arial"/>
                    <a:cs typeface="Arial"/>
                  </a:rPr>
                  <a:t>m-1,0</a:t>
                </a:r>
                <a:r>
                  <a:rPr lang="nl-NL" sz="1675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)</a:t>
                </a:r>
              </a:p>
            </c:rich>
          </c:tx>
          <c:layout>
            <c:manualLayout>
              <c:xMode val="edge"/>
              <c:yMode val="edge"/>
              <c:x val="0.46274063698768431"/>
              <c:y val="0.9130449998098066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in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nl-NL"/>
          </a:p>
        </c:txPr>
        <c:crossAx val="43480576"/>
        <c:crossesAt val="1.0000000000000023E-6"/>
        <c:crossBetween val="midCat"/>
      </c:valAx>
      <c:valAx>
        <c:axId val="43480576"/>
        <c:scaling>
          <c:logBase val="10"/>
          <c:orientation val="minMax"/>
          <c:max val="0.1"/>
          <c:min val="1.0000000000000027E-6"/>
        </c:scaling>
        <c:delete val="0"/>
        <c:axPos val="l"/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nl-NL" sz="1675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q/(gH</a:t>
                </a:r>
                <a:r>
                  <a:rPr lang="nl-NL" sz="1675" b="1" i="0" u="none" strike="noStrike" baseline="-25000">
                    <a:solidFill>
                      <a:srgbClr val="000000"/>
                    </a:solidFill>
                    <a:latin typeface="Arial"/>
                    <a:cs typeface="Arial"/>
                  </a:rPr>
                  <a:t>m0</a:t>
                </a:r>
                <a:r>
                  <a:rPr lang="nl-NL" sz="1675" b="1" i="0" u="none" strike="noStrike" baseline="30000">
                    <a:solidFill>
                      <a:srgbClr val="000000"/>
                    </a:solidFill>
                    <a:latin typeface="Arial"/>
                    <a:cs typeface="Arial"/>
                  </a:rPr>
                  <a:t>3</a:t>
                </a:r>
                <a:r>
                  <a:rPr lang="nl-NL" sz="1675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)</a:t>
                </a:r>
                <a:r>
                  <a:rPr lang="nl-NL" sz="1675" b="1" i="0" u="none" strike="noStrike" baseline="30000">
                    <a:solidFill>
                      <a:srgbClr val="000000"/>
                    </a:solidFill>
                    <a:latin typeface="Arial"/>
                    <a:cs typeface="Arial"/>
                  </a:rPr>
                  <a:t>0.5</a:t>
                </a:r>
                <a:r>
                  <a:rPr lang="nl-NL" sz="1675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(s</a:t>
                </a:r>
                <a:r>
                  <a:rPr lang="nl-NL" sz="1675" b="1" i="0" u="none" strike="noStrike" baseline="-25000">
                    <a:solidFill>
                      <a:srgbClr val="000000"/>
                    </a:solidFill>
                    <a:latin typeface="Arial"/>
                    <a:cs typeface="Arial"/>
                  </a:rPr>
                  <a:t>m-1,0</a:t>
                </a:r>
                <a:r>
                  <a:rPr lang="nl-NL" sz="1675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/tan</a:t>
                </a:r>
                <a:r>
                  <a:rPr lang="nl-NL" sz="1675" b="1" i="0" u="none" strike="noStrike" baseline="0">
                    <a:solidFill>
                      <a:srgbClr val="000000"/>
                    </a:solidFill>
                    <a:latin typeface="Symbol"/>
                  </a:rPr>
                  <a:t>a</a:t>
                </a:r>
                <a:r>
                  <a:rPr lang="nl-NL" sz="1675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)</a:t>
                </a:r>
                <a:r>
                  <a:rPr lang="nl-NL" sz="1675" b="1" i="0" u="none" strike="noStrike" baseline="30000">
                    <a:solidFill>
                      <a:srgbClr val="000000"/>
                    </a:solidFill>
                    <a:latin typeface="Arial"/>
                    <a:cs typeface="Arial"/>
                  </a:rPr>
                  <a:t>0.5</a:t>
                </a:r>
              </a:p>
            </c:rich>
          </c:tx>
          <c:layout>
            <c:manualLayout>
              <c:xMode val="edge"/>
              <c:yMode val="edge"/>
              <c:x val="6.009615384615391E-3"/>
              <c:y val="0.21014530792346625"/>
            </c:manualLayout>
          </c:layout>
          <c:overlay val="0"/>
          <c:spPr>
            <a:noFill/>
            <a:ln w="25400">
              <a:noFill/>
            </a:ln>
          </c:spPr>
        </c:title>
        <c:numFmt formatCode="0.E+00" sourceLinked="0"/>
        <c:majorTickMark val="in"/>
        <c:minorTickMark val="in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nl-NL"/>
          </a:p>
        </c:txPr>
        <c:crossAx val="43466112"/>
        <c:crosses val="autoZero"/>
        <c:crossBetween val="midCat"/>
      </c:valAx>
      <c:spPr>
        <a:noFill/>
        <a:ln w="3175">
          <a:solidFill>
            <a:srgbClr val="000000"/>
          </a:solidFill>
          <a:prstDash val="solid"/>
        </a:ln>
      </c:spPr>
    </c:plotArea>
    <c:legend>
      <c:legendPos val="r"/>
      <c:legendEntry>
        <c:idx val="0"/>
        <c:delete val="1"/>
      </c:legendEntry>
      <c:legendEntry>
        <c:idx val="5"/>
        <c:delete val="1"/>
      </c:legendEntry>
      <c:legendEntry>
        <c:idx val="6"/>
        <c:delete val="1"/>
      </c:legendEntry>
      <c:legendEntry>
        <c:idx val="7"/>
        <c:delete val="1"/>
      </c:legendEntry>
      <c:legendEntry>
        <c:idx val="8"/>
        <c:delete val="1"/>
      </c:legendEntry>
      <c:layout>
        <c:manualLayout>
          <c:xMode val="edge"/>
          <c:yMode val="edge"/>
          <c:x val="0.21193922875025253"/>
          <c:y val="0.51872075773137061"/>
          <c:w val="0.19791666666666671"/>
          <c:h val="0.2344526227699798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6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nl-NL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nl-NL"/>
    </a:p>
  </c:txPr>
  <c:printSettings>
    <c:headerFooter alignWithMargins="0"/>
    <c:pageMargins b="1" l="0.75000000000000155" r="0.75000000000000155" t="1" header="0.5" footer="0.5"/>
    <c:pageSetup/>
  </c:printSettings>
  <c:userShapes r:id="rId1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541679285281669"/>
          <c:y val="5.7971014492753624E-2"/>
          <c:w val="0.8485581903065551"/>
          <c:h val="0.80797253604169061"/>
        </c:manualLayout>
      </c:layout>
      <c:scatterChart>
        <c:scatterStyle val="lineMarker"/>
        <c:varyColors val="0"/>
        <c:ser>
          <c:idx val="7"/>
          <c:order val="0"/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Figures!$O$2:$O$3</c:f>
              <c:numCache>
                <c:formatCode>General</c:formatCode>
                <c:ptCount val="2"/>
                <c:pt idx="0">
                  <c:v>0.2</c:v>
                </c:pt>
                <c:pt idx="1">
                  <c:v>1.8</c:v>
                </c:pt>
              </c:numCache>
            </c:numRef>
          </c:xVal>
          <c:yVal>
            <c:numRef>
              <c:f>Figures!$P$2:$P$3</c:f>
              <c:numCache>
                <c:formatCode>General</c:formatCode>
                <c:ptCount val="2"/>
                <c:pt idx="0">
                  <c:v>2.5911648571451579E-2</c:v>
                </c:pt>
                <c:pt idx="1">
                  <c:v>1.2967521670392288E-5</c:v>
                </c:pt>
              </c:numCache>
            </c:numRef>
          </c:yVal>
          <c:smooth val="0"/>
        </c:ser>
        <c:ser>
          <c:idx val="0"/>
          <c:order val="1"/>
          <c:tx>
            <c:v>|B|=15; u=0 m/s</c:v>
          </c:tx>
          <c:spPr>
            <a:ln w="28575">
              <a:noFill/>
            </a:ln>
          </c:spPr>
          <c:marker>
            <c:symbol val="diamond"/>
            <c:size val="7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trendline>
            <c:trendlineType val="exp"/>
            <c:intercept val="6.7000000000000004E-2"/>
            <c:dispRSqr val="1"/>
            <c:dispEq val="1"/>
            <c:trendlineLbl>
              <c:layout>
                <c:manualLayout>
                  <c:x val="3.47351352715526E-2"/>
                  <c:y val="-0.36276522499904934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sz="1025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nl-NL"/>
                </a:p>
              </c:txPr>
            </c:trendlineLbl>
          </c:trendline>
          <c:xVal>
            <c:numRef>
              <c:f>'First analysis'!$U$33:$U$48</c:f>
              <c:numCache>
                <c:formatCode>General</c:formatCode>
                <c:ptCount val="16"/>
                <c:pt idx="0">
                  <c:v>0.5859190432928153</c:v>
                </c:pt>
                <c:pt idx="1">
                  <c:v>0.74871191699777262</c:v>
                </c:pt>
                <c:pt idx="2">
                  <c:v>0.41191359514086512</c:v>
                </c:pt>
                <c:pt idx="3">
                  <c:v>0.59371702286741646</c:v>
                </c:pt>
                <c:pt idx="4">
                  <c:v>0.33184021869679226</c:v>
                </c:pt>
                <c:pt idx="5">
                  <c:v>0.48592327336272151</c:v>
                </c:pt>
                <c:pt idx="6">
                  <c:v>0.5859190432928153</c:v>
                </c:pt>
                <c:pt idx="7">
                  <c:v>0.74871191699777262</c:v>
                </c:pt>
                <c:pt idx="8">
                  <c:v>0.41191359514086512</c:v>
                </c:pt>
                <c:pt idx="9">
                  <c:v>0.59371702286741646</c:v>
                </c:pt>
                <c:pt idx="10">
                  <c:v>0.33184021869679226</c:v>
                </c:pt>
                <c:pt idx="11">
                  <c:v>0.48592327336272151</c:v>
                </c:pt>
                <c:pt idx="12">
                  <c:v>1.1896679230364615</c:v>
                </c:pt>
                <c:pt idx="13">
                  <c:v>0.98991763850007675</c:v>
                </c:pt>
                <c:pt idx="14">
                  <c:v>1.1896679230364615</c:v>
                </c:pt>
                <c:pt idx="15">
                  <c:v>0.98991763850007675</c:v>
                </c:pt>
              </c:numCache>
            </c:numRef>
          </c:xVal>
          <c:yVal>
            <c:numRef>
              <c:f>'First analysis'!$Y$33:$Y$48</c:f>
              <c:numCache>
                <c:formatCode>General</c:formatCode>
                <c:ptCount val="16"/>
                <c:pt idx="0">
                  <c:v>3.5640820154007324E-3</c:v>
                </c:pt>
                <c:pt idx="1">
                  <c:v>7.1538293245909461E-4</c:v>
                </c:pt>
                <c:pt idx="2">
                  <c:v>5.6711271160451255E-3</c:v>
                </c:pt>
                <c:pt idx="4">
                  <c:v>9.5581332642303094E-3</c:v>
                </c:pt>
                <c:pt idx="5">
                  <c:v>7.1984994892878088E-3</c:v>
                </c:pt>
                <c:pt idx="6">
                  <c:v>4.6677768547392978E-3</c:v>
                </c:pt>
                <c:pt idx="7">
                  <c:v>4.9325183429402861E-4</c:v>
                </c:pt>
                <c:pt idx="8">
                  <c:v>1.0229554350674465E-2</c:v>
                </c:pt>
                <c:pt idx="10">
                  <c:v>1.6317115408622185E-2</c:v>
                </c:pt>
                <c:pt idx="11">
                  <c:v>7.3238638686733901E-3</c:v>
                </c:pt>
                <c:pt idx="12">
                  <c:v>1.432411837615425E-4</c:v>
                </c:pt>
                <c:pt idx="13">
                  <c:v>8.7299988058129317E-4</c:v>
                </c:pt>
                <c:pt idx="14">
                  <c:v>1.520607046300876E-4</c:v>
                </c:pt>
                <c:pt idx="15">
                  <c:v>9.3048510919547806E-4</c:v>
                </c:pt>
              </c:numCache>
            </c:numRef>
          </c:yVal>
          <c:smooth val="0"/>
        </c:ser>
        <c:ser>
          <c:idx val="1"/>
          <c:order val="2"/>
          <c:tx>
            <c:v>B=-15; u=0.30 m/s</c:v>
          </c:tx>
          <c:spPr>
            <a:ln>
              <a:noFill/>
            </a:ln>
          </c:spPr>
          <c:trendline>
            <c:trendlineType val="exp"/>
            <c:intercept val="6.7000000000000004E-2"/>
            <c:dispRSqr val="1"/>
            <c:dispEq val="1"/>
            <c:trendlineLbl>
              <c:layout>
                <c:manualLayout>
                  <c:x val="0.13574134363012344"/>
                  <c:y val="-0.42453630796150482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sz="1025" b="0" i="0" u="none" strike="noStrike" baseline="0">
                      <a:solidFill>
                        <a:srgbClr val="C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nl-NL"/>
                </a:p>
              </c:txPr>
            </c:trendlineLbl>
          </c:trendline>
          <c:xVal>
            <c:numRef>
              <c:f>'First analysis'!$U$185:$U$192</c:f>
              <c:numCache>
                <c:formatCode>General</c:formatCode>
                <c:ptCount val="8"/>
                <c:pt idx="0">
                  <c:v>0.95355450115457852</c:v>
                </c:pt>
                <c:pt idx="1">
                  <c:v>0.62343370925227282</c:v>
                </c:pt>
                <c:pt idx="2">
                  <c:v>0.89429893326258192</c:v>
                </c:pt>
                <c:pt idx="3">
                  <c:v>0.95355450115457852</c:v>
                </c:pt>
                <c:pt idx="4">
                  <c:v>0.62343370925227282</c:v>
                </c:pt>
                <c:pt idx="5">
                  <c:v>0.89429893326258192</c:v>
                </c:pt>
                <c:pt idx="6">
                  <c:v>1.3335553392155401</c:v>
                </c:pt>
                <c:pt idx="7">
                  <c:v>1.3335553392155401</c:v>
                </c:pt>
              </c:numCache>
            </c:numRef>
          </c:xVal>
          <c:yVal>
            <c:numRef>
              <c:f>'First analysis'!$Y$185:$Y$192</c:f>
              <c:numCache>
                <c:formatCode>General</c:formatCode>
                <c:ptCount val="8"/>
                <c:pt idx="0">
                  <c:v>4.3054133643861888E-4</c:v>
                </c:pt>
                <c:pt idx="1">
                  <c:v>4.3167704363753865E-3</c:v>
                </c:pt>
                <c:pt idx="2">
                  <c:v>8.1198923793657273E-4</c:v>
                </c:pt>
                <c:pt idx="3">
                  <c:v>3.0366499570051259E-4</c:v>
                </c:pt>
                <c:pt idx="4">
                  <c:v>2.067286195774207E-3</c:v>
                </c:pt>
                <c:pt idx="5">
                  <c:v>5.7365590735504403E-4</c:v>
                </c:pt>
                <c:pt idx="6">
                  <c:v>7.6379366568714139E-5</c:v>
                </c:pt>
                <c:pt idx="7">
                  <c:v>7.8708005793370035E-5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3581824"/>
        <c:axId val="43583744"/>
      </c:scatterChart>
      <c:valAx>
        <c:axId val="43581824"/>
        <c:scaling>
          <c:orientation val="minMax"/>
          <c:max val="2"/>
        </c:scaling>
        <c:delete val="0"/>
        <c:axPos val="b"/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nl-NL" sz="1675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R</a:t>
                </a:r>
                <a:r>
                  <a:rPr lang="nl-NL" sz="1675" b="1" i="0" u="none" strike="noStrike" baseline="-25000">
                    <a:solidFill>
                      <a:srgbClr val="000000"/>
                    </a:solidFill>
                    <a:latin typeface="Arial"/>
                    <a:cs typeface="Arial"/>
                  </a:rPr>
                  <a:t>c</a:t>
                </a:r>
                <a:r>
                  <a:rPr lang="nl-NL" sz="1675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/(H</a:t>
                </a:r>
                <a:r>
                  <a:rPr lang="nl-NL" sz="1675" b="1" i="0" u="none" strike="noStrike" baseline="-25000">
                    <a:solidFill>
                      <a:srgbClr val="000000"/>
                    </a:solidFill>
                    <a:latin typeface="Arial"/>
                    <a:cs typeface="Arial"/>
                  </a:rPr>
                  <a:t>m0</a:t>
                </a:r>
                <a:r>
                  <a:rPr lang="nl-NL" sz="1675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nl-NL" sz="1675" b="1" i="0" u="none" strike="noStrike" baseline="0">
                    <a:solidFill>
                      <a:srgbClr val="000000"/>
                    </a:solidFill>
                    <a:latin typeface="Symbol"/>
                  </a:rPr>
                  <a:t>x</a:t>
                </a:r>
                <a:r>
                  <a:rPr lang="nl-NL" sz="1675" b="1" i="0" u="none" strike="noStrike" baseline="-25000">
                    <a:solidFill>
                      <a:srgbClr val="000000"/>
                    </a:solidFill>
                    <a:latin typeface="Arial"/>
                    <a:cs typeface="Arial"/>
                  </a:rPr>
                  <a:t>m-1,0</a:t>
                </a:r>
                <a:r>
                  <a:rPr lang="nl-NL" sz="1675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)</a:t>
                </a:r>
              </a:p>
            </c:rich>
          </c:tx>
          <c:layout>
            <c:manualLayout>
              <c:xMode val="edge"/>
              <c:yMode val="edge"/>
              <c:x val="0.46274063698768431"/>
              <c:y val="0.9130449998098066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in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nl-NL"/>
          </a:p>
        </c:txPr>
        <c:crossAx val="43583744"/>
        <c:crossesAt val="1.0000000000000023E-6"/>
        <c:crossBetween val="midCat"/>
      </c:valAx>
      <c:valAx>
        <c:axId val="43583744"/>
        <c:scaling>
          <c:logBase val="10"/>
          <c:orientation val="minMax"/>
          <c:max val="0.1"/>
          <c:min val="1.0000000000000027E-6"/>
        </c:scaling>
        <c:delete val="0"/>
        <c:axPos val="l"/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nl-NL" sz="1675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q/(gH</a:t>
                </a:r>
                <a:r>
                  <a:rPr lang="nl-NL" sz="1675" b="1" i="0" u="none" strike="noStrike" baseline="-25000">
                    <a:solidFill>
                      <a:srgbClr val="000000"/>
                    </a:solidFill>
                    <a:latin typeface="Arial"/>
                    <a:cs typeface="Arial"/>
                  </a:rPr>
                  <a:t>m0</a:t>
                </a:r>
                <a:r>
                  <a:rPr lang="nl-NL" sz="1675" b="1" i="0" u="none" strike="noStrike" baseline="30000">
                    <a:solidFill>
                      <a:srgbClr val="000000"/>
                    </a:solidFill>
                    <a:latin typeface="Arial"/>
                    <a:cs typeface="Arial"/>
                  </a:rPr>
                  <a:t>3</a:t>
                </a:r>
                <a:r>
                  <a:rPr lang="nl-NL" sz="1675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)</a:t>
                </a:r>
                <a:r>
                  <a:rPr lang="nl-NL" sz="1675" b="1" i="0" u="none" strike="noStrike" baseline="30000">
                    <a:solidFill>
                      <a:srgbClr val="000000"/>
                    </a:solidFill>
                    <a:latin typeface="Arial"/>
                    <a:cs typeface="Arial"/>
                  </a:rPr>
                  <a:t>0.5</a:t>
                </a:r>
                <a:r>
                  <a:rPr lang="nl-NL" sz="1675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(s</a:t>
                </a:r>
                <a:r>
                  <a:rPr lang="nl-NL" sz="1675" b="1" i="0" u="none" strike="noStrike" baseline="-25000">
                    <a:solidFill>
                      <a:srgbClr val="000000"/>
                    </a:solidFill>
                    <a:latin typeface="Arial"/>
                    <a:cs typeface="Arial"/>
                  </a:rPr>
                  <a:t>m-1,0</a:t>
                </a:r>
                <a:r>
                  <a:rPr lang="nl-NL" sz="1675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/tan</a:t>
                </a:r>
                <a:r>
                  <a:rPr lang="nl-NL" sz="1675" b="1" i="0" u="none" strike="noStrike" baseline="0">
                    <a:solidFill>
                      <a:srgbClr val="000000"/>
                    </a:solidFill>
                    <a:latin typeface="Symbol"/>
                  </a:rPr>
                  <a:t>a</a:t>
                </a:r>
                <a:r>
                  <a:rPr lang="nl-NL" sz="1675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)</a:t>
                </a:r>
                <a:r>
                  <a:rPr lang="nl-NL" sz="1675" b="1" i="0" u="none" strike="noStrike" baseline="30000">
                    <a:solidFill>
                      <a:srgbClr val="000000"/>
                    </a:solidFill>
                    <a:latin typeface="Arial"/>
                    <a:cs typeface="Arial"/>
                  </a:rPr>
                  <a:t>0.5</a:t>
                </a:r>
              </a:p>
            </c:rich>
          </c:tx>
          <c:layout>
            <c:manualLayout>
              <c:xMode val="edge"/>
              <c:yMode val="edge"/>
              <c:x val="6.009615384615391E-3"/>
              <c:y val="0.21014530792346625"/>
            </c:manualLayout>
          </c:layout>
          <c:overlay val="0"/>
          <c:spPr>
            <a:noFill/>
            <a:ln w="25400">
              <a:noFill/>
            </a:ln>
          </c:spPr>
        </c:title>
        <c:numFmt formatCode="0.E+00" sourceLinked="0"/>
        <c:majorTickMark val="in"/>
        <c:minorTickMark val="in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nl-NL"/>
          </a:p>
        </c:txPr>
        <c:crossAx val="43581824"/>
        <c:crosses val="autoZero"/>
        <c:crossBetween val="midCat"/>
      </c:valAx>
      <c:spPr>
        <a:noFill/>
        <a:ln w="3175">
          <a:solidFill>
            <a:srgbClr val="000000"/>
          </a:solidFill>
          <a:prstDash val="solid"/>
        </a:ln>
      </c:spPr>
    </c:plotArea>
    <c:legend>
      <c:legendPos val="r"/>
      <c:legendEntry>
        <c:idx val="0"/>
        <c:delete val="1"/>
      </c:legendEntry>
      <c:legendEntry>
        <c:idx val="3"/>
        <c:delete val="1"/>
      </c:legendEntry>
      <c:legendEntry>
        <c:idx val="4"/>
        <c:delete val="1"/>
      </c:legendEntry>
      <c:layout>
        <c:manualLayout>
          <c:xMode val="edge"/>
          <c:yMode val="edge"/>
          <c:x val="0.21193922875025253"/>
          <c:y val="0.55736810072653897"/>
          <c:w val="0.18600166565717746"/>
          <c:h val="9.4356004412492006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6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nl-NL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nl-NL"/>
    </a:p>
  </c:txPr>
  <c:printSettings>
    <c:headerFooter alignWithMargins="0"/>
    <c:pageMargins b="1" l="0.75000000000000133" r="0.75000000000000133" t="1" header="0.5" footer="0.5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_rels/drawing12.xml.rels><?xml version="1.0" encoding="UTF-8" standalone="yes"?>
<Relationships xmlns="http://schemas.openxmlformats.org/package/2006/relationships"><Relationship Id="rId8" Type="http://schemas.openxmlformats.org/officeDocument/2006/relationships/chart" Target="../charts/chart18.xml"/><Relationship Id="rId3" Type="http://schemas.openxmlformats.org/officeDocument/2006/relationships/chart" Target="../charts/chart13.xml"/><Relationship Id="rId7" Type="http://schemas.openxmlformats.org/officeDocument/2006/relationships/chart" Target="../charts/chart17.xml"/><Relationship Id="rId2" Type="http://schemas.openxmlformats.org/officeDocument/2006/relationships/chart" Target="../charts/chart12.xml"/><Relationship Id="rId1" Type="http://schemas.openxmlformats.org/officeDocument/2006/relationships/chart" Target="../charts/chart11.xml"/><Relationship Id="rId6" Type="http://schemas.openxmlformats.org/officeDocument/2006/relationships/chart" Target="../charts/chart16.xml"/><Relationship Id="rId5" Type="http://schemas.openxmlformats.org/officeDocument/2006/relationships/chart" Target="../charts/chart15.xml"/><Relationship Id="rId4" Type="http://schemas.openxmlformats.org/officeDocument/2006/relationships/chart" Target="../charts/chart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12</xdr:col>
      <xdr:colOff>590550</xdr:colOff>
      <xdr:row>32</xdr:row>
      <xdr:rowOff>57150</xdr:rowOff>
    </xdr:to>
    <xdr:graphicFrame macro="">
      <xdr:nvGraphicFramePr>
        <xdr:cNvPr id="13638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33</xdr:row>
      <xdr:rowOff>0</xdr:rowOff>
    </xdr:from>
    <xdr:to>
      <xdr:col>12</xdr:col>
      <xdr:colOff>600075</xdr:colOff>
      <xdr:row>65</xdr:row>
      <xdr:rowOff>66675</xdr:rowOff>
    </xdr:to>
    <xdr:graphicFrame macro="">
      <xdr:nvGraphicFramePr>
        <xdr:cNvPr id="13639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67</xdr:row>
      <xdr:rowOff>0</xdr:rowOff>
    </xdr:from>
    <xdr:to>
      <xdr:col>13</xdr:col>
      <xdr:colOff>0</xdr:colOff>
      <xdr:row>99</xdr:row>
      <xdr:rowOff>76200</xdr:rowOff>
    </xdr:to>
    <xdr:graphicFrame macro="">
      <xdr:nvGraphicFramePr>
        <xdr:cNvPr id="13640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101</xdr:row>
      <xdr:rowOff>0</xdr:rowOff>
    </xdr:from>
    <xdr:to>
      <xdr:col>13</xdr:col>
      <xdr:colOff>9525</xdr:colOff>
      <xdr:row>133</xdr:row>
      <xdr:rowOff>85725</xdr:rowOff>
    </xdr:to>
    <xdr:graphicFrame macro="">
      <xdr:nvGraphicFramePr>
        <xdr:cNvPr id="13641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104775</xdr:colOff>
      <xdr:row>135</xdr:row>
      <xdr:rowOff>152400</xdr:rowOff>
    </xdr:from>
    <xdr:to>
      <xdr:col>13</xdr:col>
      <xdr:colOff>104775</xdr:colOff>
      <xdr:row>168</xdr:row>
      <xdr:rowOff>66675</xdr:rowOff>
    </xdr:to>
    <xdr:graphicFrame macro="">
      <xdr:nvGraphicFramePr>
        <xdr:cNvPr id="13642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171</xdr:row>
      <xdr:rowOff>0</xdr:rowOff>
    </xdr:from>
    <xdr:to>
      <xdr:col>13</xdr:col>
      <xdr:colOff>0</xdr:colOff>
      <xdr:row>203</xdr:row>
      <xdr:rowOff>76200</xdr:rowOff>
    </xdr:to>
    <xdr:graphicFrame macro="">
      <xdr:nvGraphicFramePr>
        <xdr:cNvPr id="13643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206</xdr:row>
      <xdr:rowOff>0</xdr:rowOff>
    </xdr:from>
    <xdr:to>
      <xdr:col>13</xdr:col>
      <xdr:colOff>0</xdr:colOff>
      <xdr:row>238</xdr:row>
      <xdr:rowOff>76200</xdr:rowOff>
    </xdr:to>
    <xdr:graphicFrame macro="">
      <xdr:nvGraphicFramePr>
        <xdr:cNvPr id="1364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275</xdr:row>
      <xdr:rowOff>142875</xdr:rowOff>
    </xdr:from>
    <xdr:to>
      <xdr:col>13</xdr:col>
      <xdr:colOff>0</xdr:colOff>
      <xdr:row>308</xdr:row>
      <xdr:rowOff>57150</xdr:rowOff>
    </xdr:to>
    <xdr:graphicFrame macro="">
      <xdr:nvGraphicFramePr>
        <xdr:cNvPr id="13645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241</xdr:row>
      <xdr:rowOff>9525</xdr:rowOff>
    </xdr:from>
    <xdr:to>
      <xdr:col>13</xdr:col>
      <xdr:colOff>0</xdr:colOff>
      <xdr:row>273</xdr:row>
      <xdr:rowOff>85725</xdr:rowOff>
    </xdr:to>
    <xdr:graphicFrame macro="">
      <xdr:nvGraphicFramePr>
        <xdr:cNvPr id="13646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311</xdr:row>
      <xdr:rowOff>0</xdr:rowOff>
    </xdr:from>
    <xdr:to>
      <xdr:col>13</xdr:col>
      <xdr:colOff>0</xdr:colOff>
      <xdr:row>343</xdr:row>
      <xdr:rowOff>76200</xdr:rowOff>
    </xdr:to>
    <xdr:graphicFrame macro="">
      <xdr:nvGraphicFramePr>
        <xdr:cNvPr id="13647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1</xdr:col>
      <xdr:colOff>0</xdr:colOff>
      <xdr:row>348</xdr:row>
      <xdr:rowOff>123825</xdr:rowOff>
    </xdr:from>
    <xdr:to>
      <xdr:col>2</xdr:col>
      <xdr:colOff>266700</xdr:colOff>
      <xdr:row>354</xdr:row>
      <xdr:rowOff>95250</xdr:rowOff>
    </xdr:to>
    <xdr:grpSp>
      <xdr:nvGrpSpPr>
        <xdr:cNvPr id="13648" name="Group 46"/>
        <xdr:cNvGrpSpPr>
          <a:grpSpLocks/>
        </xdr:cNvGrpSpPr>
      </xdr:nvGrpSpPr>
      <xdr:grpSpPr bwMode="auto">
        <a:xfrm>
          <a:off x="609600" y="56473725"/>
          <a:ext cx="876300" cy="942975"/>
          <a:chOff x="320" y="4586"/>
          <a:chExt cx="92" cy="99"/>
        </a:xfrm>
      </xdr:grpSpPr>
      <xdr:sp macro="" textlink="">
        <xdr:nvSpPr>
          <xdr:cNvPr id="13678" name="Line 18"/>
          <xdr:cNvSpPr>
            <a:spLocks noChangeShapeType="1"/>
          </xdr:cNvSpPr>
        </xdr:nvSpPr>
        <xdr:spPr bwMode="auto">
          <a:xfrm>
            <a:off x="320" y="4675"/>
            <a:ext cx="64" cy="0"/>
          </a:xfrm>
          <a:prstGeom prst="line">
            <a:avLst/>
          </a:prstGeom>
          <a:noFill/>
          <a:ln w="34925">
            <a:solidFill>
              <a:srgbClr val="000000"/>
            </a:solidFill>
            <a:round/>
            <a:headEnd/>
            <a:tailEnd type="triangle" w="med" len="med"/>
          </a:ln>
        </xdr:spPr>
      </xdr:sp>
      <xdr:sp macro="" textlink="">
        <xdr:nvSpPr>
          <xdr:cNvPr id="13679" name="Line 19"/>
          <xdr:cNvSpPr>
            <a:spLocks noChangeShapeType="1"/>
          </xdr:cNvSpPr>
        </xdr:nvSpPr>
        <xdr:spPr bwMode="auto">
          <a:xfrm flipH="1" flipV="1">
            <a:off x="321" y="4599"/>
            <a:ext cx="0" cy="77"/>
          </a:xfrm>
          <a:prstGeom prst="line">
            <a:avLst/>
          </a:prstGeom>
          <a:noFill/>
          <a:ln w="34925">
            <a:solidFill>
              <a:srgbClr val="000000"/>
            </a:solidFill>
            <a:round/>
            <a:headEnd/>
            <a:tailEnd type="triangle" w="med" len="med"/>
          </a:ln>
        </xdr:spPr>
      </xdr:sp>
      <xdr:sp macro="" textlink="">
        <xdr:nvSpPr>
          <xdr:cNvPr id="15" name="Text Box 20"/>
          <xdr:cNvSpPr txBox="1">
            <a:spLocks noChangeArrowheads="1"/>
          </xdr:cNvSpPr>
        </xdr:nvSpPr>
        <xdr:spPr bwMode="auto">
          <a:xfrm>
            <a:off x="335" y="4586"/>
            <a:ext cx="41" cy="33"/>
          </a:xfrm>
          <a:prstGeom prst="rect">
            <a:avLst/>
          </a:prstGeom>
          <a:solidFill>
            <a:srgbClr val="FFFFFF"/>
          </a:solidFill>
          <a:ln w="9525">
            <a:noFill/>
            <a:miter lim="800000"/>
            <a:headEnd/>
            <a:tailEnd/>
          </a:ln>
        </xdr:spPr>
        <xdr:txBody>
          <a:bodyPr vertOverflow="clip" wrap="square" lIns="45720" tIns="41148" rIns="0" bIns="0" anchor="t" upright="1"/>
          <a:lstStyle/>
          <a:p>
            <a:pPr algn="l" rtl="0">
              <a:defRPr sz="1000"/>
            </a:pPr>
            <a:r>
              <a:rPr lang="nl-NL" sz="2000" b="0" i="0" u="none" strike="noStrike" baseline="0">
                <a:solidFill>
                  <a:srgbClr val="000000"/>
                </a:solidFill>
                <a:latin typeface="Symbol"/>
              </a:rPr>
              <a:t>b</a:t>
            </a:r>
          </a:p>
        </xdr:txBody>
      </xdr:sp>
      <xdr:sp macro="" textlink="">
        <xdr:nvSpPr>
          <xdr:cNvPr id="16" name="Text Box 21"/>
          <xdr:cNvSpPr txBox="1">
            <a:spLocks noChangeArrowheads="1"/>
          </xdr:cNvSpPr>
        </xdr:nvSpPr>
        <xdr:spPr bwMode="auto">
          <a:xfrm>
            <a:off x="386" y="4649"/>
            <a:ext cx="26" cy="36"/>
          </a:xfrm>
          <a:prstGeom prst="rect">
            <a:avLst/>
          </a:prstGeom>
          <a:solidFill>
            <a:srgbClr val="FFFFFF"/>
          </a:solidFill>
          <a:ln w="9525">
            <a:noFill/>
            <a:miter lim="800000"/>
            <a:headEnd/>
            <a:tailEnd/>
          </a:ln>
        </xdr:spPr>
        <xdr:txBody>
          <a:bodyPr vertOverflow="clip" wrap="square" lIns="45720" tIns="36576" rIns="0" bIns="0" anchor="t" upright="1"/>
          <a:lstStyle/>
          <a:p>
            <a:pPr algn="l" rtl="0">
              <a:defRPr sz="1000"/>
            </a:pPr>
            <a:r>
              <a:rPr lang="nl-NL" sz="1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u</a:t>
            </a:r>
          </a:p>
        </xdr:txBody>
      </xdr:sp>
    </xdr:grpSp>
    <xdr:clientData/>
  </xdr:twoCellAnchor>
  <xdr:twoCellAnchor>
    <xdr:from>
      <xdr:col>3</xdr:col>
      <xdr:colOff>95250</xdr:colOff>
      <xdr:row>350</xdr:row>
      <xdr:rowOff>104775</xdr:rowOff>
    </xdr:from>
    <xdr:to>
      <xdr:col>5</xdr:col>
      <xdr:colOff>266700</xdr:colOff>
      <xdr:row>355</xdr:row>
      <xdr:rowOff>95250</xdr:rowOff>
    </xdr:to>
    <xdr:grpSp>
      <xdr:nvGrpSpPr>
        <xdr:cNvPr id="13649" name="Group 47"/>
        <xdr:cNvGrpSpPr>
          <a:grpSpLocks/>
        </xdr:cNvGrpSpPr>
      </xdr:nvGrpSpPr>
      <xdr:grpSpPr bwMode="auto">
        <a:xfrm>
          <a:off x="1924050" y="56778525"/>
          <a:ext cx="1390650" cy="800100"/>
          <a:chOff x="458" y="4618"/>
          <a:chExt cx="146" cy="84"/>
        </a:xfrm>
      </xdr:grpSpPr>
      <xdr:sp macro="" textlink="">
        <xdr:nvSpPr>
          <xdr:cNvPr id="13674" name="Line 22"/>
          <xdr:cNvSpPr>
            <a:spLocks noChangeShapeType="1"/>
          </xdr:cNvSpPr>
        </xdr:nvSpPr>
        <xdr:spPr bwMode="auto">
          <a:xfrm>
            <a:off x="512" y="4692"/>
            <a:ext cx="64" cy="0"/>
          </a:xfrm>
          <a:prstGeom prst="line">
            <a:avLst/>
          </a:prstGeom>
          <a:noFill/>
          <a:ln w="34925">
            <a:solidFill>
              <a:srgbClr val="000000"/>
            </a:solidFill>
            <a:round/>
            <a:headEnd/>
            <a:tailEnd type="triangle" w="med" len="med"/>
          </a:ln>
        </xdr:spPr>
      </xdr:sp>
      <xdr:sp macro="" textlink="">
        <xdr:nvSpPr>
          <xdr:cNvPr id="13675" name="Line 23"/>
          <xdr:cNvSpPr>
            <a:spLocks noChangeShapeType="1"/>
          </xdr:cNvSpPr>
        </xdr:nvSpPr>
        <xdr:spPr bwMode="auto">
          <a:xfrm flipH="1" flipV="1">
            <a:off x="458" y="4637"/>
            <a:ext cx="55" cy="56"/>
          </a:xfrm>
          <a:prstGeom prst="line">
            <a:avLst/>
          </a:prstGeom>
          <a:noFill/>
          <a:ln w="34925">
            <a:solidFill>
              <a:srgbClr val="000000"/>
            </a:solidFill>
            <a:round/>
            <a:headEnd/>
            <a:tailEnd type="triangle" w="med" len="med"/>
          </a:ln>
        </xdr:spPr>
      </xdr:sp>
      <xdr:sp macro="" textlink="">
        <xdr:nvSpPr>
          <xdr:cNvPr id="20" name="Text Box 24"/>
          <xdr:cNvSpPr txBox="1">
            <a:spLocks noChangeArrowheads="1"/>
          </xdr:cNvSpPr>
        </xdr:nvSpPr>
        <xdr:spPr bwMode="auto">
          <a:xfrm>
            <a:off x="475" y="4618"/>
            <a:ext cx="41" cy="33"/>
          </a:xfrm>
          <a:prstGeom prst="rect">
            <a:avLst/>
          </a:prstGeom>
          <a:solidFill>
            <a:srgbClr val="FFFFFF"/>
          </a:solidFill>
          <a:ln w="9525">
            <a:noFill/>
            <a:miter lim="800000"/>
            <a:headEnd/>
            <a:tailEnd/>
          </a:ln>
        </xdr:spPr>
        <xdr:txBody>
          <a:bodyPr vertOverflow="clip" wrap="square" lIns="45720" tIns="41148" rIns="0" bIns="0" anchor="t" upright="1"/>
          <a:lstStyle/>
          <a:p>
            <a:pPr algn="l" rtl="0">
              <a:defRPr sz="1000"/>
            </a:pPr>
            <a:r>
              <a:rPr lang="nl-NL" sz="2000" b="0" i="0" u="none" strike="noStrike" baseline="0">
                <a:solidFill>
                  <a:srgbClr val="000000"/>
                </a:solidFill>
                <a:latin typeface="Symbol"/>
              </a:rPr>
              <a:t>b</a:t>
            </a:r>
          </a:p>
        </xdr:txBody>
      </xdr:sp>
      <xdr:sp macro="" textlink="">
        <xdr:nvSpPr>
          <xdr:cNvPr id="21" name="Text Box 25"/>
          <xdr:cNvSpPr txBox="1">
            <a:spLocks noChangeArrowheads="1"/>
          </xdr:cNvSpPr>
        </xdr:nvSpPr>
        <xdr:spPr bwMode="auto">
          <a:xfrm>
            <a:off x="578" y="4666"/>
            <a:ext cx="26" cy="36"/>
          </a:xfrm>
          <a:prstGeom prst="rect">
            <a:avLst/>
          </a:prstGeom>
          <a:solidFill>
            <a:srgbClr val="FFFFFF"/>
          </a:solidFill>
          <a:ln w="9525">
            <a:noFill/>
            <a:miter lim="800000"/>
            <a:headEnd/>
            <a:tailEnd/>
          </a:ln>
        </xdr:spPr>
        <xdr:txBody>
          <a:bodyPr vertOverflow="clip" wrap="square" lIns="45720" tIns="36576" rIns="0" bIns="0" anchor="t" upright="1"/>
          <a:lstStyle/>
          <a:p>
            <a:pPr algn="l" rtl="0">
              <a:defRPr sz="1000"/>
            </a:pPr>
            <a:r>
              <a:rPr lang="nl-NL" sz="1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u</a:t>
            </a:r>
          </a:p>
        </xdr:txBody>
      </xdr:sp>
    </xdr:grpSp>
    <xdr:clientData/>
  </xdr:twoCellAnchor>
  <xdr:twoCellAnchor>
    <xdr:from>
      <xdr:col>5</xdr:col>
      <xdr:colOff>209550</xdr:colOff>
      <xdr:row>350</xdr:row>
      <xdr:rowOff>28575</xdr:rowOff>
    </xdr:from>
    <xdr:to>
      <xdr:col>7</xdr:col>
      <xdr:colOff>266700</xdr:colOff>
      <xdr:row>355</xdr:row>
      <xdr:rowOff>95250</xdr:rowOff>
    </xdr:to>
    <xdr:grpSp>
      <xdr:nvGrpSpPr>
        <xdr:cNvPr id="13650" name="Group 48"/>
        <xdr:cNvGrpSpPr>
          <a:grpSpLocks/>
        </xdr:cNvGrpSpPr>
      </xdr:nvGrpSpPr>
      <xdr:grpSpPr bwMode="auto">
        <a:xfrm>
          <a:off x="3257550" y="56702325"/>
          <a:ext cx="1276350" cy="876300"/>
          <a:chOff x="598" y="4610"/>
          <a:chExt cx="134" cy="92"/>
        </a:xfrm>
      </xdr:grpSpPr>
      <xdr:sp macro="" textlink="">
        <xdr:nvSpPr>
          <xdr:cNvPr id="13670" name="Line 26"/>
          <xdr:cNvSpPr>
            <a:spLocks noChangeShapeType="1"/>
          </xdr:cNvSpPr>
        </xdr:nvSpPr>
        <xdr:spPr bwMode="auto">
          <a:xfrm>
            <a:off x="640" y="4692"/>
            <a:ext cx="64" cy="0"/>
          </a:xfrm>
          <a:prstGeom prst="line">
            <a:avLst/>
          </a:prstGeom>
          <a:noFill/>
          <a:ln w="34925">
            <a:solidFill>
              <a:srgbClr val="000000"/>
            </a:solidFill>
            <a:round/>
            <a:headEnd/>
            <a:tailEnd type="triangle" w="med" len="med"/>
          </a:ln>
        </xdr:spPr>
      </xdr:sp>
      <xdr:sp macro="" textlink="">
        <xdr:nvSpPr>
          <xdr:cNvPr id="13671" name="Line 27"/>
          <xdr:cNvSpPr>
            <a:spLocks noChangeShapeType="1"/>
          </xdr:cNvSpPr>
        </xdr:nvSpPr>
        <xdr:spPr bwMode="auto">
          <a:xfrm flipH="1" flipV="1">
            <a:off x="598" y="4629"/>
            <a:ext cx="43" cy="64"/>
          </a:xfrm>
          <a:prstGeom prst="line">
            <a:avLst/>
          </a:prstGeom>
          <a:noFill/>
          <a:ln w="34925">
            <a:solidFill>
              <a:srgbClr val="000000"/>
            </a:solidFill>
            <a:round/>
            <a:headEnd/>
            <a:tailEnd type="triangle" w="med" len="med"/>
          </a:ln>
        </xdr:spPr>
      </xdr:sp>
      <xdr:sp macro="" textlink="">
        <xdr:nvSpPr>
          <xdr:cNvPr id="25" name="Text Box 28"/>
          <xdr:cNvSpPr txBox="1">
            <a:spLocks noChangeArrowheads="1"/>
          </xdr:cNvSpPr>
        </xdr:nvSpPr>
        <xdr:spPr bwMode="auto">
          <a:xfrm>
            <a:off x="611" y="4610"/>
            <a:ext cx="41" cy="33"/>
          </a:xfrm>
          <a:prstGeom prst="rect">
            <a:avLst/>
          </a:prstGeom>
          <a:solidFill>
            <a:srgbClr val="FFFFFF"/>
          </a:solidFill>
          <a:ln w="9525">
            <a:noFill/>
            <a:miter lim="800000"/>
            <a:headEnd/>
            <a:tailEnd/>
          </a:ln>
        </xdr:spPr>
        <xdr:txBody>
          <a:bodyPr vertOverflow="clip" wrap="square" lIns="45720" tIns="41148" rIns="0" bIns="0" anchor="t" upright="1"/>
          <a:lstStyle/>
          <a:p>
            <a:pPr algn="l" rtl="0">
              <a:defRPr sz="1000"/>
            </a:pPr>
            <a:r>
              <a:rPr lang="nl-NL" sz="2000" b="0" i="0" u="none" strike="noStrike" baseline="0">
                <a:solidFill>
                  <a:srgbClr val="000000"/>
                </a:solidFill>
                <a:latin typeface="Symbol"/>
              </a:rPr>
              <a:t>b</a:t>
            </a:r>
          </a:p>
        </xdr:txBody>
      </xdr:sp>
      <xdr:sp macro="" textlink="">
        <xdr:nvSpPr>
          <xdr:cNvPr id="26" name="Text Box 29"/>
          <xdr:cNvSpPr txBox="1">
            <a:spLocks noChangeArrowheads="1"/>
          </xdr:cNvSpPr>
        </xdr:nvSpPr>
        <xdr:spPr bwMode="auto">
          <a:xfrm>
            <a:off x="706" y="4666"/>
            <a:ext cx="26" cy="36"/>
          </a:xfrm>
          <a:prstGeom prst="rect">
            <a:avLst/>
          </a:prstGeom>
          <a:solidFill>
            <a:srgbClr val="FFFFFF"/>
          </a:solidFill>
          <a:ln w="9525">
            <a:noFill/>
            <a:miter lim="800000"/>
            <a:headEnd/>
            <a:tailEnd/>
          </a:ln>
        </xdr:spPr>
        <xdr:txBody>
          <a:bodyPr vertOverflow="clip" wrap="square" lIns="45720" tIns="36576" rIns="0" bIns="0" anchor="t" upright="1"/>
          <a:lstStyle/>
          <a:p>
            <a:pPr algn="l" rtl="0">
              <a:defRPr sz="1000"/>
            </a:pPr>
            <a:r>
              <a:rPr lang="nl-NL" sz="1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u</a:t>
            </a:r>
          </a:p>
        </xdr:txBody>
      </xdr:sp>
    </xdr:grpSp>
    <xdr:clientData/>
  </xdr:twoCellAnchor>
  <xdr:twoCellAnchor>
    <xdr:from>
      <xdr:col>8</xdr:col>
      <xdr:colOff>180975</xdr:colOff>
      <xdr:row>349</xdr:row>
      <xdr:rowOff>76200</xdr:rowOff>
    </xdr:from>
    <xdr:to>
      <xdr:col>10</xdr:col>
      <xdr:colOff>361950</xdr:colOff>
      <xdr:row>355</xdr:row>
      <xdr:rowOff>95250</xdr:rowOff>
    </xdr:to>
    <xdr:grpSp>
      <xdr:nvGrpSpPr>
        <xdr:cNvPr id="13651" name="Group 49"/>
        <xdr:cNvGrpSpPr>
          <a:grpSpLocks/>
        </xdr:cNvGrpSpPr>
      </xdr:nvGrpSpPr>
      <xdr:grpSpPr bwMode="auto">
        <a:xfrm>
          <a:off x="5057775" y="56588025"/>
          <a:ext cx="1400175" cy="990600"/>
          <a:chOff x="787" y="4598"/>
          <a:chExt cx="111" cy="104"/>
        </a:xfrm>
      </xdr:grpSpPr>
      <xdr:sp macro="" textlink="">
        <xdr:nvSpPr>
          <xdr:cNvPr id="13666" name="Line 30"/>
          <xdr:cNvSpPr>
            <a:spLocks noChangeShapeType="1"/>
          </xdr:cNvSpPr>
        </xdr:nvSpPr>
        <xdr:spPr bwMode="auto">
          <a:xfrm>
            <a:off x="806" y="4692"/>
            <a:ext cx="64" cy="0"/>
          </a:xfrm>
          <a:prstGeom prst="line">
            <a:avLst/>
          </a:prstGeom>
          <a:noFill/>
          <a:ln w="34925">
            <a:solidFill>
              <a:srgbClr val="000000"/>
            </a:solidFill>
            <a:round/>
            <a:headEnd/>
            <a:tailEnd type="triangle" w="med" len="med"/>
          </a:ln>
        </xdr:spPr>
      </xdr:sp>
      <xdr:sp macro="" textlink="">
        <xdr:nvSpPr>
          <xdr:cNvPr id="13667" name="Line 31"/>
          <xdr:cNvSpPr>
            <a:spLocks noChangeShapeType="1"/>
          </xdr:cNvSpPr>
        </xdr:nvSpPr>
        <xdr:spPr bwMode="auto">
          <a:xfrm flipH="1" flipV="1">
            <a:off x="787" y="4616"/>
            <a:ext cx="20" cy="77"/>
          </a:xfrm>
          <a:prstGeom prst="line">
            <a:avLst/>
          </a:prstGeom>
          <a:noFill/>
          <a:ln w="34925">
            <a:solidFill>
              <a:srgbClr val="000000"/>
            </a:solidFill>
            <a:round/>
            <a:headEnd/>
            <a:tailEnd type="triangle" w="med" len="med"/>
          </a:ln>
        </xdr:spPr>
      </xdr:sp>
      <xdr:sp macro="" textlink="">
        <xdr:nvSpPr>
          <xdr:cNvPr id="30" name="Text Box 32"/>
          <xdr:cNvSpPr txBox="1">
            <a:spLocks noChangeArrowheads="1"/>
          </xdr:cNvSpPr>
        </xdr:nvSpPr>
        <xdr:spPr bwMode="auto">
          <a:xfrm>
            <a:off x="796" y="4598"/>
            <a:ext cx="41" cy="33"/>
          </a:xfrm>
          <a:prstGeom prst="rect">
            <a:avLst/>
          </a:prstGeom>
          <a:solidFill>
            <a:srgbClr val="FFFFFF"/>
          </a:solidFill>
          <a:ln w="9525">
            <a:noFill/>
            <a:miter lim="800000"/>
            <a:headEnd/>
            <a:tailEnd/>
          </a:ln>
        </xdr:spPr>
        <xdr:txBody>
          <a:bodyPr vertOverflow="clip" wrap="square" lIns="45720" tIns="41148" rIns="0" bIns="0" anchor="t" upright="1"/>
          <a:lstStyle/>
          <a:p>
            <a:pPr algn="l" rtl="0">
              <a:defRPr sz="1000"/>
            </a:pPr>
            <a:r>
              <a:rPr lang="nl-NL" sz="2000" b="0" i="0" u="none" strike="noStrike" baseline="0">
                <a:solidFill>
                  <a:srgbClr val="000000"/>
                </a:solidFill>
                <a:latin typeface="Symbol"/>
              </a:rPr>
              <a:t>b</a:t>
            </a:r>
          </a:p>
        </xdr:txBody>
      </xdr:sp>
      <xdr:sp macro="" textlink="">
        <xdr:nvSpPr>
          <xdr:cNvPr id="31" name="Text Box 33"/>
          <xdr:cNvSpPr txBox="1">
            <a:spLocks noChangeArrowheads="1"/>
          </xdr:cNvSpPr>
        </xdr:nvSpPr>
        <xdr:spPr bwMode="auto">
          <a:xfrm>
            <a:off x="872" y="4666"/>
            <a:ext cx="26" cy="36"/>
          </a:xfrm>
          <a:prstGeom prst="rect">
            <a:avLst/>
          </a:prstGeom>
          <a:solidFill>
            <a:srgbClr val="FFFFFF"/>
          </a:solidFill>
          <a:ln w="9525">
            <a:noFill/>
            <a:miter lim="800000"/>
            <a:headEnd/>
            <a:tailEnd/>
          </a:ln>
        </xdr:spPr>
        <xdr:txBody>
          <a:bodyPr vertOverflow="clip" wrap="square" lIns="45720" tIns="36576" rIns="0" bIns="0" anchor="t" upright="1"/>
          <a:lstStyle/>
          <a:p>
            <a:pPr algn="l" rtl="0">
              <a:defRPr sz="1000"/>
            </a:pPr>
            <a:r>
              <a:rPr lang="nl-NL" sz="1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u</a:t>
            </a:r>
          </a:p>
        </xdr:txBody>
      </xdr:sp>
    </xdr:grpSp>
    <xdr:clientData/>
  </xdr:twoCellAnchor>
  <xdr:twoCellAnchor>
    <xdr:from>
      <xdr:col>12</xdr:col>
      <xdr:colOff>0</xdr:colOff>
      <xdr:row>349</xdr:row>
      <xdr:rowOff>123825</xdr:rowOff>
    </xdr:from>
    <xdr:to>
      <xdr:col>13</xdr:col>
      <xdr:colOff>266700</xdr:colOff>
      <xdr:row>355</xdr:row>
      <xdr:rowOff>95250</xdr:rowOff>
    </xdr:to>
    <xdr:grpSp>
      <xdr:nvGrpSpPr>
        <xdr:cNvPr id="13652" name="Group 50"/>
        <xdr:cNvGrpSpPr>
          <a:grpSpLocks/>
        </xdr:cNvGrpSpPr>
      </xdr:nvGrpSpPr>
      <xdr:grpSpPr bwMode="auto">
        <a:xfrm>
          <a:off x="7315200" y="56635650"/>
          <a:ext cx="876300" cy="942975"/>
          <a:chOff x="988" y="4603"/>
          <a:chExt cx="92" cy="99"/>
        </a:xfrm>
      </xdr:grpSpPr>
      <xdr:sp macro="" textlink="">
        <xdr:nvSpPr>
          <xdr:cNvPr id="13662" name="Line 34"/>
          <xdr:cNvSpPr>
            <a:spLocks noChangeShapeType="1"/>
          </xdr:cNvSpPr>
        </xdr:nvSpPr>
        <xdr:spPr bwMode="auto">
          <a:xfrm>
            <a:off x="988" y="4692"/>
            <a:ext cx="64" cy="0"/>
          </a:xfrm>
          <a:prstGeom prst="line">
            <a:avLst/>
          </a:prstGeom>
          <a:noFill/>
          <a:ln w="34925">
            <a:solidFill>
              <a:srgbClr val="000000"/>
            </a:solidFill>
            <a:round/>
            <a:headEnd/>
            <a:tailEnd type="triangle" w="med" len="med"/>
          </a:ln>
        </xdr:spPr>
      </xdr:sp>
      <xdr:sp macro="" textlink="">
        <xdr:nvSpPr>
          <xdr:cNvPr id="13663" name="Line 35"/>
          <xdr:cNvSpPr>
            <a:spLocks noChangeShapeType="1"/>
          </xdr:cNvSpPr>
        </xdr:nvSpPr>
        <xdr:spPr bwMode="auto">
          <a:xfrm flipV="1">
            <a:off x="989" y="4618"/>
            <a:ext cx="17" cy="75"/>
          </a:xfrm>
          <a:prstGeom prst="line">
            <a:avLst/>
          </a:prstGeom>
          <a:noFill/>
          <a:ln w="34925">
            <a:solidFill>
              <a:srgbClr val="000000"/>
            </a:solidFill>
            <a:round/>
            <a:headEnd/>
            <a:tailEnd type="triangle" w="med" len="med"/>
          </a:ln>
        </xdr:spPr>
      </xdr:sp>
      <xdr:sp macro="" textlink="">
        <xdr:nvSpPr>
          <xdr:cNvPr id="35" name="Text Box 36"/>
          <xdr:cNvSpPr txBox="1">
            <a:spLocks noChangeArrowheads="1"/>
          </xdr:cNvSpPr>
        </xdr:nvSpPr>
        <xdr:spPr bwMode="auto">
          <a:xfrm>
            <a:off x="1021" y="4603"/>
            <a:ext cx="41" cy="33"/>
          </a:xfrm>
          <a:prstGeom prst="rect">
            <a:avLst/>
          </a:prstGeom>
          <a:solidFill>
            <a:srgbClr val="FFFFFF"/>
          </a:solidFill>
          <a:ln w="9525">
            <a:noFill/>
            <a:miter lim="800000"/>
            <a:headEnd/>
            <a:tailEnd/>
          </a:ln>
        </xdr:spPr>
        <xdr:txBody>
          <a:bodyPr vertOverflow="clip" wrap="square" lIns="45720" tIns="41148" rIns="0" bIns="0" anchor="t" upright="1"/>
          <a:lstStyle/>
          <a:p>
            <a:pPr algn="l" rtl="0">
              <a:defRPr sz="1000"/>
            </a:pPr>
            <a:r>
              <a:rPr lang="nl-NL" sz="2000" b="0" i="0" u="none" strike="noStrike" baseline="0">
                <a:solidFill>
                  <a:srgbClr val="000000"/>
                </a:solidFill>
                <a:latin typeface="Symbol"/>
              </a:rPr>
              <a:t>b</a:t>
            </a:r>
          </a:p>
        </xdr:txBody>
      </xdr:sp>
      <xdr:sp macro="" textlink="">
        <xdr:nvSpPr>
          <xdr:cNvPr id="36" name="Text Box 37"/>
          <xdr:cNvSpPr txBox="1">
            <a:spLocks noChangeArrowheads="1"/>
          </xdr:cNvSpPr>
        </xdr:nvSpPr>
        <xdr:spPr bwMode="auto">
          <a:xfrm>
            <a:off x="1054" y="4666"/>
            <a:ext cx="26" cy="36"/>
          </a:xfrm>
          <a:prstGeom prst="rect">
            <a:avLst/>
          </a:prstGeom>
          <a:solidFill>
            <a:srgbClr val="FFFFFF"/>
          </a:solidFill>
          <a:ln w="9525">
            <a:noFill/>
            <a:miter lim="800000"/>
            <a:headEnd/>
            <a:tailEnd/>
          </a:ln>
        </xdr:spPr>
        <xdr:txBody>
          <a:bodyPr vertOverflow="clip" wrap="square" lIns="45720" tIns="36576" rIns="0" bIns="0" anchor="t" upright="1"/>
          <a:lstStyle/>
          <a:p>
            <a:pPr algn="l" rtl="0">
              <a:defRPr sz="1000"/>
            </a:pPr>
            <a:r>
              <a:rPr lang="nl-NL" sz="1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u</a:t>
            </a:r>
          </a:p>
        </xdr:txBody>
      </xdr:sp>
    </xdr:grpSp>
    <xdr:clientData/>
  </xdr:twoCellAnchor>
  <xdr:twoCellAnchor>
    <xdr:from>
      <xdr:col>15</xdr:col>
      <xdr:colOff>0</xdr:colOff>
      <xdr:row>350</xdr:row>
      <xdr:rowOff>0</xdr:rowOff>
    </xdr:from>
    <xdr:to>
      <xdr:col>16</xdr:col>
      <xdr:colOff>266700</xdr:colOff>
      <xdr:row>355</xdr:row>
      <xdr:rowOff>95250</xdr:rowOff>
    </xdr:to>
    <xdr:grpSp>
      <xdr:nvGrpSpPr>
        <xdr:cNvPr id="13653" name="Group 51"/>
        <xdr:cNvGrpSpPr>
          <a:grpSpLocks/>
        </xdr:cNvGrpSpPr>
      </xdr:nvGrpSpPr>
      <xdr:grpSpPr bwMode="auto">
        <a:xfrm>
          <a:off x="9144000" y="56673750"/>
          <a:ext cx="876300" cy="904875"/>
          <a:chOff x="1180" y="4607"/>
          <a:chExt cx="92" cy="95"/>
        </a:xfrm>
      </xdr:grpSpPr>
      <xdr:sp macro="" textlink="">
        <xdr:nvSpPr>
          <xdr:cNvPr id="13658" name="Line 38"/>
          <xdr:cNvSpPr>
            <a:spLocks noChangeShapeType="1"/>
          </xdr:cNvSpPr>
        </xdr:nvSpPr>
        <xdr:spPr bwMode="auto">
          <a:xfrm>
            <a:off x="1180" y="4692"/>
            <a:ext cx="64" cy="0"/>
          </a:xfrm>
          <a:prstGeom prst="line">
            <a:avLst/>
          </a:prstGeom>
          <a:noFill/>
          <a:ln w="34925">
            <a:solidFill>
              <a:srgbClr val="000000"/>
            </a:solidFill>
            <a:round/>
            <a:headEnd/>
            <a:tailEnd type="triangle" w="med" len="med"/>
          </a:ln>
        </xdr:spPr>
      </xdr:sp>
      <xdr:sp macro="" textlink="">
        <xdr:nvSpPr>
          <xdr:cNvPr id="13659" name="Line 39"/>
          <xdr:cNvSpPr>
            <a:spLocks noChangeShapeType="1"/>
          </xdr:cNvSpPr>
        </xdr:nvSpPr>
        <xdr:spPr bwMode="auto">
          <a:xfrm flipV="1">
            <a:off x="1181" y="4625"/>
            <a:ext cx="35" cy="68"/>
          </a:xfrm>
          <a:prstGeom prst="line">
            <a:avLst/>
          </a:prstGeom>
          <a:noFill/>
          <a:ln w="34925">
            <a:solidFill>
              <a:srgbClr val="000000"/>
            </a:solidFill>
            <a:round/>
            <a:headEnd/>
            <a:tailEnd type="triangle" w="med" len="med"/>
          </a:ln>
        </xdr:spPr>
      </xdr:sp>
      <xdr:sp macro="" textlink="">
        <xdr:nvSpPr>
          <xdr:cNvPr id="40" name="Text Box 40"/>
          <xdr:cNvSpPr txBox="1">
            <a:spLocks noChangeArrowheads="1"/>
          </xdr:cNvSpPr>
        </xdr:nvSpPr>
        <xdr:spPr bwMode="auto">
          <a:xfrm>
            <a:off x="1221" y="4607"/>
            <a:ext cx="41" cy="33"/>
          </a:xfrm>
          <a:prstGeom prst="rect">
            <a:avLst/>
          </a:prstGeom>
          <a:solidFill>
            <a:srgbClr val="FFFFFF"/>
          </a:solidFill>
          <a:ln w="9525">
            <a:noFill/>
            <a:miter lim="800000"/>
            <a:headEnd/>
            <a:tailEnd/>
          </a:ln>
        </xdr:spPr>
        <xdr:txBody>
          <a:bodyPr vertOverflow="clip" wrap="square" lIns="45720" tIns="41148" rIns="0" bIns="0" anchor="t" upright="1"/>
          <a:lstStyle/>
          <a:p>
            <a:pPr algn="l" rtl="0">
              <a:defRPr sz="1000"/>
            </a:pPr>
            <a:r>
              <a:rPr lang="nl-NL" sz="2000" b="0" i="0" u="none" strike="noStrike" baseline="0">
                <a:solidFill>
                  <a:srgbClr val="000000"/>
                </a:solidFill>
                <a:latin typeface="Symbol"/>
              </a:rPr>
              <a:t>b</a:t>
            </a:r>
          </a:p>
        </xdr:txBody>
      </xdr:sp>
      <xdr:sp macro="" textlink="">
        <xdr:nvSpPr>
          <xdr:cNvPr id="41" name="Text Box 41"/>
          <xdr:cNvSpPr txBox="1">
            <a:spLocks noChangeArrowheads="1"/>
          </xdr:cNvSpPr>
        </xdr:nvSpPr>
        <xdr:spPr bwMode="auto">
          <a:xfrm>
            <a:off x="1246" y="4666"/>
            <a:ext cx="26" cy="36"/>
          </a:xfrm>
          <a:prstGeom prst="rect">
            <a:avLst/>
          </a:prstGeom>
          <a:solidFill>
            <a:srgbClr val="FFFFFF"/>
          </a:solidFill>
          <a:ln w="9525">
            <a:noFill/>
            <a:miter lim="800000"/>
            <a:headEnd/>
            <a:tailEnd/>
          </a:ln>
        </xdr:spPr>
        <xdr:txBody>
          <a:bodyPr vertOverflow="clip" wrap="square" lIns="45720" tIns="36576" rIns="0" bIns="0" anchor="t" upright="1"/>
          <a:lstStyle/>
          <a:p>
            <a:pPr algn="l" rtl="0">
              <a:defRPr sz="1000"/>
            </a:pPr>
            <a:r>
              <a:rPr lang="nl-NL" sz="1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u</a:t>
            </a:r>
          </a:p>
        </xdr:txBody>
      </xdr:sp>
    </xdr:grpSp>
    <xdr:clientData/>
  </xdr:twoCellAnchor>
  <xdr:twoCellAnchor>
    <xdr:from>
      <xdr:col>17</xdr:col>
      <xdr:colOff>0</xdr:colOff>
      <xdr:row>355</xdr:row>
      <xdr:rowOff>0</xdr:rowOff>
    </xdr:from>
    <xdr:to>
      <xdr:col>18</xdr:col>
      <xdr:colOff>0</xdr:colOff>
      <xdr:row>355</xdr:row>
      <xdr:rowOff>0</xdr:rowOff>
    </xdr:to>
    <xdr:sp macro="" textlink="">
      <xdr:nvSpPr>
        <xdr:cNvPr id="13654" name="Line 42"/>
        <xdr:cNvSpPr>
          <a:spLocks noChangeShapeType="1"/>
        </xdr:cNvSpPr>
      </xdr:nvSpPr>
      <xdr:spPr bwMode="auto">
        <a:xfrm>
          <a:off x="10363200" y="57483375"/>
          <a:ext cx="609600" cy="0"/>
        </a:xfrm>
        <a:prstGeom prst="line">
          <a:avLst/>
        </a:prstGeom>
        <a:noFill/>
        <a:ln w="349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17</xdr:col>
      <xdr:colOff>9525</xdr:colOff>
      <xdr:row>350</xdr:row>
      <xdr:rowOff>85725</xdr:rowOff>
    </xdr:from>
    <xdr:to>
      <xdr:col>17</xdr:col>
      <xdr:colOff>9525</xdr:colOff>
      <xdr:row>355</xdr:row>
      <xdr:rowOff>9525</xdr:rowOff>
    </xdr:to>
    <xdr:sp macro="" textlink="">
      <xdr:nvSpPr>
        <xdr:cNvPr id="13655" name="Line 43"/>
        <xdr:cNvSpPr>
          <a:spLocks noChangeShapeType="1"/>
        </xdr:cNvSpPr>
      </xdr:nvSpPr>
      <xdr:spPr bwMode="auto">
        <a:xfrm flipH="1" flipV="1">
          <a:off x="10372725" y="56759475"/>
          <a:ext cx="0" cy="733425"/>
        </a:xfrm>
        <a:prstGeom prst="line">
          <a:avLst/>
        </a:prstGeom>
        <a:noFill/>
        <a:ln w="349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17</xdr:col>
      <xdr:colOff>38100</xdr:colOff>
      <xdr:row>349</xdr:row>
      <xdr:rowOff>114300</xdr:rowOff>
    </xdr:from>
    <xdr:to>
      <xdr:col>17</xdr:col>
      <xdr:colOff>428625</xdr:colOff>
      <xdr:row>351</xdr:row>
      <xdr:rowOff>104775</xdr:rowOff>
    </xdr:to>
    <xdr:sp macro="" textlink="">
      <xdr:nvSpPr>
        <xdr:cNvPr id="44" name="Text Box 44"/>
        <xdr:cNvSpPr txBox="1">
          <a:spLocks noChangeArrowheads="1"/>
        </xdr:cNvSpPr>
      </xdr:nvSpPr>
      <xdr:spPr bwMode="auto">
        <a:xfrm>
          <a:off x="12496800" y="43834050"/>
          <a:ext cx="390525" cy="31432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45720" tIns="41148" rIns="0" bIns="0" anchor="t" upright="1"/>
        <a:lstStyle/>
        <a:p>
          <a:pPr algn="l" rtl="0">
            <a:defRPr sz="1000"/>
          </a:pPr>
          <a:r>
            <a:rPr lang="nl-NL" sz="2000" b="0" i="0" u="none" strike="noStrike" baseline="0">
              <a:solidFill>
                <a:srgbClr val="000000"/>
              </a:solidFill>
              <a:latin typeface="Symbol"/>
            </a:rPr>
            <a:t>b</a:t>
          </a:r>
        </a:p>
      </xdr:txBody>
    </xdr:sp>
    <xdr:clientData/>
  </xdr:twoCellAnchor>
  <xdr:twoCellAnchor>
    <xdr:from>
      <xdr:col>18</xdr:col>
      <xdr:colOff>19050</xdr:colOff>
      <xdr:row>353</xdr:row>
      <xdr:rowOff>76200</xdr:rowOff>
    </xdr:from>
    <xdr:to>
      <xdr:col>18</xdr:col>
      <xdr:colOff>266700</xdr:colOff>
      <xdr:row>355</xdr:row>
      <xdr:rowOff>95250</xdr:rowOff>
    </xdr:to>
    <xdr:sp macro="" textlink="">
      <xdr:nvSpPr>
        <xdr:cNvPr id="45" name="Text Box 45"/>
        <xdr:cNvSpPr txBox="1">
          <a:spLocks noChangeArrowheads="1"/>
        </xdr:cNvSpPr>
      </xdr:nvSpPr>
      <xdr:spPr bwMode="auto">
        <a:xfrm>
          <a:off x="13087350" y="44443650"/>
          <a:ext cx="247650" cy="34290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nl-NL" sz="1800" b="0" i="0" u="none" strike="noStrike" baseline="0">
              <a:solidFill>
                <a:srgbClr val="000000"/>
              </a:solidFill>
              <a:latin typeface="Arial"/>
              <a:cs typeface="Arial"/>
            </a:rPr>
            <a:t>u</a:t>
          </a:r>
        </a:p>
      </xdr:txBody>
    </xdr:sp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0.53024</cdr:x>
      <cdr:y>0.80072</cdr:y>
    </cdr:from>
    <cdr:to>
      <cdr:x>0.63211</cdr:x>
      <cdr:y>0.80072</cdr:y>
    </cdr:to>
    <cdr:sp macro="" textlink="">
      <cdr:nvSpPr>
        <cdr:cNvPr id="2" name="Line 30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4202070" y="4210050"/>
          <a:ext cx="807308" cy="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4925">
          <a:solidFill>
            <a:srgbClr val="000000"/>
          </a:solidFill>
          <a:round/>
          <a:headEnd/>
          <a:tailEnd type="triangle" w="med" len="med"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nl-NL"/>
        </a:p>
      </cdr:txBody>
    </cdr:sp>
  </cdr:relSizeAnchor>
  <cdr:relSizeAnchor xmlns:cdr="http://schemas.openxmlformats.org/drawingml/2006/chartDrawing">
    <cdr:from>
      <cdr:x>0.5</cdr:x>
      <cdr:y>0.66304</cdr:y>
    </cdr:from>
    <cdr:to>
      <cdr:x>0.53183</cdr:x>
      <cdr:y>0.80254</cdr:y>
    </cdr:to>
    <cdr:sp macro="" textlink="">
      <cdr:nvSpPr>
        <cdr:cNvPr id="3" name="Line 3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3962400" y="3486150"/>
          <a:ext cx="252284" cy="733425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4925">
          <a:solidFill>
            <a:srgbClr val="000000"/>
          </a:solidFill>
          <a:round/>
          <a:headEnd/>
          <a:tailEnd type="triangle" w="med" len="med"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nl-NL"/>
        </a:p>
      </cdr:txBody>
    </cdr:sp>
  </cdr:relSizeAnchor>
  <cdr:relSizeAnchor xmlns:cdr="http://schemas.openxmlformats.org/drawingml/2006/chartDrawing">
    <cdr:from>
      <cdr:x>0.51433</cdr:x>
      <cdr:y>0.63043</cdr:y>
    </cdr:from>
    <cdr:to>
      <cdr:x>0.57959</cdr:x>
      <cdr:y>0.69022</cdr:y>
    </cdr:to>
    <cdr:sp macro="" textlink="">
      <cdr:nvSpPr>
        <cdr:cNvPr id="4" name="Text Box 3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75928" y="3314700"/>
          <a:ext cx="517182" cy="314325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45720" tIns="41148" rIns="0" bIns="0" anchor="t" upright="1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 rtl="0">
            <a:defRPr sz="1000"/>
          </a:pPr>
          <a:r>
            <a:rPr lang="nl-NL" sz="2000" b="0" i="0" u="none" strike="noStrike" baseline="0">
              <a:solidFill>
                <a:srgbClr val="000000"/>
              </a:solidFill>
              <a:latin typeface="Symbol"/>
            </a:rPr>
            <a:t>b</a:t>
          </a:r>
        </a:p>
      </cdr:txBody>
    </cdr:sp>
  </cdr:relSizeAnchor>
  <cdr:relSizeAnchor xmlns:cdr="http://schemas.openxmlformats.org/drawingml/2006/chartDrawing">
    <cdr:from>
      <cdr:x>0.6353</cdr:x>
      <cdr:y>0.75362</cdr:y>
    </cdr:from>
    <cdr:to>
      <cdr:x>0.67668</cdr:x>
      <cdr:y>0.81884</cdr:y>
    </cdr:to>
    <cdr:sp macro="" textlink="">
      <cdr:nvSpPr>
        <cdr:cNvPr id="5" name="Text Box 3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34606" y="3962400"/>
          <a:ext cx="327969" cy="342900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45720" tIns="36576" rIns="0" bIns="0" anchor="t" upright="1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 rtl="0">
            <a:defRPr sz="1000"/>
          </a:pPr>
          <a:r>
            <a:rPr lang="nl-NL" sz="1800" b="0" i="0" u="none" strike="noStrike" baseline="0">
              <a:solidFill>
                <a:srgbClr val="000000"/>
              </a:solidFill>
              <a:latin typeface="Arial"/>
              <a:cs typeface="Arial"/>
            </a:rPr>
            <a:t>u</a:t>
          </a:r>
        </a:p>
      </cdr:txBody>
    </cdr:sp>
  </cdr:relSizeAnchor>
</c:userShapes>
</file>

<file path=xl/drawings/drawing11.xml><?xml version="1.0" encoding="utf-8"?>
<c:userShapes xmlns:c="http://schemas.openxmlformats.org/drawingml/2006/chart">
  <cdr:relSizeAnchor xmlns:cdr="http://schemas.openxmlformats.org/drawingml/2006/chartDrawing">
    <cdr:from>
      <cdr:x>0.56611</cdr:x>
      <cdr:y>0.77355</cdr:y>
    </cdr:from>
    <cdr:to>
      <cdr:x>0.64303</cdr:x>
      <cdr:y>0.77355</cdr:y>
    </cdr:to>
    <cdr:sp macro="" textlink="">
      <cdr:nvSpPr>
        <cdr:cNvPr id="2" name="Line 2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4486275" y="4067175"/>
          <a:ext cx="609600" cy="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4925">
          <a:solidFill>
            <a:srgbClr val="000000"/>
          </a:solidFill>
          <a:round/>
          <a:headEnd/>
          <a:tailEnd type="triangle" w="med" len="med"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nl-NL"/>
        </a:p>
      </cdr:txBody>
    </cdr:sp>
  </cdr:relSizeAnchor>
  <cdr:relSizeAnchor xmlns:cdr="http://schemas.openxmlformats.org/drawingml/2006/chartDrawing">
    <cdr:from>
      <cdr:x>0.5012</cdr:x>
      <cdr:y>0.67391</cdr:y>
    </cdr:from>
    <cdr:to>
      <cdr:x>0.56731</cdr:x>
      <cdr:y>0.77536</cdr:y>
    </cdr:to>
    <cdr:sp macro="" textlink="">
      <cdr:nvSpPr>
        <cdr:cNvPr id="3" name="Line 23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3971925" y="3543300"/>
          <a:ext cx="523875" cy="53340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4925">
          <a:solidFill>
            <a:srgbClr val="000000"/>
          </a:solidFill>
          <a:round/>
          <a:headEnd/>
          <a:tailEnd type="triangle" w="med" len="med"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nl-NL"/>
        </a:p>
      </cdr:txBody>
    </cdr:sp>
  </cdr:relSizeAnchor>
  <cdr:relSizeAnchor xmlns:cdr="http://schemas.openxmlformats.org/drawingml/2006/chartDrawing">
    <cdr:from>
      <cdr:x>0.52163</cdr:x>
      <cdr:y>0.63949</cdr:y>
    </cdr:from>
    <cdr:to>
      <cdr:x>0.57091</cdr:x>
      <cdr:y>0.69928</cdr:y>
    </cdr:to>
    <cdr:sp macro="" textlink="">
      <cdr:nvSpPr>
        <cdr:cNvPr id="4" name="Text Box 2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133850" y="3362325"/>
          <a:ext cx="390525" cy="314325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45720" tIns="41148" rIns="0" bIns="0" anchor="t" upright="1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 rtl="0">
            <a:defRPr sz="1000"/>
          </a:pPr>
          <a:r>
            <a:rPr lang="nl-NL" sz="2000" b="0" i="0" u="none" strike="noStrike" baseline="0">
              <a:solidFill>
                <a:srgbClr val="000000"/>
              </a:solidFill>
              <a:latin typeface="Symbol"/>
            </a:rPr>
            <a:t>b</a:t>
          </a:r>
        </a:p>
      </cdr:txBody>
    </cdr:sp>
  </cdr:relSizeAnchor>
  <cdr:relSizeAnchor xmlns:cdr="http://schemas.openxmlformats.org/drawingml/2006/chartDrawing">
    <cdr:from>
      <cdr:x>0.64543</cdr:x>
      <cdr:y>0.72645</cdr:y>
    </cdr:from>
    <cdr:to>
      <cdr:x>0.67668</cdr:x>
      <cdr:y>0.79167</cdr:y>
    </cdr:to>
    <cdr:sp macro="" textlink="">
      <cdr:nvSpPr>
        <cdr:cNvPr id="5" name="Text Box 2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114925" y="3819525"/>
          <a:ext cx="247650" cy="342900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45720" tIns="36576" rIns="0" bIns="0" anchor="t" upright="1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 rtl="0">
            <a:defRPr sz="1000"/>
          </a:pPr>
          <a:r>
            <a:rPr lang="nl-NL" sz="1800" b="0" i="0" u="none" strike="noStrike" baseline="0">
              <a:solidFill>
                <a:srgbClr val="000000"/>
              </a:solidFill>
              <a:latin typeface="Arial"/>
              <a:cs typeface="Arial"/>
            </a:rPr>
            <a:t>u</a:t>
          </a:r>
        </a:p>
      </cdr:txBody>
    </cdr:sp>
  </cdr:relSizeAnchor>
</c:userShapes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34</xdr:row>
      <xdr:rowOff>0</xdr:rowOff>
    </xdr:from>
    <xdr:to>
      <xdr:col>22</xdr:col>
      <xdr:colOff>485775</xdr:colOff>
      <xdr:row>67</xdr:row>
      <xdr:rowOff>9525</xdr:rowOff>
    </xdr:to>
    <xdr:graphicFrame macro="">
      <xdr:nvGraphicFramePr>
        <xdr:cNvPr id="36085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139</xdr:row>
      <xdr:rowOff>0</xdr:rowOff>
    </xdr:from>
    <xdr:to>
      <xdr:col>22</xdr:col>
      <xdr:colOff>514350</xdr:colOff>
      <xdr:row>172</xdr:row>
      <xdr:rowOff>38100</xdr:rowOff>
    </xdr:to>
    <xdr:graphicFrame macro="">
      <xdr:nvGraphicFramePr>
        <xdr:cNvPr id="36088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23</xdr:col>
      <xdr:colOff>0</xdr:colOff>
      <xdr:row>0</xdr:row>
      <xdr:rowOff>0</xdr:rowOff>
    </xdr:from>
    <xdr:to>
      <xdr:col>35</xdr:col>
      <xdr:colOff>485775</xdr:colOff>
      <xdr:row>32</xdr:row>
      <xdr:rowOff>152400</xdr:rowOff>
    </xdr:to>
    <xdr:graphicFrame macro="">
      <xdr:nvGraphicFramePr>
        <xdr:cNvPr id="36089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23</xdr:col>
      <xdr:colOff>0</xdr:colOff>
      <xdr:row>50</xdr:row>
      <xdr:rowOff>0</xdr:rowOff>
    </xdr:from>
    <xdr:to>
      <xdr:col>35</xdr:col>
      <xdr:colOff>495300</xdr:colOff>
      <xdr:row>83</xdr:row>
      <xdr:rowOff>38100</xdr:rowOff>
    </xdr:to>
    <xdr:graphicFrame macro="">
      <xdr:nvGraphicFramePr>
        <xdr:cNvPr id="36090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36</xdr:col>
      <xdr:colOff>0</xdr:colOff>
      <xdr:row>0</xdr:row>
      <xdr:rowOff>0</xdr:rowOff>
    </xdr:from>
    <xdr:to>
      <xdr:col>48</xdr:col>
      <xdr:colOff>495300</xdr:colOff>
      <xdr:row>33</xdr:row>
      <xdr:rowOff>0</xdr:rowOff>
    </xdr:to>
    <xdr:graphicFrame macro="">
      <xdr:nvGraphicFramePr>
        <xdr:cNvPr id="36091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50</xdr:col>
      <xdr:colOff>0</xdr:colOff>
      <xdr:row>0</xdr:row>
      <xdr:rowOff>0</xdr:rowOff>
    </xdr:from>
    <xdr:to>
      <xdr:col>62</xdr:col>
      <xdr:colOff>495300</xdr:colOff>
      <xdr:row>33</xdr:row>
      <xdr:rowOff>0</xdr:rowOff>
    </xdr:to>
    <xdr:graphicFrame macro="">
      <xdr:nvGraphicFramePr>
        <xdr:cNvPr id="36092" name="Chart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10</xdr:col>
      <xdr:colOff>0</xdr:colOff>
      <xdr:row>69</xdr:row>
      <xdr:rowOff>0</xdr:rowOff>
    </xdr:from>
    <xdr:to>
      <xdr:col>22</xdr:col>
      <xdr:colOff>485775</xdr:colOff>
      <xdr:row>102</xdr:row>
      <xdr:rowOff>114300</xdr:rowOff>
    </xdr:to>
    <xdr:graphicFrame macro="">
      <xdr:nvGraphicFramePr>
        <xdr:cNvPr id="10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10</xdr:col>
      <xdr:colOff>0</xdr:colOff>
      <xdr:row>104</xdr:row>
      <xdr:rowOff>19050</xdr:rowOff>
    </xdr:from>
    <xdr:to>
      <xdr:col>22</xdr:col>
      <xdr:colOff>485775</xdr:colOff>
      <xdr:row>137</xdr:row>
      <xdr:rowOff>133350</xdr:rowOff>
    </xdr:to>
    <xdr:graphicFrame macro="">
      <xdr:nvGraphicFramePr>
        <xdr:cNvPr id="9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</xdr:wsDr>
</file>

<file path=xl/drawings/drawing13.xml><?xml version="1.0" encoding="utf-8"?>
<c:userShapes xmlns:c="http://schemas.openxmlformats.org/drawingml/2006/chart">
  <cdr:relSizeAnchor xmlns:cdr="http://schemas.openxmlformats.org/drawingml/2006/chartDrawing">
    <cdr:from>
      <cdr:x>0.66178</cdr:x>
      <cdr:y>0.69634</cdr:y>
    </cdr:from>
    <cdr:to>
      <cdr:x>0.73993</cdr:x>
      <cdr:y>0.69634</cdr:y>
    </cdr:to>
    <cdr:sp macro="" textlink="">
      <cdr:nvSpPr>
        <cdr:cNvPr id="2" name="Line 38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5162550" y="3800475"/>
          <a:ext cx="609600" cy="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4925">
          <a:solidFill>
            <a:srgbClr val="000000"/>
          </a:solidFill>
          <a:round/>
          <a:headEnd/>
          <a:tailEnd type="triangle" w="med" len="med"/>
        </a:ln>
      </cdr:spPr>
    </cdr:sp>
  </cdr:relSizeAnchor>
  <cdr:relSizeAnchor xmlns:cdr="http://schemas.openxmlformats.org/drawingml/2006/chartDrawing">
    <cdr:from>
      <cdr:x>0.66178</cdr:x>
      <cdr:y>0.57941</cdr:y>
    </cdr:from>
    <cdr:to>
      <cdr:x>0.70452</cdr:x>
      <cdr:y>0.69808</cdr:y>
    </cdr:to>
    <cdr:sp macro="" textlink="">
      <cdr:nvSpPr>
        <cdr:cNvPr id="3" name="Line 39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5162550" y="3162300"/>
          <a:ext cx="333375" cy="64770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4925">
          <a:solidFill>
            <a:srgbClr val="000000"/>
          </a:solidFill>
          <a:round/>
          <a:headEnd/>
          <a:tailEnd type="triangle" w="med" len="med"/>
        </a:ln>
      </cdr:spPr>
    </cdr:sp>
  </cdr:relSizeAnchor>
  <cdr:relSizeAnchor xmlns:cdr="http://schemas.openxmlformats.org/drawingml/2006/chartDrawing">
    <cdr:from>
      <cdr:x>0.71062</cdr:x>
      <cdr:y>0.54799</cdr:y>
    </cdr:from>
    <cdr:to>
      <cdr:x>0.76068</cdr:x>
      <cdr:y>0.60558</cdr:y>
    </cdr:to>
    <cdr:sp macro="" textlink="">
      <cdr:nvSpPr>
        <cdr:cNvPr id="4" name="Text Box 4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43550" y="2990850"/>
          <a:ext cx="390525" cy="314325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45720" tIns="41148" rIns="0" bIns="0" anchor="t" upright="1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 rtl="0">
            <a:defRPr sz="1000"/>
          </a:pPr>
          <a:r>
            <a:rPr lang="nl-NL" sz="2000" b="0" i="0" u="none" strike="noStrike" baseline="0">
              <a:solidFill>
                <a:srgbClr val="000000"/>
              </a:solidFill>
              <a:latin typeface="Symbol"/>
            </a:rPr>
            <a:t>b</a:t>
          </a:r>
        </a:p>
      </cdr:txBody>
    </cdr:sp>
  </cdr:relSizeAnchor>
  <cdr:relSizeAnchor xmlns:cdr="http://schemas.openxmlformats.org/drawingml/2006/chartDrawing">
    <cdr:from>
      <cdr:x>0.74115</cdr:x>
      <cdr:y>0.65096</cdr:y>
    </cdr:from>
    <cdr:to>
      <cdr:x>0.77289</cdr:x>
      <cdr:y>0.71379</cdr:y>
    </cdr:to>
    <cdr:sp macro="" textlink="">
      <cdr:nvSpPr>
        <cdr:cNvPr id="5" name="Text Box 4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781675" y="3552825"/>
          <a:ext cx="247650" cy="342900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45720" tIns="36576" rIns="0" bIns="0" anchor="t" upright="1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 rtl="0">
            <a:defRPr sz="1000"/>
          </a:pPr>
          <a:r>
            <a:rPr lang="nl-NL" sz="1800" b="0" i="0" u="none" strike="noStrike" baseline="0">
              <a:solidFill>
                <a:srgbClr val="000000"/>
              </a:solidFill>
              <a:latin typeface="Arial"/>
              <a:cs typeface="Arial"/>
            </a:rPr>
            <a:t>u</a:t>
          </a:r>
        </a:p>
      </cdr:txBody>
    </cdr:sp>
  </cdr:relSizeAnchor>
  <cdr:relSizeAnchor xmlns:cdr="http://schemas.openxmlformats.org/drawingml/2006/chartDrawing">
    <cdr:from>
      <cdr:x>0.29548</cdr:x>
      <cdr:y>0.70332</cdr:y>
    </cdr:from>
    <cdr:to>
      <cdr:x>0.37363</cdr:x>
      <cdr:y>0.70332</cdr:y>
    </cdr:to>
    <cdr:sp macro="" textlink="">
      <cdr:nvSpPr>
        <cdr:cNvPr id="6" name="Line 38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2305050" y="3838575"/>
          <a:ext cx="609600" cy="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4925">
          <a:solidFill>
            <a:srgbClr val="000000"/>
          </a:solidFill>
          <a:round/>
          <a:headEnd/>
          <a:tailEnd type="triangle" w="med" len="med"/>
        </a:ln>
      </cdr:spPr>
    </cdr:sp>
  </cdr:relSizeAnchor>
  <cdr:relSizeAnchor xmlns:cdr="http://schemas.openxmlformats.org/drawingml/2006/chartDrawing">
    <cdr:from>
      <cdr:x>0.23565</cdr:x>
      <cdr:y>0.58639</cdr:y>
    </cdr:from>
    <cdr:to>
      <cdr:x>0.29548</cdr:x>
      <cdr:y>0.70506</cdr:y>
    </cdr:to>
    <cdr:sp macro="" textlink="">
      <cdr:nvSpPr>
        <cdr:cNvPr id="7" name="Line 39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838325" y="3200400"/>
          <a:ext cx="466725" cy="64770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4925">
          <a:solidFill>
            <a:srgbClr val="000000"/>
          </a:solidFill>
          <a:round/>
          <a:headEnd/>
          <a:tailEnd type="triangle" w="med" len="med"/>
        </a:ln>
      </cdr:spPr>
    </cdr:sp>
  </cdr:relSizeAnchor>
  <cdr:relSizeAnchor xmlns:cdr="http://schemas.openxmlformats.org/drawingml/2006/chartDrawing">
    <cdr:from>
      <cdr:x>0.2674</cdr:x>
      <cdr:y>0.55672</cdr:y>
    </cdr:from>
    <cdr:to>
      <cdr:x>0.31746</cdr:x>
      <cdr:y>0.61431</cdr:y>
    </cdr:to>
    <cdr:sp macro="" textlink="">
      <cdr:nvSpPr>
        <cdr:cNvPr id="8" name="Text Box 4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085975" y="3038475"/>
          <a:ext cx="390525" cy="314325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45720" tIns="41148" rIns="0" bIns="0" anchor="t" upright="1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 rtl="0">
            <a:defRPr sz="1000"/>
          </a:pPr>
          <a:r>
            <a:rPr lang="nl-NL" sz="2000" b="0" i="0" u="none" strike="noStrike" baseline="0">
              <a:solidFill>
                <a:srgbClr val="000000"/>
              </a:solidFill>
              <a:latin typeface="Symbol"/>
            </a:rPr>
            <a:t>b</a:t>
          </a:r>
        </a:p>
      </cdr:txBody>
    </cdr:sp>
  </cdr:relSizeAnchor>
  <cdr:relSizeAnchor xmlns:cdr="http://schemas.openxmlformats.org/drawingml/2006/chartDrawing">
    <cdr:from>
      <cdr:x>0.37485</cdr:x>
      <cdr:y>0.65794</cdr:y>
    </cdr:from>
    <cdr:to>
      <cdr:x>0.40659</cdr:x>
      <cdr:y>0.72077</cdr:y>
    </cdr:to>
    <cdr:sp macro="" textlink="">
      <cdr:nvSpPr>
        <cdr:cNvPr id="9" name="Text Box 4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924175" y="3590925"/>
          <a:ext cx="247650" cy="342900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45720" tIns="36576" rIns="0" bIns="0" anchor="t" upright="1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 rtl="0">
            <a:defRPr sz="1000"/>
          </a:pPr>
          <a:r>
            <a:rPr lang="nl-NL" sz="1800" b="0" i="0" u="none" strike="noStrike" baseline="0">
              <a:solidFill>
                <a:srgbClr val="000000"/>
              </a:solidFill>
              <a:latin typeface="Arial"/>
              <a:cs typeface="Arial"/>
            </a:rPr>
            <a:t>u</a:t>
          </a:r>
        </a:p>
      </cdr:txBody>
    </cdr:sp>
  </cdr:relSizeAnchor>
</c:userShapes>
</file>

<file path=xl/drawings/drawing14.xml><?xml version="1.0" encoding="utf-8"?>
<c:userShapes xmlns:c="http://schemas.openxmlformats.org/drawingml/2006/chart">
  <cdr:relSizeAnchor xmlns:cdr="http://schemas.openxmlformats.org/drawingml/2006/chartDrawing">
    <cdr:from>
      <cdr:x>0.67643</cdr:x>
      <cdr:y>0.72775</cdr:y>
    </cdr:from>
    <cdr:to>
      <cdr:x>0.75458</cdr:x>
      <cdr:y>0.72775</cdr:y>
    </cdr:to>
    <cdr:sp macro="" textlink="">
      <cdr:nvSpPr>
        <cdr:cNvPr id="2" name="Line 38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5276850" y="3971925"/>
          <a:ext cx="609600" cy="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4925">
          <a:solidFill>
            <a:srgbClr val="000000"/>
          </a:solidFill>
          <a:round/>
          <a:headEnd/>
          <a:tailEnd type="triangle" w="med" len="med"/>
        </a:ln>
      </cdr:spPr>
    </cdr:sp>
  </cdr:relSizeAnchor>
  <cdr:relSizeAnchor xmlns:cdr="http://schemas.openxmlformats.org/drawingml/2006/chartDrawing">
    <cdr:from>
      <cdr:x>0.67643</cdr:x>
      <cdr:y>0.61082</cdr:y>
    </cdr:from>
    <cdr:to>
      <cdr:x>0.71917</cdr:x>
      <cdr:y>0.72949</cdr:y>
    </cdr:to>
    <cdr:sp macro="" textlink="">
      <cdr:nvSpPr>
        <cdr:cNvPr id="3" name="Line 39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5276850" y="3333750"/>
          <a:ext cx="333375" cy="64770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4925">
          <a:solidFill>
            <a:srgbClr val="000000"/>
          </a:solidFill>
          <a:round/>
          <a:headEnd/>
          <a:tailEnd type="triangle" w="med" len="med"/>
        </a:ln>
      </cdr:spPr>
    </cdr:sp>
  </cdr:relSizeAnchor>
  <cdr:relSizeAnchor xmlns:cdr="http://schemas.openxmlformats.org/drawingml/2006/chartDrawing">
    <cdr:from>
      <cdr:x>0.72527</cdr:x>
      <cdr:y>0.57941</cdr:y>
    </cdr:from>
    <cdr:to>
      <cdr:x>0.77534</cdr:x>
      <cdr:y>0.637</cdr:y>
    </cdr:to>
    <cdr:sp macro="" textlink="">
      <cdr:nvSpPr>
        <cdr:cNvPr id="4" name="Text Box 4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657850" y="3162300"/>
          <a:ext cx="390525" cy="314325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45720" tIns="41148" rIns="0" bIns="0" anchor="t" upright="1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 rtl="0">
            <a:defRPr sz="1000"/>
          </a:pPr>
          <a:r>
            <a:rPr lang="nl-NL" sz="2000" b="0" i="0" u="none" strike="noStrike" baseline="0">
              <a:solidFill>
                <a:srgbClr val="000000"/>
              </a:solidFill>
              <a:latin typeface="Symbol"/>
            </a:rPr>
            <a:t>b</a:t>
          </a:r>
        </a:p>
      </cdr:txBody>
    </cdr:sp>
  </cdr:relSizeAnchor>
  <cdr:relSizeAnchor xmlns:cdr="http://schemas.openxmlformats.org/drawingml/2006/chartDrawing">
    <cdr:from>
      <cdr:x>0.7558</cdr:x>
      <cdr:y>0.68237</cdr:y>
    </cdr:from>
    <cdr:to>
      <cdr:x>0.78755</cdr:x>
      <cdr:y>0.7452</cdr:y>
    </cdr:to>
    <cdr:sp macro="" textlink="">
      <cdr:nvSpPr>
        <cdr:cNvPr id="5" name="Text Box 4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895975" y="3724275"/>
          <a:ext cx="247650" cy="342900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45720" tIns="36576" rIns="0" bIns="0" anchor="t" upright="1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 rtl="0">
            <a:defRPr sz="1000"/>
          </a:pPr>
          <a:r>
            <a:rPr lang="nl-NL" sz="1800" b="0" i="0" u="none" strike="noStrike" baseline="0">
              <a:solidFill>
                <a:srgbClr val="000000"/>
              </a:solidFill>
              <a:latin typeface="Arial"/>
              <a:cs typeface="Arial"/>
            </a:rPr>
            <a:t>u</a:t>
          </a:r>
        </a:p>
      </cdr:txBody>
    </cdr:sp>
  </cdr:relSizeAnchor>
  <cdr:relSizeAnchor xmlns:cdr="http://schemas.openxmlformats.org/drawingml/2006/chartDrawing">
    <cdr:from>
      <cdr:x>0.2967</cdr:x>
      <cdr:y>0.71204</cdr:y>
    </cdr:from>
    <cdr:to>
      <cdr:x>0.37485</cdr:x>
      <cdr:y>0.71204</cdr:y>
    </cdr:to>
    <cdr:sp macro="" textlink="">
      <cdr:nvSpPr>
        <cdr:cNvPr id="6" name="Line 38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2314575" y="3886200"/>
          <a:ext cx="609600" cy="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4925">
          <a:solidFill>
            <a:srgbClr val="000000"/>
          </a:solidFill>
          <a:round/>
          <a:headEnd/>
          <a:tailEnd type="triangle" w="med" len="med"/>
        </a:ln>
      </cdr:spPr>
    </cdr:sp>
  </cdr:relSizeAnchor>
  <cdr:relSizeAnchor xmlns:cdr="http://schemas.openxmlformats.org/drawingml/2006/chartDrawing">
    <cdr:from>
      <cdr:x>0.2381</cdr:x>
      <cdr:y>0.60384</cdr:y>
    </cdr:from>
    <cdr:to>
      <cdr:x>0.2967</cdr:x>
      <cdr:y>0.71379</cdr:y>
    </cdr:to>
    <cdr:sp macro="" textlink="">
      <cdr:nvSpPr>
        <cdr:cNvPr id="7" name="Line 39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857376" y="3295649"/>
          <a:ext cx="457200" cy="600075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4925">
          <a:solidFill>
            <a:srgbClr val="000000"/>
          </a:solidFill>
          <a:round/>
          <a:headEnd/>
          <a:tailEnd type="triangle" w="med" len="med"/>
        </a:ln>
      </cdr:spPr>
    </cdr:sp>
  </cdr:relSizeAnchor>
  <cdr:relSizeAnchor xmlns:cdr="http://schemas.openxmlformats.org/drawingml/2006/chartDrawing">
    <cdr:from>
      <cdr:x>0.2674</cdr:x>
      <cdr:y>0.57417</cdr:y>
    </cdr:from>
    <cdr:to>
      <cdr:x>0.31746</cdr:x>
      <cdr:y>0.63176</cdr:y>
    </cdr:to>
    <cdr:sp macro="" textlink="">
      <cdr:nvSpPr>
        <cdr:cNvPr id="8" name="Text Box 4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085975" y="3133725"/>
          <a:ext cx="390525" cy="314325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45720" tIns="41148" rIns="0" bIns="0" anchor="t" upright="1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 rtl="0">
            <a:defRPr sz="1000"/>
          </a:pPr>
          <a:r>
            <a:rPr lang="nl-NL" sz="2000" b="0" i="0" u="none" strike="noStrike" baseline="0">
              <a:solidFill>
                <a:srgbClr val="000000"/>
              </a:solidFill>
              <a:latin typeface="Symbol"/>
            </a:rPr>
            <a:t>b</a:t>
          </a:r>
        </a:p>
      </cdr:txBody>
    </cdr:sp>
  </cdr:relSizeAnchor>
  <cdr:relSizeAnchor xmlns:cdr="http://schemas.openxmlformats.org/drawingml/2006/chartDrawing">
    <cdr:from>
      <cdr:x>0.37607</cdr:x>
      <cdr:y>0.66667</cdr:y>
    </cdr:from>
    <cdr:to>
      <cdr:x>0.40781</cdr:x>
      <cdr:y>0.72949</cdr:y>
    </cdr:to>
    <cdr:sp macro="" textlink="">
      <cdr:nvSpPr>
        <cdr:cNvPr id="9" name="Text Box 4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933700" y="3638550"/>
          <a:ext cx="247650" cy="342900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45720" tIns="36576" rIns="0" bIns="0" anchor="t" upright="1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 rtl="0">
            <a:defRPr sz="1000"/>
          </a:pPr>
          <a:r>
            <a:rPr lang="nl-NL" sz="1800" b="0" i="0" u="none" strike="noStrike" baseline="0">
              <a:solidFill>
                <a:srgbClr val="000000"/>
              </a:solidFill>
              <a:latin typeface="Arial"/>
              <a:cs typeface="Arial"/>
            </a:rPr>
            <a:t>u</a:t>
          </a:r>
        </a:p>
      </cdr:txBody>
    </cdr:sp>
  </cdr:relSizeAnchor>
</c:userShapes>
</file>

<file path=xl/drawings/drawing15.xml><?xml version="1.0" encoding="utf-8"?>
<c:userShapes xmlns:c="http://schemas.openxmlformats.org/drawingml/2006/chart">
  <cdr:relSizeAnchor xmlns:cdr="http://schemas.openxmlformats.org/drawingml/2006/chartDrawing">
    <cdr:from>
      <cdr:x>0.67643</cdr:x>
      <cdr:y>0.72775</cdr:y>
    </cdr:from>
    <cdr:to>
      <cdr:x>0.75458</cdr:x>
      <cdr:y>0.72775</cdr:y>
    </cdr:to>
    <cdr:sp macro="" textlink="">
      <cdr:nvSpPr>
        <cdr:cNvPr id="2" name="Line 38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5276850" y="3971925"/>
          <a:ext cx="609600" cy="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4925">
          <a:solidFill>
            <a:srgbClr val="000000"/>
          </a:solidFill>
          <a:round/>
          <a:headEnd/>
          <a:tailEnd type="triangle" w="med" len="med"/>
        </a:ln>
      </cdr:spPr>
    </cdr:sp>
  </cdr:relSizeAnchor>
  <cdr:relSizeAnchor xmlns:cdr="http://schemas.openxmlformats.org/drawingml/2006/chartDrawing">
    <cdr:from>
      <cdr:x>0.67643</cdr:x>
      <cdr:y>0.61082</cdr:y>
    </cdr:from>
    <cdr:to>
      <cdr:x>0.71917</cdr:x>
      <cdr:y>0.72949</cdr:y>
    </cdr:to>
    <cdr:sp macro="" textlink="">
      <cdr:nvSpPr>
        <cdr:cNvPr id="3" name="Line 39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5276850" y="3333750"/>
          <a:ext cx="333375" cy="64770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4925">
          <a:solidFill>
            <a:srgbClr val="000000"/>
          </a:solidFill>
          <a:round/>
          <a:headEnd/>
          <a:tailEnd type="triangle" w="med" len="med"/>
        </a:ln>
      </cdr:spPr>
    </cdr:sp>
  </cdr:relSizeAnchor>
  <cdr:relSizeAnchor xmlns:cdr="http://schemas.openxmlformats.org/drawingml/2006/chartDrawing">
    <cdr:from>
      <cdr:x>0.72527</cdr:x>
      <cdr:y>0.57941</cdr:y>
    </cdr:from>
    <cdr:to>
      <cdr:x>0.77534</cdr:x>
      <cdr:y>0.637</cdr:y>
    </cdr:to>
    <cdr:sp macro="" textlink="">
      <cdr:nvSpPr>
        <cdr:cNvPr id="4" name="Text Box 4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657850" y="3162300"/>
          <a:ext cx="390525" cy="314325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45720" tIns="41148" rIns="0" bIns="0" anchor="t" upright="1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 rtl="0">
            <a:defRPr sz="1000"/>
          </a:pPr>
          <a:r>
            <a:rPr lang="nl-NL" sz="2000" b="0" i="0" u="none" strike="noStrike" baseline="0">
              <a:solidFill>
                <a:srgbClr val="000000"/>
              </a:solidFill>
              <a:latin typeface="Symbol"/>
            </a:rPr>
            <a:t>b</a:t>
          </a:r>
        </a:p>
      </cdr:txBody>
    </cdr:sp>
  </cdr:relSizeAnchor>
  <cdr:relSizeAnchor xmlns:cdr="http://schemas.openxmlformats.org/drawingml/2006/chartDrawing">
    <cdr:from>
      <cdr:x>0.7558</cdr:x>
      <cdr:y>0.68237</cdr:y>
    </cdr:from>
    <cdr:to>
      <cdr:x>0.78755</cdr:x>
      <cdr:y>0.7452</cdr:y>
    </cdr:to>
    <cdr:sp macro="" textlink="">
      <cdr:nvSpPr>
        <cdr:cNvPr id="5" name="Text Box 4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895975" y="3724275"/>
          <a:ext cx="247650" cy="342900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45720" tIns="36576" rIns="0" bIns="0" anchor="t" upright="1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 rtl="0">
            <a:defRPr sz="1000"/>
          </a:pPr>
          <a:r>
            <a:rPr lang="nl-NL" sz="1800" b="0" i="0" u="none" strike="noStrike" baseline="0">
              <a:solidFill>
                <a:srgbClr val="000000"/>
              </a:solidFill>
              <a:latin typeface="Arial"/>
              <a:cs typeface="Arial"/>
            </a:rPr>
            <a:t>u</a:t>
          </a:r>
        </a:p>
      </cdr:txBody>
    </cdr:sp>
  </cdr:relSizeAnchor>
  <cdr:relSizeAnchor xmlns:cdr="http://schemas.openxmlformats.org/drawingml/2006/chartDrawing">
    <cdr:from>
      <cdr:x>0.2967</cdr:x>
      <cdr:y>0.71204</cdr:y>
    </cdr:from>
    <cdr:to>
      <cdr:x>0.37485</cdr:x>
      <cdr:y>0.71204</cdr:y>
    </cdr:to>
    <cdr:sp macro="" textlink="">
      <cdr:nvSpPr>
        <cdr:cNvPr id="6" name="Line 38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2314575" y="3886200"/>
          <a:ext cx="609600" cy="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4925">
          <a:solidFill>
            <a:srgbClr val="000000"/>
          </a:solidFill>
          <a:round/>
          <a:headEnd/>
          <a:tailEnd type="triangle" w="med" len="med"/>
        </a:ln>
      </cdr:spPr>
    </cdr:sp>
  </cdr:relSizeAnchor>
  <cdr:relSizeAnchor xmlns:cdr="http://schemas.openxmlformats.org/drawingml/2006/chartDrawing">
    <cdr:from>
      <cdr:x>0.2381</cdr:x>
      <cdr:y>0.60384</cdr:y>
    </cdr:from>
    <cdr:to>
      <cdr:x>0.2967</cdr:x>
      <cdr:y>0.71379</cdr:y>
    </cdr:to>
    <cdr:sp macro="" textlink="">
      <cdr:nvSpPr>
        <cdr:cNvPr id="7" name="Line 39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857376" y="3295649"/>
          <a:ext cx="457200" cy="600075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4925">
          <a:solidFill>
            <a:srgbClr val="000000"/>
          </a:solidFill>
          <a:round/>
          <a:headEnd/>
          <a:tailEnd type="triangle" w="med" len="med"/>
        </a:ln>
      </cdr:spPr>
    </cdr:sp>
  </cdr:relSizeAnchor>
  <cdr:relSizeAnchor xmlns:cdr="http://schemas.openxmlformats.org/drawingml/2006/chartDrawing">
    <cdr:from>
      <cdr:x>0.2674</cdr:x>
      <cdr:y>0.57417</cdr:y>
    </cdr:from>
    <cdr:to>
      <cdr:x>0.31746</cdr:x>
      <cdr:y>0.63176</cdr:y>
    </cdr:to>
    <cdr:sp macro="" textlink="">
      <cdr:nvSpPr>
        <cdr:cNvPr id="8" name="Text Box 4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085975" y="3133725"/>
          <a:ext cx="390525" cy="314325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45720" tIns="41148" rIns="0" bIns="0" anchor="t" upright="1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 rtl="0">
            <a:defRPr sz="1000"/>
          </a:pPr>
          <a:r>
            <a:rPr lang="nl-NL" sz="2000" b="0" i="0" u="none" strike="noStrike" baseline="0">
              <a:solidFill>
                <a:srgbClr val="000000"/>
              </a:solidFill>
              <a:latin typeface="Symbol"/>
            </a:rPr>
            <a:t>b</a:t>
          </a:r>
        </a:p>
      </cdr:txBody>
    </cdr:sp>
  </cdr:relSizeAnchor>
  <cdr:relSizeAnchor xmlns:cdr="http://schemas.openxmlformats.org/drawingml/2006/chartDrawing">
    <cdr:from>
      <cdr:x>0.37607</cdr:x>
      <cdr:y>0.66667</cdr:y>
    </cdr:from>
    <cdr:to>
      <cdr:x>0.40781</cdr:x>
      <cdr:y>0.72949</cdr:y>
    </cdr:to>
    <cdr:sp macro="" textlink="">
      <cdr:nvSpPr>
        <cdr:cNvPr id="9" name="Text Box 4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933700" y="3638550"/>
          <a:ext cx="247650" cy="342900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45720" tIns="36576" rIns="0" bIns="0" anchor="t" upright="1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 rtl="0">
            <a:defRPr sz="1000"/>
          </a:pPr>
          <a:r>
            <a:rPr lang="nl-NL" sz="1800" b="0" i="0" u="none" strike="noStrike" baseline="0">
              <a:solidFill>
                <a:srgbClr val="000000"/>
              </a:solidFill>
              <a:latin typeface="Arial"/>
              <a:cs typeface="Arial"/>
            </a:rPr>
            <a:t>u</a:t>
          </a:r>
        </a:p>
      </cdr:txBody>
    </cdr:sp>
  </cdr:relSizeAnchor>
</c:userShapes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0.88086</cdr:x>
      <cdr:y>0.59273</cdr:y>
    </cdr:from>
    <cdr:to>
      <cdr:x>0.95051</cdr:x>
      <cdr:y>0.64575</cdr:y>
    </cdr:to>
    <cdr:sp macro="" textlink="">
      <cdr:nvSpPr>
        <cdr:cNvPr id="1433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963896" y="3105150"/>
          <a:ext cx="550636" cy="27775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45720" tIns="36576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nl-NL" sz="1800" b="0" i="0" u="none" strike="noStrike" baseline="0">
              <a:solidFill>
                <a:srgbClr val="000000"/>
              </a:solidFill>
              <a:latin typeface="Arial"/>
              <a:cs typeface="Arial"/>
            </a:rPr>
            <a:t>90%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0.83097</cdr:x>
      <cdr:y>0.58665</cdr:y>
    </cdr:from>
    <cdr:to>
      <cdr:x>0.90483</cdr:x>
      <cdr:y>0.63943</cdr:y>
    </cdr:to>
    <cdr:sp macro="" textlink="">
      <cdr:nvSpPr>
        <cdr:cNvPr id="1740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588474" y="3087670"/>
          <a:ext cx="585259" cy="27748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45720" tIns="36576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nl-NL" sz="1800" b="0" i="0" u="none" strike="noStrike" baseline="0">
              <a:solidFill>
                <a:srgbClr val="000000"/>
              </a:solidFill>
              <a:latin typeface="Arial"/>
              <a:cs typeface="Arial"/>
            </a:rPr>
            <a:t>90%</a:t>
          </a: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0.86078</cdr:x>
      <cdr:y>0.58871</cdr:y>
    </cdr:from>
    <cdr:to>
      <cdr:x>0.93463</cdr:x>
      <cdr:y>0.64173</cdr:y>
    </cdr:to>
    <cdr:sp macro="" textlink="">
      <cdr:nvSpPr>
        <cdr:cNvPr id="2048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821494" y="3095328"/>
          <a:ext cx="585247" cy="27876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45720" tIns="36576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nl-NL" sz="1800" b="0" i="0" u="none" strike="noStrike" baseline="0">
              <a:solidFill>
                <a:srgbClr val="000000"/>
              </a:solidFill>
              <a:latin typeface="Arial"/>
              <a:cs typeface="Arial"/>
            </a:rPr>
            <a:t>90%</a:t>
          </a:r>
        </a:p>
      </cdr:txBody>
    </cdr:sp>
  </cdr:relSizeAnchor>
</c:userShapes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0.82978</cdr:x>
      <cdr:y>0.58715</cdr:y>
    </cdr:from>
    <cdr:to>
      <cdr:x>0.90364</cdr:x>
      <cdr:y>0.63993</cdr:y>
    </cdr:to>
    <cdr:sp macro="" textlink="">
      <cdr:nvSpPr>
        <cdr:cNvPr id="3379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604381" y="3101467"/>
          <a:ext cx="586683" cy="27851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45720" tIns="36576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nl-NL" sz="1800" b="0" i="0" u="none" strike="noStrike" baseline="0">
              <a:solidFill>
                <a:srgbClr val="000000"/>
              </a:solidFill>
              <a:latin typeface="Arial"/>
              <a:cs typeface="Arial"/>
            </a:rPr>
            <a:t>90%</a:t>
          </a: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0.5024</cdr:x>
      <cdr:y>0.75181</cdr:y>
    </cdr:from>
    <cdr:to>
      <cdr:x>0.57933</cdr:x>
      <cdr:y>0.75181</cdr:y>
    </cdr:to>
    <cdr:sp macro="" textlink="">
      <cdr:nvSpPr>
        <cdr:cNvPr id="16" name="Line 18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3981450" y="3952875"/>
          <a:ext cx="609600" cy="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4925">
          <a:solidFill>
            <a:srgbClr val="000000"/>
          </a:solidFill>
          <a:round/>
          <a:headEnd/>
          <a:tailEnd type="triangle" w="med" len="med"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nl-NL"/>
        </a:p>
      </cdr:txBody>
    </cdr:sp>
  </cdr:relSizeAnchor>
  <cdr:relSizeAnchor xmlns:cdr="http://schemas.openxmlformats.org/drawingml/2006/chartDrawing">
    <cdr:from>
      <cdr:x>0.5024</cdr:x>
      <cdr:y>0.61413</cdr:y>
    </cdr:from>
    <cdr:to>
      <cdr:x>0.5024</cdr:x>
      <cdr:y>0.75362</cdr:y>
    </cdr:to>
    <cdr:sp macro="" textlink="">
      <cdr:nvSpPr>
        <cdr:cNvPr id="17" name="Line 19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3981450" y="3228975"/>
          <a:ext cx="0" cy="733425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4925">
          <a:solidFill>
            <a:srgbClr val="000000"/>
          </a:solidFill>
          <a:round/>
          <a:headEnd/>
          <a:tailEnd type="triangle" w="med" len="med"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nl-NL"/>
        </a:p>
      </cdr:txBody>
    </cdr:sp>
  </cdr:relSizeAnchor>
  <cdr:relSizeAnchor xmlns:cdr="http://schemas.openxmlformats.org/drawingml/2006/chartDrawing">
    <cdr:from>
      <cdr:x>0.51442</cdr:x>
      <cdr:y>0.59058</cdr:y>
    </cdr:from>
    <cdr:to>
      <cdr:x>0.5637</cdr:x>
      <cdr:y>0.65036</cdr:y>
    </cdr:to>
    <cdr:sp macro="" textlink="">
      <cdr:nvSpPr>
        <cdr:cNvPr id="18" name="Text Box 2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76700" y="3105150"/>
          <a:ext cx="390525" cy="314325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45720" tIns="41148" rIns="0" bIns="0" anchor="t" upright="1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 rtl="0">
            <a:defRPr sz="1000"/>
          </a:pPr>
          <a:r>
            <a:rPr lang="nl-NL" sz="2000" b="0" i="0" u="none" strike="noStrike" baseline="0">
              <a:solidFill>
                <a:srgbClr val="000000"/>
              </a:solidFill>
              <a:latin typeface="Symbol"/>
            </a:rPr>
            <a:t>b</a:t>
          </a:r>
        </a:p>
      </cdr:txBody>
    </cdr:sp>
  </cdr:relSizeAnchor>
  <cdr:relSizeAnchor xmlns:cdr="http://schemas.openxmlformats.org/drawingml/2006/chartDrawing">
    <cdr:from>
      <cdr:x>0.5637</cdr:x>
      <cdr:y>0.70471</cdr:y>
    </cdr:from>
    <cdr:to>
      <cdr:x>0.59495</cdr:x>
      <cdr:y>0.76993</cdr:y>
    </cdr:to>
    <cdr:sp macro="" textlink="">
      <cdr:nvSpPr>
        <cdr:cNvPr id="19" name="Text Box 2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67225" y="3705225"/>
          <a:ext cx="247650" cy="342900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45720" tIns="36576" rIns="0" bIns="0" anchor="t" upright="1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 rtl="0">
            <a:defRPr sz="1000"/>
          </a:pPr>
          <a:r>
            <a:rPr lang="nl-NL" sz="1800" b="0" i="0" u="none" strike="noStrike" baseline="0">
              <a:solidFill>
                <a:srgbClr val="000000"/>
              </a:solidFill>
              <a:latin typeface="Arial"/>
              <a:cs typeface="Arial"/>
            </a:rPr>
            <a:t>u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0.48918</cdr:x>
      <cdr:y>0.75543</cdr:y>
    </cdr:from>
    <cdr:to>
      <cdr:x>0.56611</cdr:x>
      <cdr:y>0.75543</cdr:y>
    </cdr:to>
    <cdr:sp macro="" textlink="">
      <cdr:nvSpPr>
        <cdr:cNvPr id="2" name="Line 3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3876675" y="3971925"/>
          <a:ext cx="609600" cy="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4925">
          <a:solidFill>
            <a:srgbClr val="000000"/>
          </a:solidFill>
          <a:round/>
          <a:headEnd/>
          <a:tailEnd type="triangle" w="med" len="med"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nl-NL"/>
        </a:p>
      </cdr:txBody>
    </cdr:sp>
  </cdr:relSizeAnchor>
  <cdr:relSizeAnchor xmlns:cdr="http://schemas.openxmlformats.org/drawingml/2006/chartDrawing">
    <cdr:from>
      <cdr:x>0.48918</cdr:x>
      <cdr:y>0.62138</cdr:y>
    </cdr:from>
    <cdr:to>
      <cdr:x>0.50962</cdr:x>
      <cdr:y>0.75725</cdr:y>
    </cdr:to>
    <cdr:sp macro="" textlink="">
      <cdr:nvSpPr>
        <cdr:cNvPr id="3" name="Line 3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3876675" y="3267075"/>
          <a:ext cx="161925" cy="714375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4925">
          <a:solidFill>
            <a:srgbClr val="000000"/>
          </a:solidFill>
          <a:round/>
          <a:headEnd/>
          <a:tailEnd type="triangle" w="med" len="med"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nl-NL"/>
        </a:p>
      </cdr:txBody>
    </cdr:sp>
  </cdr:relSizeAnchor>
  <cdr:relSizeAnchor xmlns:cdr="http://schemas.openxmlformats.org/drawingml/2006/chartDrawing">
    <cdr:from>
      <cdr:x>0.52764</cdr:x>
      <cdr:y>0.5942</cdr:y>
    </cdr:from>
    <cdr:to>
      <cdr:x>0.57692</cdr:x>
      <cdr:y>0.65399</cdr:y>
    </cdr:to>
    <cdr:sp macro="" textlink="">
      <cdr:nvSpPr>
        <cdr:cNvPr id="4" name="Text Box 3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181475" y="3124200"/>
          <a:ext cx="390525" cy="314325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45720" tIns="41148" rIns="0" bIns="0" anchor="t" upright="1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 rtl="0">
            <a:defRPr sz="1000"/>
          </a:pPr>
          <a:r>
            <a:rPr lang="nl-NL" sz="2000" b="0" i="0" u="none" strike="noStrike" baseline="0">
              <a:solidFill>
                <a:srgbClr val="000000"/>
              </a:solidFill>
              <a:latin typeface="Symbol"/>
            </a:rPr>
            <a:t>b</a:t>
          </a:r>
        </a:p>
      </cdr:txBody>
    </cdr:sp>
  </cdr:relSizeAnchor>
  <cdr:relSizeAnchor xmlns:cdr="http://schemas.openxmlformats.org/drawingml/2006/chartDrawing">
    <cdr:from>
      <cdr:x>0.56731</cdr:x>
      <cdr:y>0.70833</cdr:y>
    </cdr:from>
    <cdr:to>
      <cdr:x>0.59856</cdr:x>
      <cdr:y>0.77355</cdr:y>
    </cdr:to>
    <cdr:sp macro="" textlink="">
      <cdr:nvSpPr>
        <cdr:cNvPr id="5" name="Text Box 3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95800" y="3724275"/>
          <a:ext cx="247650" cy="342900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45720" tIns="36576" rIns="0" bIns="0" anchor="t" upright="1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 rtl="0">
            <a:defRPr sz="1000"/>
          </a:pPr>
          <a:r>
            <a:rPr lang="nl-NL" sz="1800" b="0" i="0" u="none" strike="noStrike" baseline="0">
              <a:solidFill>
                <a:srgbClr val="000000"/>
              </a:solidFill>
              <a:latin typeface="Arial"/>
              <a:cs typeface="Arial"/>
            </a:rPr>
            <a:t>u</a:t>
          </a:r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0.52764</cdr:x>
      <cdr:y>0.77174</cdr:y>
    </cdr:from>
    <cdr:to>
      <cdr:x>0.60457</cdr:x>
      <cdr:y>0.77174</cdr:y>
    </cdr:to>
    <cdr:sp macro="" textlink="">
      <cdr:nvSpPr>
        <cdr:cNvPr id="2" name="Line 38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4181475" y="4057650"/>
          <a:ext cx="609600" cy="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4925">
          <a:solidFill>
            <a:srgbClr val="000000"/>
          </a:solidFill>
          <a:round/>
          <a:headEnd/>
          <a:tailEnd type="triangle" w="med" len="med"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nl-NL"/>
        </a:p>
      </cdr:txBody>
    </cdr:sp>
  </cdr:relSizeAnchor>
  <cdr:relSizeAnchor xmlns:cdr="http://schemas.openxmlformats.org/drawingml/2006/chartDrawing">
    <cdr:from>
      <cdr:x>0.52764</cdr:x>
      <cdr:y>0.65036</cdr:y>
    </cdr:from>
    <cdr:to>
      <cdr:x>0.56971</cdr:x>
      <cdr:y>0.77355</cdr:y>
    </cdr:to>
    <cdr:sp macro="" textlink="">
      <cdr:nvSpPr>
        <cdr:cNvPr id="3" name="Line 39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4181475" y="3419475"/>
          <a:ext cx="333375" cy="64770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4925">
          <a:solidFill>
            <a:srgbClr val="000000"/>
          </a:solidFill>
          <a:round/>
          <a:headEnd/>
          <a:tailEnd type="triangle" w="med" len="med"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nl-NL"/>
        </a:p>
      </cdr:txBody>
    </cdr:sp>
  </cdr:relSizeAnchor>
  <cdr:relSizeAnchor xmlns:cdr="http://schemas.openxmlformats.org/drawingml/2006/chartDrawing">
    <cdr:from>
      <cdr:x>0.57572</cdr:x>
      <cdr:y>0.61775</cdr:y>
    </cdr:from>
    <cdr:to>
      <cdr:x>0.625</cdr:x>
      <cdr:y>0.67754</cdr:y>
    </cdr:to>
    <cdr:sp macro="" textlink="">
      <cdr:nvSpPr>
        <cdr:cNvPr id="4" name="Text Box 4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562475" y="3248025"/>
          <a:ext cx="390525" cy="314325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45720" tIns="41148" rIns="0" bIns="0" anchor="t" upright="1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 rtl="0">
            <a:defRPr sz="1000"/>
          </a:pPr>
          <a:r>
            <a:rPr lang="nl-NL" sz="2000" b="0" i="0" u="none" strike="noStrike" baseline="0">
              <a:solidFill>
                <a:srgbClr val="000000"/>
              </a:solidFill>
              <a:latin typeface="Symbol"/>
            </a:rPr>
            <a:t>b</a:t>
          </a:r>
        </a:p>
      </cdr:txBody>
    </cdr:sp>
  </cdr:relSizeAnchor>
  <cdr:relSizeAnchor xmlns:cdr="http://schemas.openxmlformats.org/drawingml/2006/chartDrawing">
    <cdr:from>
      <cdr:x>0.60577</cdr:x>
      <cdr:y>0.72464</cdr:y>
    </cdr:from>
    <cdr:to>
      <cdr:x>0.63702</cdr:x>
      <cdr:y>0.78986</cdr:y>
    </cdr:to>
    <cdr:sp macro="" textlink="">
      <cdr:nvSpPr>
        <cdr:cNvPr id="5" name="Text Box 4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800600" y="3810000"/>
          <a:ext cx="247650" cy="342900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45720" tIns="36576" rIns="0" bIns="0" anchor="t" upright="1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 rtl="0">
            <a:defRPr sz="1000"/>
          </a:pPr>
          <a:r>
            <a:rPr lang="nl-NL" sz="1800" b="0" i="0" u="none" strike="noStrike" baseline="0">
              <a:solidFill>
                <a:srgbClr val="000000"/>
              </a:solidFill>
              <a:latin typeface="Arial"/>
              <a:cs typeface="Arial"/>
            </a:rPr>
            <a:t>u</a:t>
          </a:r>
        </a:p>
      </cdr:txBody>
    </cdr:sp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0.56611</cdr:x>
      <cdr:y>0.81341</cdr:y>
    </cdr:from>
    <cdr:to>
      <cdr:x>0.64303</cdr:x>
      <cdr:y>0.81341</cdr:y>
    </cdr:to>
    <cdr:sp macro="" textlink="">
      <cdr:nvSpPr>
        <cdr:cNvPr id="2" name="Line 2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4486275" y="4276725"/>
          <a:ext cx="609600" cy="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4925">
          <a:solidFill>
            <a:srgbClr val="000000"/>
          </a:solidFill>
          <a:round/>
          <a:headEnd/>
          <a:tailEnd type="triangle" w="med" len="med"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nl-NL"/>
        </a:p>
      </cdr:txBody>
    </cdr:sp>
  </cdr:relSizeAnchor>
  <cdr:relSizeAnchor xmlns:cdr="http://schemas.openxmlformats.org/drawingml/2006/chartDrawing">
    <cdr:from>
      <cdr:x>0.51563</cdr:x>
      <cdr:y>0.69928</cdr:y>
    </cdr:from>
    <cdr:to>
      <cdr:x>0.56731</cdr:x>
      <cdr:y>0.81522</cdr:y>
    </cdr:to>
    <cdr:sp macro="" textlink="">
      <cdr:nvSpPr>
        <cdr:cNvPr id="3" name="Line 27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086225" y="3676650"/>
          <a:ext cx="409575" cy="60960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4925">
          <a:solidFill>
            <a:srgbClr val="000000"/>
          </a:solidFill>
          <a:round/>
          <a:headEnd/>
          <a:tailEnd type="triangle" w="med" len="med"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nl-NL"/>
        </a:p>
      </cdr:txBody>
    </cdr:sp>
  </cdr:relSizeAnchor>
  <cdr:relSizeAnchor xmlns:cdr="http://schemas.openxmlformats.org/drawingml/2006/chartDrawing">
    <cdr:from>
      <cdr:x>0.53125</cdr:x>
      <cdr:y>0.66486</cdr:y>
    </cdr:from>
    <cdr:to>
      <cdr:x>0.58053</cdr:x>
      <cdr:y>0.72464</cdr:y>
    </cdr:to>
    <cdr:sp macro="" textlink="">
      <cdr:nvSpPr>
        <cdr:cNvPr id="4" name="Text Box 2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210050" y="3495675"/>
          <a:ext cx="390525" cy="314325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45720" tIns="41148" rIns="0" bIns="0" anchor="t" upright="1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 rtl="0">
            <a:defRPr sz="1000"/>
          </a:pPr>
          <a:r>
            <a:rPr lang="nl-NL" sz="2000" b="0" i="0" u="none" strike="noStrike" baseline="0">
              <a:solidFill>
                <a:srgbClr val="000000"/>
              </a:solidFill>
              <a:latin typeface="Symbol"/>
            </a:rPr>
            <a:t>b</a:t>
          </a:r>
        </a:p>
      </cdr:txBody>
    </cdr:sp>
  </cdr:relSizeAnchor>
  <cdr:relSizeAnchor xmlns:cdr="http://schemas.openxmlformats.org/drawingml/2006/chartDrawing">
    <cdr:from>
      <cdr:x>0.64543</cdr:x>
      <cdr:y>0.7663</cdr:y>
    </cdr:from>
    <cdr:to>
      <cdr:x>0.67668</cdr:x>
      <cdr:y>0.83152</cdr:y>
    </cdr:to>
    <cdr:sp macro="" textlink="">
      <cdr:nvSpPr>
        <cdr:cNvPr id="5" name="Text Box 2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114925" y="4029075"/>
          <a:ext cx="247650" cy="342900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45720" tIns="36576" rIns="0" bIns="0" anchor="t" upright="1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 rtl="0">
            <a:defRPr sz="1000"/>
          </a:pPr>
          <a:r>
            <a:rPr lang="nl-NL" sz="1800" b="0" i="0" u="none" strike="noStrike" baseline="0">
              <a:solidFill>
                <a:srgbClr val="000000"/>
              </a:solidFill>
              <a:latin typeface="Arial"/>
              <a:cs typeface="Arial"/>
            </a:rPr>
            <a:t>u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>
    <tabColor indexed="10"/>
  </sheetPr>
  <dimension ref="A1:BI163"/>
  <sheetViews>
    <sheetView tabSelected="1" topLeftCell="R1" zoomScaleNormal="100" workbookViewId="0">
      <pane ySplit="4" topLeftCell="A17" activePane="bottomLeft" state="frozen"/>
      <selection pane="bottomLeft" activeCell="AC4" sqref="AC4"/>
    </sheetView>
  </sheetViews>
  <sheetFormatPr defaultColWidth="11.42578125" defaultRowHeight="12.75"/>
  <cols>
    <col min="1" max="1" width="10.85546875" style="17" customWidth="1"/>
    <col min="2" max="2" width="7" style="17" customWidth="1"/>
    <col min="3" max="3" width="5.28515625" style="17" bestFit="1" customWidth="1"/>
    <col min="4" max="4" width="20.140625" style="18" bestFit="1" customWidth="1"/>
    <col min="5" max="5" width="9" style="17" customWidth="1"/>
    <col min="6" max="6" width="7.42578125" style="17" bestFit="1" customWidth="1"/>
    <col min="7" max="7" width="16.42578125" style="17" customWidth="1"/>
    <col min="8" max="8" width="8.140625" style="17" customWidth="1"/>
    <col min="9" max="9" width="6.85546875" style="24" customWidth="1"/>
    <col min="10" max="10" width="7.42578125" style="24" customWidth="1"/>
    <col min="11" max="11" width="5.5703125" style="17" bestFit="1" customWidth="1"/>
    <col min="12" max="13" width="11.85546875" style="17" customWidth="1"/>
    <col min="14" max="14" width="5.28515625" style="17" bestFit="1" customWidth="1"/>
    <col min="15" max="15" width="6.42578125" style="79" customWidth="1"/>
    <col min="16" max="18" width="5.5703125" style="73" bestFit="1" customWidth="1"/>
    <col min="19" max="20" width="6.42578125" style="79" customWidth="1"/>
    <col min="21" max="21" width="5.5703125" style="73" bestFit="1" customWidth="1"/>
    <col min="22" max="22" width="6.42578125" style="79" customWidth="1"/>
    <col min="23" max="25" width="5.5703125" style="73" bestFit="1" customWidth="1"/>
    <col min="26" max="27" width="6.42578125" style="79" customWidth="1"/>
    <col min="28" max="28" width="5.5703125" style="73" bestFit="1" customWidth="1"/>
    <col min="29" max="29" width="6.42578125" style="79" customWidth="1"/>
    <col min="30" max="32" width="5.5703125" style="73" bestFit="1" customWidth="1"/>
    <col min="33" max="34" width="6.42578125" style="79" customWidth="1"/>
    <col min="35" max="35" width="5.5703125" style="73" bestFit="1" customWidth="1"/>
    <col min="36" max="37" width="6" style="17" customWidth="1"/>
    <col min="38" max="38" width="5.28515625" style="17" bestFit="1" customWidth="1"/>
    <col min="39" max="39" width="7.85546875" style="17" customWidth="1"/>
    <col min="40" max="40" width="8" style="73" customWidth="1"/>
    <col min="41" max="41" width="8.28515625" style="73" customWidth="1"/>
    <col min="42" max="42" width="8.140625" style="17" customWidth="1"/>
    <col min="43" max="43" width="7.7109375" style="17" customWidth="1"/>
    <col min="44" max="44" width="8" style="17" customWidth="1"/>
    <col min="45" max="45" width="8.140625" style="17" customWidth="1"/>
    <col min="46" max="46" width="7.5703125" style="17" customWidth="1"/>
    <col min="47" max="47" width="8.28515625" style="17" customWidth="1"/>
    <col min="48" max="48" width="7.85546875" style="17" customWidth="1"/>
    <col min="49" max="50" width="8" style="17" customWidth="1"/>
    <col min="51" max="51" width="5.28515625" style="17" bestFit="1" customWidth="1"/>
    <col min="52" max="53" width="8.140625" style="17" customWidth="1"/>
    <col min="54" max="54" width="8.7109375" style="17" customWidth="1"/>
    <col min="55" max="55" width="8.42578125" style="17" customWidth="1"/>
    <col min="56" max="56" width="7.5703125" style="17" customWidth="1"/>
    <col min="57" max="57" width="8.5703125" style="17" customWidth="1"/>
    <col min="58" max="16384" width="11.42578125" style="17"/>
  </cols>
  <sheetData>
    <row r="1" spans="1:61" s="14" customFormat="1" ht="13.5" thickBot="1">
      <c r="A1" s="15"/>
      <c r="D1" s="15"/>
      <c r="I1" s="23"/>
      <c r="J1" s="23"/>
      <c r="O1" s="85"/>
      <c r="P1" s="73"/>
      <c r="Q1" s="73"/>
      <c r="R1" s="73"/>
      <c r="S1" s="85"/>
      <c r="T1" s="85"/>
      <c r="U1" s="73"/>
      <c r="V1" s="85"/>
      <c r="W1" s="73"/>
      <c r="X1" s="73"/>
      <c r="Y1" s="73"/>
      <c r="Z1" s="85"/>
      <c r="AA1" s="85"/>
      <c r="AB1" s="73"/>
      <c r="AC1" s="85"/>
      <c r="AD1" s="73"/>
      <c r="AE1" s="73"/>
      <c r="AF1" s="73"/>
      <c r="AG1" s="85"/>
      <c r="AH1" s="85"/>
      <c r="AI1" s="73"/>
      <c r="AN1" s="73"/>
      <c r="AO1" s="73"/>
    </row>
    <row r="2" spans="1:61" s="14" customFormat="1">
      <c r="B2" s="88"/>
      <c r="C2" s="11"/>
      <c r="D2" s="89"/>
      <c r="E2" s="11"/>
      <c r="F2" s="11"/>
      <c r="G2" s="11"/>
      <c r="H2" s="11"/>
      <c r="I2" s="100"/>
      <c r="J2" s="105" t="s">
        <v>169</v>
      </c>
      <c r="K2" s="11"/>
      <c r="L2" s="12"/>
      <c r="N2" s="88"/>
      <c r="O2" s="90" t="s">
        <v>201</v>
      </c>
      <c r="P2" s="91"/>
      <c r="Q2" s="91"/>
      <c r="R2" s="91"/>
      <c r="S2" s="90"/>
      <c r="T2" s="90"/>
      <c r="U2" s="111"/>
      <c r="V2" s="43"/>
      <c r="W2" s="91"/>
      <c r="X2" s="91"/>
      <c r="Y2" s="91"/>
      <c r="Z2" s="90"/>
      <c r="AA2" s="90"/>
      <c r="AB2" s="111"/>
      <c r="AC2" s="43"/>
      <c r="AD2" s="91"/>
      <c r="AE2" s="91"/>
      <c r="AF2" s="91"/>
      <c r="AG2" s="90"/>
      <c r="AH2" s="90"/>
      <c r="AI2" s="111"/>
      <c r="AJ2" s="49"/>
      <c r="AK2" s="275"/>
      <c r="AL2" s="88"/>
      <c r="AM2" s="43"/>
      <c r="AN2" s="91"/>
      <c r="AO2" s="111"/>
      <c r="AP2" s="4"/>
      <c r="AQ2" s="4"/>
      <c r="AR2" s="4"/>
      <c r="AS2" s="5"/>
      <c r="AT2" s="43"/>
      <c r="AU2" s="43"/>
      <c r="AV2" s="43"/>
      <c r="AW2" s="55"/>
      <c r="AX2" s="7"/>
      <c r="AY2" s="88"/>
      <c r="AZ2" s="44"/>
      <c r="BA2" s="44"/>
      <c r="BB2" s="44"/>
      <c r="BC2" s="44"/>
      <c r="BD2" s="44"/>
      <c r="BE2" s="59"/>
      <c r="BF2" s="11"/>
      <c r="BG2" s="11"/>
      <c r="BH2" s="11"/>
      <c r="BI2" s="12"/>
    </row>
    <row r="3" spans="1:61">
      <c r="A3" s="81"/>
      <c r="B3" s="92" t="s">
        <v>163</v>
      </c>
      <c r="C3" s="10" t="s">
        <v>303</v>
      </c>
      <c r="D3" s="86" t="s">
        <v>4</v>
      </c>
      <c r="E3" s="81" t="s">
        <v>165</v>
      </c>
      <c r="F3" s="81" t="s">
        <v>2</v>
      </c>
      <c r="G3" s="81" t="s">
        <v>5</v>
      </c>
      <c r="H3" s="81" t="s">
        <v>167</v>
      </c>
      <c r="I3" s="101" t="s">
        <v>170</v>
      </c>
      <c r="J3" s="106" t="s">
        <v>0</v>
      </c>
      <c r="K3" s="10" t="s">
        <v>1</v>
      </c>
      <c r="L3" s="25" t="s">
        <v>10</v>
      </c>
      <c r="M3" s="10"/>
      <c r="N3" s="93" t="s">
        <v>303</v>
      </c>
      <c r="O3" s="87" t="s">
        <v>197</v>
      </c>
      <c r="S3" s="87"/>
      <c r="T3" s="87"/>
      <c r="U3" s="112"/>
      <c r="V3" s="39" t="s">
        <v>306</v>
      </c>
      <c r="Z3" s="87"/>
      <c r="AA3" s="87"/>
      <c r="AB3" s="112"/>
      <c r="AC3" s="39" t="s">
        <v>307</v>
      </c>
      <c r="AG3" s="87"/>
      <c r="AH3" s="87"/>
      <c r="AI3" s="112"/>
      <c r="AJ3" s="50"/>
      <c r="AK3" s="275"/>
      <c r="AL3" s="93" t="s">
        <v>303</v>
      </c>
      <c r="AM3" s="39" t="s">
        <v>172</v>
      </c>
      <c r="AO3" s="112"/>
      <c r="AP3" s="8" t="s">
        <v>173</v>
      </c>
      <c r="AQ3" s="1"/>
      <c r="AR3" s="1"/>
      <c r="AS3" s="2"/>
      <c r="AT3" s="39" t="s">
        <v>174</v>
      </c>
      <c r="AU3" s="7"/>
      <c r="AV3" s="7"/>
      <c r="AW3" s="56"/>
      <c r="AX3" s="7"/>
      <c r="AY3" s="93" t="s">
        <v>303</v>
      </c>
      <c r="AZ3" s="41" t="s">
        <v>175</v>
      </c>
      <c r="BA3" s="38"/>
      <c r="BB3" s="38"/>
      <c r="BC3" s="38"/>
      <c r="BD3" s="38"/>
      <c r="BE3" s="60"/>
      <c r="BF3" s="9" t="s">
        <v>200</v>
      </c>
      <c r="BI3" s="19"/>
    </row>
    <row r="4" spans="1:61">
      <c r="B4" s="93" t="s">
        <v>164</v>
      </c>
      <c r="C4" s="10" t="s">
        <v>302</v>
      </c>
      <c r="E4" s="10" t="s">
        <v>166</v>
      </c>
      <c r="G4" s="17" t="s">
        <v>6</v>
      </c>
      <c r="H4" s="10" t="s">
        <v>168</v>
      </c>
      <c r="I4" s="102" t="s">
        <v>171</v>
      </c>
      <c r="J4" s="107" t="s">
        <v>8</v>
      </c>
      <c r="K4" s="17" t="s">
        <v>9</v>
      </c>
      <c r="L4" s="19" t="s">
        <v>11</v>
      </c>
      <c r="N4" s="93" t="s">
        <v>302</v>
      </c>
      <c r="O4" s="37" t="s">
        <v>176</v>
      </c>
      <c r="P4" s="73" t="s">
        <v>177</v>
      </c>
      <c r="Q4" s="73" t="s">
        <v>178</v>
      </c>
      <c r="R4" s="73" t="s">
        <v>1</v>
      </c>
      <c r="S4" s="37" t="s">
        <v>179</v>
      </c>
      <c r="T4" s="37" t="s">
        <v>180</v>
      </c>
      <c r="U4" s="112" t="s">
        <v>181</v>
      </c>
      <c r="V4" s="37" t="s">
        <v>176</v>
      </c>
      <c r="W4" s="73" t="s">
        <v>177</v>
      </c>
      <c r="X4" s="73" t="s">
        <v>178</v>
      </c>
      <c r="Y4" s="73" t="s">
        <v>1</v>
      </c>
      <c r="Z4" s="37" t="s">
        <v>179</v>
      </c>
      <c r="AA4" s="37" t="s">
        <v>180</v>
      </c>
      <c r="AB4" s="112" t="s">
        <v>181</v>
      </c>
      <c r="AC4" s="37" t="s">
        <v>176</v>
      </c>
      <c r="AD4" s="73" t="s">
        <v>177</v>
      </c>
      <c r="AE4" s="73" t="s">
        <v>178</v>
      </c>
      <c r="AF4" s="73" t="s">
        <v>1</v>
      </c>
      <c r="AG4" s="37" t="s">
        <v>179</v>
      </c>
      <c r="AH4" s="37" t="s">
        <v>180</v>
      </c>
      <c r="AI4" s="112" t="s">
        <v>181</v>
      </c>
      <c r="AJ4" s="51" t="s">
        <v>182</v>
      </c>
      <c r="AK4" s="276"/>
      <c r="AL4" s="93" t="s">
        <v>302</v>
      </c>
      <c r="AM4" s="36" t="s">
        <v>183</v>
      </c>
      <c r="AN4" s="73" t="s">
        <v>184</v>
      </c>
      <c r="AO4" s="112" t="s">
        <v>185</v>
      </c>
      <c r="AP4" s="1" t="s">
        <v>186</v>
      </c>
      <c r="AQ4" s="1" t="s">
        <v>187</v>
      </c>
      <c r="AR4" s="1" t="s">
        <v>188</v>
      </c>
      <c r="AS4" s="53" t="s">
        <v>189</v>
      </c>
      <c r="AT4" s="36" t="s">
        <v>190</v>
      </c>
      <c r="AU4" s="36" t="s">
        <v>191</v>
      </c>
      <c r="AV4" s="36" t="s">
        <v>192</v>
      </c>
      <c r="AW4" s="57" t="s">
        <v>193</v>
      </c>
      <c r="AX4" s="36"/>
      <c r="AY4" s="93" t="s">
        <v>302</v>
      </c>
      <c r="AZ4" s="75" t="s">
        <v>254</v>
      </c>
      <c r="BA4" s="75" t="s">
        <v>255</v>
      </c>
      <c r="BB4" s="77" t="s">
        <v>263</v>
      </c>
      <c r="BC4" s="75" t="s">
        <v>256</v>
      </c>
      <c r="BD4" s="75" t="s">
        <v>257</v>
      </c>
      <c r="BE4" s="76" t="s">
        <v>264</v>
      </c>
      <c r="BF4" s="7" t="s">
        <v>258</v>
      </c>
      <c r="BG4" s="7" t="s">
        <v>259</v>
      </c>
      <c r="BH4" s="7" t="s">
        <v>260</v>
      </c>
      <c r="BI4" s="56" t="s">
        <v>261</v>
      </c>
    </row>
    <row r="5" spans="1:61" ht="13.5" thickBot="1">
      <c r="A5" s="80"/>
      <c r="B5" s="21"/>
      <c r="C5" s="20"/>
      <c r="D5" s="94"/>
      <c r="E5" s="20" t="s">
        <v>12</v>
      </c>
      <c r="F5" s="20" t="s">
        <v>13</v>
      </c>
      <c r="G5" s="20" t="s">
        <v>7</v>
      </c>
      <c r="H5" s="20"/>
      <c r="I5" s="103" t="s">
        <v>8</v>
      </c>
      <c r="J5" s="21"/>
      <c r="K5" s="20"/>
      <c r="L5" s="22"/>
      <c r="N5" s="21"/>
      <c r="O5" s="45" t="s">
        <v>8</v>
      </c>
      <c r="P5" s="95" t="s">
        <v>9</v>
      </c>
      <c r="Q5" s="95" t="s">
        <v>9</v>
      </c>
      <c r="R5" s="95" t="s">
        <v>9</v>
      </c>
      <c r="S5" s="45" t="s">
        <v>159</v>
      </c>
      <c r="T5" s="45" t="s">
        <v>8</v>
      </c>
      <c r="U5" s="113" t="s">
        <v>9</v>
      </c>
      <c r="V5" s="45" t="s">
        <v>8</v>
      </c>
      <c r="W5" s="95" t="s">
        <v>9</v>
      </c>
      <c r="X5" s="95" t="s">
        <v>9</v>
      </c>
      <c r="Y5" s="95" t="s">
        <v>9</v>
      </c>
      <c r="Z5" s="45" t="s">
        <v>159</v>
      </c>
      <c r="AA5" s="45" t="s">
        <v>8</v>
      </c>
      <c r="AB5" s="113" t="s">
        <v>9</v>
      </c>
      <c r="AC5" s="45" t="s">
        <v>8</v>
      </c>
      <c r="AD5" s="95" t="s">
        <v>9</v>
      </c>
      <c r="AE5" s="95" t="s">
        <v>9</v>
      </c>
      <c r="AF5" s="95" t="s">
        <v>9</v>
      </c>
      <c r="AG5" s="45" t="s">
        <v>159</v>
      </c>
      <c r="AH5" s="45" t="s">
        <v>8</v>
      </c>
      <c r="AI5" s="113" t="s">
        <v>9</v>
      </c>
      <c r="AJ5" s="52" t="s">
        <v>159</v>
      </c>
      <c r="AK5" s="277"/>
      <c r="AL5" s="21"/>
      <c r="AM5" s="45" t="s">
        <v>8</v>
      </c>
      <c r="AN5" s="95" t="s">
        <v>8</v>
      </c>
      <c r="AO5" s="113" t="s">
        <v>8</v>
      </c>
      <c r="AP5" s="3" t="s">
        <v>194</v>
      </c>
      <c r="AQ5" s="3" t="s">
        <v>194</v>
      </c>
      <c r="AR5" s="3" t="s">
        <v>194</v>
      </c>
      <c r="AS5" s="54" t="s">
        <v>194</v>
      </c>
      <c r="AT5" s="45" t="s">
        <v>195</v>
      </c>
      <c r="AU5" s="45" t="s">
        <v>195</v>
      </c>
      <c r="AV5" s="45" t="s">
        <v>195</v>
      </c>
      <c r="AW5" s="58" t="s">
        <v>195</v>
      </c>
      <c r="AX5" s="36"/>
      <c r="AY5" s="21"/>
      <c r="AZ5" s="48" t="s">
        <v>196</v>
      </c>
      <c r="BA5" s="48" t="s">
        <v>196</v>
      </c>
      <c r="BB5" s="47" t="s">
        <v>196</v>
      </c>
      <c r="BC5" s="48" t="s">
        <v>196</v>
      </c>
      <c r="BD5" s="47" t="s">
        <v>196</v>
      </c>
      <c r="BE5" s="61" t="s">
        <v>196</v>
      </c>
      <c r="BF5" s="47" t="s">
        <v>196</v>
      </c>
      <c r="BG5" s="48" t="s">
        <v>196</v>
      </c>
      <c r="BH5" s="47" t="s">
        <v>196</v>
      </c>
      <c r="BI5" s="61" t="s">
        <v>196</v>
      </c>
    </row>
    <row r="6" spans="1:61">
      <c r="A6" s="83"/>
      <c r="B6" s="98" t="s">
        <v>161</v>
      </c>
      <c r="I6" s="104"/>
      <c r="J6" s="107"/>
      <c r="L6" s="19"/>
      <c r="N6" s="16"/>
      <c r="U6" s="112"/>
      <c r="AB6" s="112"/>
      <c r="AI6" s="112"/>
      <c r="AJ6" s="19"/>
      <c r="AL6" s="16"/>
      <c r="AO6" s="112"/>
      <c r="AS6" s="19"/>
      <c r="AW6" s="19"/>
      <c r="AY6" s="16"/>
      <c r="BE6" s="19"/>
      <c r="BI6" s="19"/>
    </row>
    <row r="7" spans="1:61" s="200" customFormat="1">
      <c r="A7" s="279"/>
      <c r="B7" s="201" t="s">
        <v>218</v>
      </c>
      <c r="C7" s="202">
        <v>425</v>
      </c>
      <c r="D7" s="202" t="s">
        <v>20</v>
      </c>
      <c r="E7" s="203">
        <v>0</v>
      </c>
      <c r="F7" s="204">
        <v>0</v>
      </c>
      <c r="G7" s="203" t="s">
        <v>248</v>
      </c>
      <c r="H7" s="280" t="s">
        <v>14</v>
      </c>
      <c r="I7" s="205">
        <v>0.5</v>
      </c>
      <c r="J7" s="281">
        <v>7.0000000000000007E-2</v>
      </c>
      <c r="K7" s="206">
        <v>1.474</v>
      </c>
      <c r="L7" s="282">
        <v>1021.3395830763537</v>
      </c>
      <c r="M7" s="283"/>
      <c r="N7" s="284">
        <v>425</v>
      </c>
      <c r="O7" s="206">
        <v>6.9780999999999996E-2</v>
      </c>
      <c r="P7" s="204">
        <v>1.2374000000000001</v>
      </c>
      <c r="Q7" s="204">
        <v>1.1692</v>
      </c>
      <c r="R7" s="204">
        <v>1.4221999999999999</v>
      </c>
      <c r="S7" s="206">
        <v>0.21</v>
      </c>
      <c r="T7" s="206">
        <v>0.13791999999999999</v>
      </c>
      <c r="U7" s="285">
        <v>1.1392</v>
      </c>
      <c r="V7" s="206">
        <v>6.5839999999999996E-2</v>
      </c>
      <c r="W7" s="204">
        <v>1.2583</v>
      </c>
      <c r="X7" s="204">
        <v>1.1884999999999999</v>
      </c>
      <c r="Y7" s="204">
        <v>1.5059</v>
      </c>
      <c r="Z7" s="206">
        <v>0.22</v>
      </c>
      <c r="AA7" s="206">
        <v>0.13040000000000002</v>
      </c>
      <c r="AB7" s="285">
        <v>1.141</v>
      </c>
      <c r="AC7" s="206">
        <v>6.5776000000000001E-2</v>
      </c>
      <c r="AD7" s="204">
        <v>1.2483</v>
      </c>
      <c r="AE7" s="204">
        <v>1.1787000000000001</v>
      </c>
      <c r="AF7" s="204">
        <v>1.5059</v>
      </c>
      <c r="AG7" s="206">
        <v>0.215</v>
      </c>
      <c r="AH7" s="206">
        <v>0.12866</v>
      </c>
      <c r="AI7" s="285">
        <v>1.1309999999999998</v>
      </c>
      <c r="AJ7" s="286">
        <v>1240</v>
      </c>
      <c r="AL7" s="284">
        <v>425</v>
      </c>
      <c r="AM7" s="208">
        <v>9.4297999999999993E-2</v>
      </c>
      <c r="AN7" s="204" t="s">
        <v>262</v>
      </c>
      <c r="AO7" s="285">
        <v>1.2903225806451613</v>
      </c>
      <c r="AP7" s="207">
        <v>0</v>
      </c>
      <c r="AQ7" s="207">
        <v>0</v>
      </c>
      <c r="AR7" s="207">
        <v>0</v>
      </c>
      <c r="AS7" s="287">
        <v>0</v>
      </c>
      <c r="AT7" s="208" t="s">
        <v>262</v>
      </c>
      <c r="AU7" s="208" t="s">
        <v>262</v>
      </c>
      <c r="AV7" s="208" t="s">
        <v>262</v>
      </c>
      <c r="AW7" s="287" t="s">
        <v>262</v>
      </c>
      <c r="AX7" s="208"/>
      <c r="AY7" s="284">
        <v>425</v>
      </c>
      <c r="AZ7" s="208" t="s">
        <v>262</v>
      </c>
      <c r="BA7" s="208" t="s">
        <v>262</v>
      </c>
      <c r="BB7" s="207" t="s">
        <v>262</v>
      </c>
      <c r="BC7" s="208">
        <v>3.6678880000000002E-3</v>
      </c>
      <c r="BD7" s="208">
        <v>7.9511600000000005E-3</v>
      </c>
      <c r="BE7" s="287">
        <v>9.9291799999999993E-3</v>
      </c>
      <c r="BF7" s="207" t="s">
        <v>262</v>
      </c>
      <c r="BG7" s="207" t="s">
        <v>262</v>
      </c>
      <c r="BH7" s="207">
        <v>5.3500600000000002E-2</v>
      </c>
      <c r="BI7" s="288">
        <v>0.1067949</v>
      </c>
    </row>
    <row r="8" spans="1:61" s="200" customFormat="1">
      <c r="A8" s="279"/>
      <c r="B8" s="201" t="s">
        <v>218</v>
      </c>
      <c r="C8" s="202">
        <v>427</v>
      </c>
      <c r="D8" s="202" t="s">
        <v>21</v>
      </c>
      <c r="E8" s="203">
        <v>0</v>
      </c>
      <c r="F8" s="204">
        <v>0</v>
      </c>
      <c r="G8" s="203" t="s">
        <v>248</v>
      </c>
      <c r="H8" s="280" t="s">
        <v>15</v>
      </c>
      <c r="I8" s="205">
        <v>0.5</v>
      </c>
      <c r="J8" s="281">
        <v>7.0000000000000007E-2</v>
      </c>
      <c r="K8" s="206">
        <v>1.0449999999999999</v>
      </c>
      <c r="L8" s="282">
        <v>1002.1748586341887</v>
      </c>
      <c r="M8" s="283"/>
      <c r="N8" s="284">
        <v>427</v>
      </c>
      <c r="O8" s="206">
        <v>6.5240000000000006E-2</v>
      </c>
      <c r="P8" s="204">
        <v>0.92347999999999997</v>
      </c>
      <c r="Q8" s="204">
        <v>0.88334000000000001</v>
      </c>
      <c r="R8" s="204">
        <v>1.024</v>
      </c>
      <c r="S8" s="206">
        <v>0.23400000000000001</v>
      </c>
      <c r="T8" s="206">
        <v>0.12736</v>
      </c>
      <c r="U8" s="285">
        <v>0.83339999999999992</v>
      </c>
      <c r="V8" s="206">
        <v>6.1383E-2</v>
      </c>
      <c r="W8" s="204">
        <v>0.91127000000000002</v>
      </c>
      <c r="X8" s="204">
        <v>0.87619000000000002</v>
      </c>
      <c r="Y8" s="204">
        <v>1.024</v>
      </c>
      <c r="Z8" s="206">
        <v>0.192</v>
      </c>
      <c r="AA8" s="206">
        <v>0.11799999999999999</v>
      </c>
      <c r="AB8" s="285">
        <v>0.85228000000000004</v>
      </c>
      <c r="AC8" s="206">
        <v>6.3342999999999997E-2</v>
      </c>
      <c r="AD8" s="204">
        <v>0.93359999999999999</v>
      </c>
      <c r="AE8" s="204">
        <v>0.89700999999999997</v>
      </c>
      <c r="AF8" s="204">
        <v>1.024</v>
      </c>
      <c r="AG8" s="206">
        <v>0.20200000000000001</v>
      </c>
      <c r="AH8" s="206">
        <v>0.12287999999999999</v>
      </c>
      <c r="AI8" s="285">
        <v>0.86570000000000003</v>
      </c>
      <c r="AJ8" s="286">
        <v>1210</v>
      </c>
      <c r="AL8" s="284">
        <v>427</v>
      </c>
      <c r="AM8" s="208">
        <v>7.2273600000000007E-2</v>
      </c>
      <c r="AN8" s="204" t="s">
        <v>262</v>
      </c>
      <c r="AO8" s="285">
        <v>0.16528925619834711</v>
      </c>
      <c r="AP8" s="207">
        <v>0</v>
      </c>
      <c r="AQ8" s="207">
        <v>0</v>
      </c>
      <c r="AR8" s="207">
        <v>0</v>
      </c>
      <c r="AS8" s="287">
        <v>0</v>
      </c>
      <c r="AT8" s="208" t="s">
        <v>262</v>
      </c>
      <c r="AU8" s="208" t="s">
        <v>262</v>
      </c>
      <c r="AV8" s="208" t="s">
        <v>262</v>
      </c>
      <c r="AW8" s="287" t="s">
        <v>262</v>
      </c>
      <c r="AX8" s="208"/>
      <c r="AY8" s="284">
        <v>427</v>
      </c>
      <c r="AZ8" s="208" t="s">
        <v>262</v>
      </c>
      <c r="BA8" s="208" t="s">
        <v>262</v>
      </c>
      <c r="BB8" s="207" t="s">
        <v>262</v>
      </c>
      <c r="BC8" s="208" t="s">
        <v>262</v>
      </c>
      <c r="BD8" s="208" t="s">
        <v>262</v>
      </c>
      <c r="BE8" s="287" t="s">
        <v>262</v>
      </c>
      <c r="BF8" s="207" t="s">
        <v>262</v>
      </c>
      <c r="BG8" s="207" t="s">
        <v>262</v>
      </c>
      <c r="BH8" s="207" t="s">
        <v>262</v>
      </c>
      <c r="BI8" s="288" t="s">
        <v>262</v>
      </c>
    </row>
    <row r="9" spans="1:61" s="200" customFormat="1">
      <c r="A9" s="279"/>
      <c r="B9" s="201" t="s">
        <v>218</v>
      </c>
      <c r="C9" s="202">
        <v>426</v>
      </c>
      <c r="D9" s="202" t="s">
        <v>22</v>
      </c>
      <c r="E9" s="203">
        <v>0</v>
      </c>
      <c r="F9" s="204">
        <v>0</v>
      </c>
      <c r="G9" s="203" t="s">
        <v>248</v>
      </c>
      <c r="H9" s="280" t="s">
        <v>16</v>
      </c>
      <c r="I9" s="205">
        <v>0.5</v>
      </c>
      <c r="J9" s="281">
        <v>0.1</v>
      </c>
      <c r="K9" s="206">
        <v>1.76</v>
      </c>
      <c r="L9" s="282">
        <v>1004.1322314049585</v>
      </c>
      <c r="M9" s="283"/>
      <c r="N9" s="284">
        <v>426</v>
      </c>
      <c r="O9" s="206">
        <v>0.10238</v>
      </c>
      <c r="P9" s="204">
        <v>1.4658</v>
      </c>
      <c r="Q9" s="204">
        <v>1.3735999999999999</v>
      </c>
      <c r="R9" s="204">
        <v>1.7067000000000001</v>
      </c>
      <c r="S9" s="206">
        <v>0.20100000000000001</v>
      </c>
      <c r="T9" s="206">
        <v>0.20064000000000001</v>
      </c>
      <c r="U9" s="285">
        <v>1.3686000000000003</v>
      </c>
      <c r="V9" s="206">
        <v>9.9525000000000002E-2</v>
      </c>
      <c r="W9" s="204">
        <v>1.4932000000000001</v>
      </c>
      <c r="X9" s="204">
        <v>1.3983000000000001</v>
      </c>
      <c r="Y9" s="204">
        <v>1.7067000000000001</v>
      </c>
      <c r="Z9" s="206">
        <v>0.214</v>
      </c>
      <c r="AA9" s="206">
        <v>0.19145999999999996</v>
      </c>
      <c r="AB9" s="285">
        <v>1.3570000000000002</v>
      </c>
      <c r="AC9" s="206">
        <v>9.7042000000000003E-2</v>
      </c>
      <c r="AD9" s="204">
        <v>1.4732000000000001</v>
      </c>
      <c r="AE9" s="204">
        <v>1.3771</v>
      </c>
      <c r="AF9" s="204">
        <v>1.7067000000000001</v>
      </c>
      <c r="AG9" s="206">
        <v>0.223</v>
      </c>
      <c r="AH9" s="206">
        <v>0.19369999999999998</v>
      </c>
      <c r="AI9" s="285">
        <v>1.3333999999999999</v>
      </c>
      <c r="AJ9" s="286">
        <v>1259</v>
      </c>
      <c r="AL9" s="284">
        <v>426</v>
      </c>
      <c r="AM9" s="208">
        <v>0.15732490000000002</v>
      </c>
      <c r="AN9" s="204">
        <v>7.9428117553613981E-2</v>
      </c>
      <c r="AO9" s="285">
        <v>68.784749801429712</v>
      </c>
      <c r="AP9" s="207">
        <v>0</v>
      </c>
      <c r="AQ9" s="207">
        <v>0</v>
      </c>
      <c r="AR9" s="207">
        <v>0.16700000000000001</v>
      </c>
      <c r="AS9" s="287">
        <v>9.0999999999999998E-2</v>
      </c>
      <c r="AT9" s="208" t="s">
        <v>262</v>
      </c>
      <c r="AU9" s="208" t="s">
        <v>262</v>
      </c>
      <c r="AV9" s="208">
        <v>0.54963923599999998</v>
      </c>
      <c r="AW9" s="287">
        <v>0.23611120000000002</v>
      </c>
      <c r="AX9" s="208"/>
      <c r="AY9" s="284">
        <v>426</v>
      </c>
      <c r="AZ9" s="208" t="s">
        <v>262</v>
      </c>
      <c r="BA9" s="208" t="s">
        <v>262</v>
      </c>
      <c r="BB9" s="207" t="s">
        <v>262</v>
      </c>
      <c r="BC9" s="208">
        <v>1.1001219999999999E-2</v>
      </c>
      <c r="BD9" s="208">
        <v>1.9956000000000002E-2</v>
      </c>
      <c r="BE9" s="287">
        <v>2.1076899999999999E-2</v>
      </c>
      <c r="BF9" s="207" t="s">
        <v>262</v>
      </c>
      <c r="BG9" s="207" t="s">
        <v>262</v>
      </c>
      <c r="BH9" s="207">
        <v>9.3500600000000003E-2</v>
      </c>
      <c r="BI9" s="288">
        <v>0.1367949</v>
      </c>
    </row>
    <row r="10" spans="1:61" s="200" customFormat="1">
      <c r="A10" s="279"/>
      <c r="B10" s="201" t="s">
        <v>218</v>
      </c>
      <c r="C10" s="202">
        <v>428</v>
      </c>
      <c r="D10" s="202" t="s">
        <v>23</v>
      </c>
      <c r="E10" s="203">
        <v>0</v>
      </c>
      <c r="F10" s="204">
        <v>0</v>
      </c>
      <c r="G10" s="203" t="s">
        <v>248</v>
      </c>
      <c r="H10" s="280" t="s">
        <v>17</v>
      </c>
      <c r="I10" s="205">
        <v>0.5</v>
      </c>
      <c r="J10" s="281">
        <v>0.1</v>
      </c>
      <c r="K10" s="206">
        <v>1.2430000000000001</v>
      </c>
      <c r="L10" s="282">
        <v>1000.5119578731806</v>
      </c>
      <c r="M10" s="283"/>
      <c r="N10" s="284">
        <v>428</v>
      </c>
      <c r="O10" s="206">
        <v>9.9413000000000001E-2</v>
      </c>
      <c r="P10" s="204">
        <v>1.0895999999999999</v>
      </c>
      <c r="Q10" s="204">
        <v>1.0464</v>
      </c>
      <c r="R10" s="204">
        <v>1.2190000000000001</v>
      </c>
      <c r="S10" s="206">
        <v>0.19900000000000001</v>
      </c>
      <c r="T10" s="206">
        <v>0.18276000000000001</v>
      </c>
      <c r="U10" s="285">
        <v>1.0356000000000001</v>
      </c>
      <c r="V10" s="206">
        <v>8.6790999999999993E-2</v>
      </c>
      <c r="W10" s="204">
        <v>1.0879000000000001</v>
      </c>
      <c r="X10" s="204">
        <v>1.0431999999999999</v>
      </c>
      <c r="Y10" s="204">
        <v>1.2190000000000001</v>
      </c>
      <c r="Z10" s="206">
        <v>0.20799999999999999</v>
      </c>
      <c r="AA10" s="206">
        <v>0.18109999999999998</v>
      </c>
      <c r="AB10" s="285">
        <v>1.0309999999999999</v>
      </c>
      <c r="AC10" s="206">
        <v>9.5135999999999998E-2</v>
      </c>
      <c r="AD10" s="204">
        <v>1.1025</v>
      </c>
      <c r="AE10" s="204">
        <v>1.0589</v>
      </c>
      <c r="AF10" s="204">
        <v>1.28</v>
      </c>
      <c r="AG10" s="206">
        <v>0.20100000000000001</v>
      </c>
      <c r="AH10" s="206">
        <v>0.18811999999999998</v>
      </c>
      <c r="AI10" s="285">
        <v>1.0508000000000002</v>
      </c>
      <c r="AJ10" s="286">
        <v>1157</v>
      </c>
      <c r="AL10" s="284">
        <v>428</v>
      </c>
      <c r="AM10" s="208">
        <v>0.10397320000000002</v>
      </c>
      <c r="AN10" s="204" t="s">
        <v>262</v>
      </c>
      <c r="AO10" s="285">
        <v>2.3336214347450301</v>
      </c>
      <c r="AP10" s="207">
        <v>0</v>
      </c>
      <c r="AQ10" s="207">
        <v>0</v>
      </c>
      <c r="AR10" s="207">
        <v>0</v>
      </c>
      <c r="AS10" s="287">
        <v>0</v>
      </c>
      <c r="AT10" s="207" t="s">
        <v>262</v>
      </c>
      <c r="AU10" s="207" t="s">
        <v>262</v>
      </c>
      <c r="AV10" s="207">
        <v>0.12551732530000001</v>
      </c>
      <c r="AW10" s="287">
        <v>1.150803875E-2</v>
      </c>
      <c r="AX10" s="208"/>
      <c r="AY10" s="284">
        <v>428</v>
      </c>
      <c r="AZ10" s="208" t="s">
        <v>262</v>
      </c>
      <c r="BA10" s="208" t="s">
        <v>262</v>
      </c>
      <c r="BB10" s="207" t="s">
        <v>262</v>
      </c>
      <c r="BC10" s="208">
        <v>5.0476200000000001E-3</v>
      </c>
      <c r="BD10" s="208">
        <v>9.9365099999999991E-3</v>
      </c>
      <c r="BE10" s="287">
        <v>1.1299150000000001E-2</v>
      </c>
      <c r="BF10" s="207" t="s">
        <v>262</v>
      </c>
      <c r="BG10" s="207" t="s">
        <v>262</v>
      </c>
      <c r="BH10" s="207">
        <v>5.3500600000000002E-2</v>
      </c>
      <c r="BI10" s="288">
        <v>0.1072833</v>
      </c>
    </row>
    <row r="11" spans="1:61" s="200" customFormat="1">
      <c r="A11" s="279"/>
      <c r="B11" s="201" t="s">
        <v>218</v>
      </c>
      <c r="C11" s="202">
        <v>429</v>
      </c>
      <c r="D11" s="202" t="s">
        <v>24</v>
      </c>
      <c r="E11" s="203">
        <v>0</v>
      </c>
      <c r="F11" s="204">
        <v>0</v>
      </c>
      <c r="G11" s="203" t="s">
        <v>248</v>
      </c>
      <c r="H11" s="280" t="s">
        <v>18</v>
      </c>
      <c r="I11" s="205">
        <v>0.5</v>
      </c>
      <c r="J11" s="281">
        <v>0.15</v>
      </c>
      <c r="K11" s="206">
        <v>2.1560000000000001</v>
      </c>
      <c r="L11" s="282">
        <v>1001.855287569573</v>
      </c>
      <c r="M11" s="283"/>
      <c r="N11" s="284">
        <v>429</v>
      </c>
      <c r="O11" s="206">
        <v>0.15218000000000001</v>
      </c>
      <c r="P11" s="204">
        <v>1.7393000000000001</v>
      </c>
      <c r="Q11" s="204">
        <v>1.6068</v>
      </c>
      <c r="R11" s="204">
        <v>2.1333000000000002</v>
      </c>
      <c r="S11" s="206">
        <v>0.20200000000000001</v>
      </c>
      <c r="T11" s="206">
        <v>0.31601999999999997</v>
      </c>
      <c r="U11" s="285">
        <v>1.6366000000000001</v>
      </c>
      <c r="V11" s="206">
        <v>0.15376000000000001</v>
      </c>
      <c r="W11" s="204">
        <v>1.7416</v>
      </c>
      <c r="X11" s="204">
        <v>1.6117999999999999</v>
      </c>
      <c r="Y11" s="204">
        <v>2.1333000000000002</v>
      </c>
      <c r="Z11" s="206">
        <v>0.2</v>
      </c>
      <c r="AA11" s="206">
        <v>0.30741999999999992</v>
      </c>
      <c r="AB11" s="285">
        <v>1.7245999999999999</v>
      </c>
      <c r="AC11" s="206">
        <v>0.14452999999999999</v>
      </c>
      <c r="AD11" s="204">
        <v>1.6910000000000001</v>
      </c>
      <c r="AE11" s="204">
        <v>1.5552999999999999</v>
      </c>
      <c r="AF11" s="204">
        <v>2.1333000000000002</v>
      </c>
      <c r="AG11" s="206">
        <v>0.217</v>
      </c>
      <c r="AH11" s="206">
        <v>0.29213999999999996</v>
      </c>
      <c r="AI11" s="285">
        <v>1.6143999999999998</v>
      </c>
      <c r="AJ11" s="286">
        <v>1270</v>
      </c>
      <c r="AL11" s="284">
        <v>429</v>
      </c>
      <c r="AM11" s="208">
        <v>0.24626010000000004</v>
      </c>
      <c r="AN11" s="204">
        <v>7.952755905511812</v>
      </c>
      <c r="AO11" s="285" t="s">
        <v>262</v>
      </c>
      <c r="AP11" s="207">
        <v>6.0299999999999999E-2</v>
      </c>
      <c r="AQ11" s="207">
        <v>0.12590000000000001</v>
      </c>
      <c r="AR11" s="207">
        <v>0.4148</v>
      </c>
      <c r="AS11" s="287">
        <v>0.41399999999999998</v>
      </c>
      <c r="AT11" s="208" t="s">
        <v>262</v>
      </c>
      <c r="AU11" s="208">
        <v>0.110096745</v>
      </c>
      <c r="AV11" s="208">
        <v>1.3772501110000002</v>
      </c>
      <c r="AW11" s="287">
        <v>0.79880937500000004</v>
      </c>
      <c r="AX11" s="208"/>
      <c r="AY11" s="284">
        <v>429</v>
      </c>
      <c r="AZ11" s="208">
        <v>1.08547E-2</v>
      </c>
      <c r="BA11" s="208">
        <v>3.7191699999999999E-3</v>
      </c>
      <c r="BB11" s="207">
        <v>2.2505499999999998E-2</v>
      </c>
      <c r="BC11" s="208">
        <v>2.5557999999999997E-2</v>
      </c>
      <c r="BD11" s="208">
        <v>4.0866899999999998E-2</v>
      </c>
      <c r="BE11" s="287">
        <v>4.3528700000000004E-2</v>
      </c>
      <c r="BF11" s="207">
        <v>6.0372404999999997E-2</v>
      </c>
      <c r="BG11" s="207">
        <v>4.0330697999999998E-2</v>
      </c>
      <c r="BH11" s="207">
        <v>0.1335006</v>
      </c>
      <c r="BI11" s="288">
        <v>0.1767949</v>
      </c>
    </row>
    <row r="12" spans="1:61" s="200" customFormat="1">
      <c r="A12" s="279"/>
      <c r="B12" s="289" t="s">
        <v>218</v>
      </c>
      <c r="C12" s="290">
        <v>430</v>
      </c>
      <c r="D12" s="290" t="s">
        <v>25</v>
      </c>
      <c r="E12" s="291">
        <v>0</v>
      </c>
      <c r="F12" s="213">
        <v>0</v>
      </c>
      <c r="G12" s="291" t="s">
        <v>248</v>
      </c>
      <c r="H12" s="292" t="s">
        <v>19</v>
      </c>
      <c r="I12" s="293">
        <v>0.5</v>
      </c>
      <c r="J12" s="294">
        <v>0.15</v>
      </c>
      <c r="K12" s="212">
        <v>1.5289999999999999</v>
      </c>
      <c r="L12" s="295">
        <v>1027.4094773767761</v>
      </c>
      <c r="M12" s="283"/>
      <c r="N12" s="296">
        <v>430</v>
      </c>
      <c r="O12" s="212">
        <v>0.14244999999999999</v>
      </c>
      <c r="P12" s="213">
        <v>1.2943</v>
      </c>
      <c r="Q12" s="213">
        <v>1.2258</v>
      </c>
      <c r="R12" s="213">
        <v>1.5059</v>
      </c>
      <c r="S12" s="212">
        <v>0.214</v>
      </c>
      <c r="T12" s="212">
        <v>0.28456000000000004</v>
      </c>
      <c r="U12" s="297">
        <v>1.2529999999999999</v>
      </c>
      <c r="V12" s="212">
        <v>0.13657</v>
      </c>
      <c r="W12" s="213">
        <v>1.3504</v>
      </c>
      <c r="X12" s="213">
        <v>1.2843</v>
      </c>
      <c r="Y12" s="213">
        <v>1.5059</v>
      </c>
      <c r="Z12" s="212">
        <v>0.20599999999999999</v>
      </c>
      <c r="AA12" s="212">
        <v>0.26532</v>
      </c>
      <c r="AB12" s="297">
        <v>1.302</v>
      </c>
      <c r="AC12" s="212">
        <v>0.13555</v>
      </c>
      <c r="AD12" s="213">
        <v>1.3285</v>
      </c>
      <c r="AE12" s="213">
        <v>1.2622</v>
      </c>
      <c r="AF12" s="213">
        <v>1.6</v>
      </c>
      <c r="AG12" s="212">
        <v>0.223</v>
      </c>
      <c r="AH12" s="212">
        <v>0.24691999999999997</v>
      </c>
      <c r="AI12" s="297">
        <v>1.2625999999999999</v>
      </c>
      <c r="AJ12" s="298">
        <v>1194</v>
      </c>
      <c r="AL12" s="296">
        <v>430</v>
      </c>
      <c r="AM12" s="214">
        <v>0.17539569999999999</v>
      </c>
      <c r="AN12" s="213">
        <v>0.50251256281407031</v>
      </c>
      <c r="AO12" s="297">
        <v>23.53433835845896</v>
      </c>
      <c r="AP12" s="214">
        <v>0</v>
      </c>
      <c r="AQ12" s="214">
        <v>0</v>
      </c>
      <c r="AR12" s="214">
        <v>0.31440000000000001</v>
      </c>
      <c r="AS12" s="299">
        <v>0.23849999999999999</v>
      </c>
      <c r="AT12" s="214" t="s">
        <v>262</v>
      </c>
      <c r="AU12" s="214" t="s">
        <v>262</v>
      </c>
      <c r="AV12" s="214">
        <v>0.69177824999999993</v>
      </c>
      <c r="AW12" s="299">
        <v>0.37896836249999993</v>
      </c>
      <c r="AX12" s="207"/>
      <c r="AY12" s="296">
        <v>430</v>
      </c>
      <c r="AZ12" s="214">
        <v>2.0634920000000001E-3</v>
      </c>
      <c r="BA12" s="214" t="s">
        <v>262</v>
      </c>
      <c r="BB12" s="214" t="s">
        <v>262</v>
      </c>
      <c r="BC12" s="214" t="s">
        <v>262</v>
      </c>
      <c r="BD12" s="214" t="s">
        <v>262</v>
      </c>
      <c r="BE12" s="299">
        <v>2.7914500000000002E-2</v>
      </c>
      <c r="BF12" s="214">
        <v>5.0372405000000002E-2</v>
      </c>
      <c r="BG12" s="214">
        <v>3.0330698E-2</v>
      </c>
      <c r="BH12" s="214">
        <v>0.1035006</v>
      </c>
      <c r="BI12" s="299" t="s">
        <v>262</v>
      </c>
    </row>
    <row r="13" spans="1:61" s="200" customFormat="1">
      <c r="A13" s="279"/>
      <c r="B13" s="201" t="s">
        <v>219</v>
      </c>
      <c r="C13" s="202">
        <v>451</v>
      </c>
      <c r="D13" s="202" t="s">
        <v>114</v>
      </c>
      <c r="E13" s="203">
        <v>0</v>
      </c>
      <c r="F13" s="204">
        <v>0</v>
      </c>
      <c r="G13" s="203" t="s">
        <v>248</v>
      </c>
      <c r="H13" s="280" t="s">
        <v>14</v>
      </c>
      <c r="I13" s="205">
        <v>0.55000000000000004</v>
      </c>
      <c r="J13" s="281">
        <v>0.09</v>
      </c>
      <c r="K13" s="206">
        <v>1.6703187875358823</v>
      </c>
      <c r="L13" s="282">
        <v>1097.2320292409461</v>
      </c>
      <c r="M13" s="283"/>
      <c r="N13" s="284">
        <v>451</v>
      </c>
      <c r="O13" s="206">
        <v>9.2896000000000006E-2</v>
      </c>
      <c r="P13" s="204">
        <v>1.3959999999999999</v>
      </c>
      <c r="Q13" s="204">
        <v>1.3151999999999999</v>
      </c>
      <c r="R13" s="204">
        <v>1.7067000000000001</v>
      </c>
      <c r="S13" s="206">
        <v>0.2</v>
      </c>
      <c r="T13" s="206">
        <v>0.18786</v>
      </c>
      <c r="U13" s="285">
        <v>1.3</v>
      </c>
      <c r="V13" s="206">
        <v>8.9608999999999994E-2</v>
      </c>
      <c r="W13" s="204">
        <v>1.4189000000000001</v>
      </c>
      <c r="X13" s="204">
        <v>1.3345</v>
      </c>
      <c r="Y13" s="204">
        <v>1.7067000000000001</v>
      </c>
      <c r="Z13" s="206">
        <v>0.191</v>
      </c>
      <c r="AA13" s="206">
        <v>0.17534</v>
      </c>
      <c r="AB13" s="285">
        <v>1.3028</v>
      </c>
      <c r="AC13" s="206">
        <v>8.7282999999999999E-2</v>
      </c>
      <c r="AD13" s="204">
        <v>1.4065000000000001</v>
      </c>
      <c r="AE13" s="204">
        <v>1.3212999999999999</v>
      </c>
      <c r="AF13" s="204">
        <v>1.6</v>
      </c>
      <c r="AG13" s="206">
        <v>0.20200000000000001</v>
      </c>
      <c r="AH13" s="206">
        <v>0.16550000000000001</v>
      </c>
      <c r="AI13" s="285">
        <v>1.2784</v>
      </c>
      <c r="AJ13" s="286">
        <v>1333</v>
      </c>
      <c r="AL13" s="284">
        <v>451</v>
      </c>
      <c r="AM13" s="208">
        <v>0.14046650000000002</v>
      </c>
      <c r="AN13" s="204" t="s">
        <v>262</v>
      </c>
      <c r="AO13" s="285">
        <v>11.627906976744185</v>
      </c>
      <c r="AP13" s="207">
        <v>0</v>
      </c>
      <c r="AQ13" s="207">
        <v>0</v>
      </c>
      <c r="AR13" s="207">
        <v>1.3411</v>
      </c>
      <c r="AS13" s="287">
        <v>1.667</v>
      </c>
      <c r="AT13" s="208" t="s">
        <v>262</v>
      </c>
      <c r="AU13" s="208" t="s">
        <v>262</v>
      </c>
      <c r="AV13" s="208">
        <v>0.83506259999999999</v>
      </c>
      <c r="AW13" s="287">
        <v>0.50436587500000007</v>
      </c>
      <c r="AX13" s="208"/>
      <c r="AY13" s="284">
        <v>451</v>
      </c>
      <c r="AZ13" s="208" t="s">
        <v>262</v>
      </c>
      <c r="BA13" s="208" t="s">
        <v>262</v>
      </c>
      <c r="BB13" s="207" t="s">
        <v>262</v>
      </c>
      <c r="BC13" s="208">
        <v>1.8500599999999999E-2</v>
      </c>
      <c r="BD13" s="208">
        <v>3.1306500000000001E-2</v>
      </c>
      <c r="BE13" s="287">
        <v>3.79805E-2</v>
      </c>
      <c r="BF13" s="207">
        <v>6.3724050000000003E-3</v>
      </c>
      <c r="BG13" s="207">
        <v>99.000330697999999</v>
      </c>
      <c r="BH13" s="207">
        <v>2.1500600000000002E-2</v>
      </c>
      <c r="BI13" s="288">
        <v>3.2306500000000002E-2</v>
      </c>
    </row>
    <row r="14" spans="1:61" s="200" customFormat="1">
      <c r="A14" s="279"/>
      <c r="B14" s="201" t="s">
        <v>219</v>
      </c>
      <c r="C14" s="202">
        <v>452</v>
      </c>
      <c r="D14" s="202" t="s">
        <v>115</v>
      </c>
      <c r="E14" s="203">
        <v>0</v>
      </c>
      <c r="F14" s="204">
        <v>0</v>
      </c>
      <c r="G14" s="203" t="s">
        <v>248</v>
      </c>
      <c r="H14" s="280" t="s">
        <v>15</v>
      </c>
      <c r="I14" s="205">
        <v>0.55000000000000004</v>
      </c>
      <c r="J14" s="281">
        <v>0.09</v>
      </c>
      <c r="K14" s="206">
        <v>1.1810937414099143</v>
      </c>
      <c r="L14" s="282">
        <v>1108.3717263019273</v>
      </c>
      <c r="M14" s="283"/>
      <c r="N14" s="284">
        <v>452</v>
      </c>
      <c r="O14" s="206">
        <v>9.1428999999999996E-2</v>
      </c>
      <c r="P14" s="204">
        <v>1.0244</v>
      </c>
      <c r="Q14" s="204">
        <v>0.97914999999999996</v>
      </c>
      <c r="R14" s="204">
        <v>1.1636</v>
      </c>
      <c r="S14" s="206">
        <v>0.192</v>
      </c>
      <c r="T14" s="206">
        <v>0.16242000000000001</v>
      </c>
      <c r="U14" s="285">
        <v>0.98639999999999994</v>
      </c>
      <c r="V14" s="206">
        <v>8.0241000000000007E-2</v>
      </c>
      <c r="W14" s="204">
        <v>1.022</v>
      </c>
      <c r="X14" s="204">
        <v>0.97785999999999995</v>
      </c>
      <c r="Y14" s="204">
        <v>1.2190000000000001</v>
      </c>
      <c r="Z14" s="206">
        <v>0.185</v>
      </c>
      <c r="AA14" s="206">
        <v>0.15318000000000001</v>
      </c>
      <c r="AB14" s="285">
        <v>0.98938000000000004</v>
      </c>
      <c r="AC14" s="206">
        <v>8.5171999999999998E-2</v>
      </c>
      <c r="AD14" s="204">
        <v>1.0441</v>
      </c>
      <c r="AE14" s="204">
        <v>1.002</v>
      </c>
      <c r="AF14" s="204">
        <v>1.2190000000000001</v>
      </c>
      <c r="AG14" s="206">
        <v>0.182</v>
      </c>
      <c r="AH14" s="206">
        <v>0.15109999999999998</v>
      </c>
      <c r="AI14" s="285">
        <v>1.0124</v>
      </c>
      <c r="AJ14" s="286">
        <v>1242</v>
      </c>
      <c r="AL14" s="284">
        <v>452</v>
      </c>
      <c r="AM14" s="208">
        <v>9.1856000000000007E-2</v>
      </c>
      <c r="AN14" s="204" t="s">
        <v>262</v>
      </c>
      <c r="AO14" s="285">
        <v>2.8985507246376807</v>
      </c>
      <c r="AP14" s="207">
        <v>0</v>
      </c>
      <c r="AQ14" s="207">
        <v>0</v>
      </c>
      <c r="AR14" s="207">
        <v>0.23980000000000001</v>
      </c>
      <c r="AS14" s="287">
        <v>0.2059</v>
      </c>
      <c r="AT14" s="208" t="s">
        <v>262</v>
      </c>
      <c r="AU14" s="208" t="s">
        <v>262</v>
      </c>
      <c r="AV14" s="208">
        <v>0.50264290799999989</v>
      </c>
      <c r="AW14" s="287">
        <v>0.26388895000000001</v>
      </c>
      <c r="AX14" s="208"/>
      <c r="AY14" s="284">
        <v>452</v>
      </c>
      <c r="AZ14" s="208" t="s">
        <v>262</v>
      </c>
      <c r="BA14" s="208" t="s">
        <v>262</v>
      </c>
      <c r="BB14" s="207" t="s">
        <v>262</v>
      </c>
      <c r="BC14" s="208">
        <v>1.294994E-2</v>
      </c>
      <c r="BD14" s="208">
        <v>1.77485E-2</v>
      </c>
      <c r="BE14" s="287">
        <v>3.0219799999999998E-2</v>
      </c>
      <c r="BF14" s="207" t="s">
        <v>262</v>
      </c>
      <c r="BG14" s="207" t="s">
        <v>262</v>
      </c>
      <c r="BH14" s="207">
        <v>1.95006E-2</v>
      </c>
      <c r="BI14" s="288">
        <v>3.6794899999999998E-2</v>
      </c>
    </row>
    <row r="15" spans="1:61" s="200" customFormat="1">
      <c r="A15" s="279"/>
      <c r="B15" s="201" t="s">
        <v>219</v>
      </c>
      <c r="C15" s="202">
        <v>453</v>
      </c>
      <c r="D15" s="202" t="s">
        <v>116</v>
      </c>
      <c r="E15" s="203">
        <v>0</v>
      </c>
      <c r="F15" s="204">
        <v>0</v>
      </c>
      <c r="G15" s="203" t="s">
        <v>248</v>
      </c>
      <c r="H15" s="280" t="s">
        <v>16</v>
      </c>
      <c r="I15" s="205">
        <v>0.55000000000000004</v>
      </c>
      <c r="J15" s="281">
        <v>0.12</v>
      </c>
      <c r="K15" s="206">
        <v>1.9287180032326616</v>
      </c>
      <c r="L15" s="282">
        <v>1119.9148845915752</v>
      </c>
      <c r="M15" s="283"/>
      <c r="N15" s="284">
        <v>453</v>
      </c>
      <c r="O15" s="206">
        <v>0.12250999999999999</v>
      </c>
      <c r="P15" s="204">
        <v>1.5601</v>
      </c>
      <c r="Q15" s="204">
        <v>1.4470000000000001</v>
      </c>
      <c r="R15" s="204">
        <v>1.9692000000000001</v>
      </c>
      <c r="S15" s="206">
        <v>0.19600000000000001</v>
      </c>
      <c r="T15" s="206">
        <v>0.23335999999999996</v>
      </c>
      <c r="U15" s="285">
        <v>1.4486000000000001</v>
      </c>
      <c r="V15" s="206">
        <v>0.12222</v>
      </c>
      <c r="W15" s="204">
        <v>1.6102000000000001</v>
      </c>
      <c r="X15" s="204">
        <v>1.4986999999999999</v>
      </c>
      <c r="Y15" s="204">
        <v>1.8286</v>
      </c>
      <c r="Z15" s="206">
        <v>0.191</v>
      </c>
      <c r="AA15" s="206">
        <v>0.23656000000000002</v>
      </c>
      <c r="AB15" s="285">
        <v>1.4931999999999999</v>
      </c>
      <c r="AC15" s="206">
        <v>0.11591</v>
      </c>
      <c r="AD15" s="204">
        <v>1.5809</v>
      </c>
      <c r="AE15" s="204">
        <v>1.4708000000000001</v>
      </c>
      <c r="AF15" s="204">
        <v>1.8286</v>
      </c>
      <c r="AG15" s="206">
        <v>0.20100000000000001</v>
      </c>
      <c r="AH15" s="206">
        <v>0.21322000000000002</v>
      </c>
      <c r="AI15" s="285">
        <v>1.4574</v>
      </c>
      <c r="AJ15" s="286">
        <v>1386</v>
      </c>
      <c r="AL15" s="284">
        <v>453</v>
      </c>
      <c r="AM15" s="208">
        <v>0.18514050000000001</v>
      </c>
      <c r="AN15" s="204">
        <v>1.8037518037518039</v>
      </c>
      <c r="AO15" s="285">
        <v>0</v>
      </c>
      <c r="AP15" s="207">
        <v>3.1899999999999998E-2</v>
      </c>
      <c r="AQ15" s="207">
        <v>8.5400000000000004E-2</v>
      </c>
      <c r="AR15" s="207">
        <v>3.5752000000000002</v>
      </c>
      <c r="AS15" s="287">
        <v>2.5777000000000001</v>
      </c>
      <c r="AT15" s="208">
        <v>0.17220534240000002</v>
      </c>
      <c r="AU15" s="208" t="s">
        <v>262</v>
      </c>
      <c r="AV15" s="208">
        <v>1.219064658</v>
      </c>
      <c r="AW15" s="287">
        <v>0.74087325000000004</v>
      </c>
      <c r="AX15" s="208"/>
      <c r="AY15" s="284">
        <v>453</v>
      </c>
      <c r="AZ15" s="208">
        <v>9.2869400000000005E-3</v>
      </c>
      <c r="BA15" s="208">
        <v>1.3599509999999999E-2</v>
      </c>
      <c r="BB15" s="207">
        <v>1.79805E-2</v>
      </c>
      <c r="BC15" s="208">
        <v>2.7352899999999999E-2</v>
      </c>
      <c r="BD15" s="208">
        <v>3.46471E-2</v>
      </c>
      <c r="BE15" s="287">
        <v>5.5633700000000001E-2</v>
      </c>
      <c r="BF15" s="207">
        <v>1.0372404999999999E-2</v>
      </c>
      <c r="BG15" s="207">
        <v>3.330698E-3</v>
      </c>
      <c r="BH15" s="207">
        <v>1.95006E-2</v>
      </c>
      <c r="BI15" s="288">
        <v>3.2306500000000002E-2</v>
      </c>
    </row>
    <row r="16" spans="1:61" s="200" customFormat="1">
      <c r="A16" s="279"/>
      <c r="B16" s="201" t="s">
        <v>219</v>
      </c>
      <c r="C16" s="202">
        <v>454</v>
      </c>
      <c r="D16" s="202" t="s">
        <v>117</v>
      </c>
      <c r="E16" s="203">
        <v>0</v>
      </c>
      <c r="F16" s="204">
        <v>0</v>
      </c>
      <c r="G16" s="203" t="s">
        <v>248</v>
      </c>
      <c r="H16" s="280" t="s">
        <v>17</v>
      </c>
      <c r="I16" s="205">
        <v>0.55000000000000004</v>
      </c>
      <c r="J16" s="281">
        <v>0.12</v>
      </c>
      <c r="K16" s="206">
        <v>1.3638095790823928</v>
      </c>
      <c r="L16" s="282">
        <v>1103.8597825859642</v>
      </c>
      <c r="M16" s="283"/>
      <c r="N16" s="284">
        <v>454</v>
      </c>
      <c r="O16" s="206">
        <v>0.11913</v>
      </c>
      <c r="P16" s="204">
        <v>1.1654</v>
      </c>
      <c r="Q16" s="204">
        <v>1.1088</v>
      </c>
      <c r="R16" s="204">
        <v>1.3473999999999999</v>
      </c>
      <c r="S16" s="206">
        <v>0.192</v>
      </c>
      <c r="T16" s="206">
        <v>0.2142</v>
      </c>
      <c r="U16" s="285">
        <v>1.1275999999999999</v>
      </c>
      <c r="V16" s="206">
        <v>0.10975</v>
      </c>
      <c r="W16" s="204">
        <v>1.1944999999999999</v>
      </c>
      <c r="X16" s="204">
        <v>1.139</v>
      </c>
      <c r="Y16" s="204">
        <v>1.3473999999999999</v>
      </c>
      <c r="Z16" s="206">
        <v>0.186</v>
      </c>
      <c r="AA16" s="206">
        <v>0.20698</v>
      </c>
      <c r="AB16" s="285">
        <v>1.1459999999999997</v>
      </c>
      <c r="AC16" s="206">
        <v>0.11214</v>
      </c>
      <c r="AD16" s="204">
        <v>1.1879</v>
      </c>
      <c r="AE16" s="204">
        <v>1.1352</v>
      </c>
      <c r="AF16" s="204">
        <v>1.28</v>
      </c>
      <c r="AG16" s="206">
        <v>0.19800000000000001</v>
      </c>
      <c r="AH16" s="206">
        <v>0.20326</v>
      </c>
      <c r="AI16" s="285">
        <v>1.1463999999999999</v>
      </c>
      <c r="AJ16" s="286">
        <v>1253</v>
      </c>
      <c r="AL16" s="284">
        <v>454</v>
      </c>
      <c r="AM16" s="208">
        <v>0.12985840000000001</v>
      </c>
      <c r="AN16" s="204" t="s">
        <v>262</v>
      </c>
      <c r="AO16" s="285">
        <v>48.284118116520354</v>
      </c>
      <c r="AP16" s="207">
        <v>0</v>
      </c>
      <c r="AQ16" s="207">
        <v>0</v>
      </c>
      <c r="AR16" s="207">
        <v>1.0218</v>
      </c>
      <c r="AS16" s="287">
        <v>0.87280000000000002</v>
      </c>
      <c r="AT16" s="207" t="s">
        <v>262</v>
      </c>
      <c r="AU16" s="207" t="s">
        <v>262</v>
      </c>
      <c r="AV16" s="207">
        <v>0.86257178700000003</v>
      </c>
      <c r="AW16" s="287">
        <v>0.54484137500000007</v>
      </c>
      <c r="AX16" s="208"/>
      <c r="AY16" s="284">
        <v>454</v>
      </c>
      <c r="AZ16" s="208" t="s">
        <v>262</v>
      </c>
      <c r="BA16" s="208" t="s">
        <v>262</v>
      </c>
      <c r="BB16" s="207">
        <v>6.2906000000000004E-3</v>
      </c>
      <c r="BC16" s="208">
        <v>1.98266E-2</v>
      </c>
      <c r="BD16" s="208">
        <v>2.5755800000000002E-2</v>
      </c>
      <c r="BE16" s="287">
        <v>4.2351699999999999E-2</v>
      </c>
      <c r="BF16" s="207">
        <v>5.3724050000000002E-3</v>
      </c>
      <c r="BG16" s="207">
        <v>99.000330697999999</v>
      </c>
      <c r="BH16" s="207">
        <v>2.1500600000000002E-2</v>
      </c>
      <c r="BI16" s="288">
        <v>3.2794900000000002E-2</v>
      </c>
    </row>
    <row r="17" spans="1:61" s="200" customFormat="1">
      <c r="A17" s="279"/>
      <c r="B17" s="201" t="s">
        <v>219</v>
      </c>
      <c r="C17" s="202">
        <v>456</v>
      </c>
      <c r="D17" s="202" t="s">
        <v>118</v>
      </c>
      <c r="E17" s="203">
        <v>0</v>
      </c>
      <c r="F17" s="204">
        <v>0</v>
      </c>
      <c r="G17" s="203" t="s">
        <v>248</v>
      </c>
      <c r="H17" s="280" t="s">
        <v>18</v>
      </c>
      <c r="I17" s="205">
        <v>0.55000000000000004</v>
      </c>
      <c r="J17" s="281">
        <v>0.15</v>
      </c>
      <c r="K17" s="206">
        <v>2.1563722823279452</v>
      </c>
      <c r="L17" s="282">
        <v>1092.7443538737139</v>
      </c>
      <c r="M17" s="283"/>
      <c r="N17" s="284">
        <v>456</v>
      </c>
      <c r="O17" s="206">
        <v>0.15223999999999999</v>
      </c>
      <c r="P17" s="204">
        <v>1.7229000000000001</v>
      </c>
      <c r="Q17" s="204">
        <v>1.5880000000000001</v>
      </c>
      <c r="R17" s="204">
        <v>2.1333000000000002</v>
      </c>
      <c r="S17" s="206">
        <v>0.191</v>
      </c>
      <c r="T17" s="206">
        <v>0.29853999999999997</v>
      </c>
      <c r="U17" s="285">
        <v>1.6161999999999999</v>
      </c>
      <c r="V17" s="206">
        <v>0.15658</v>
      </c>
      <c r="W17" s="204">
        <v>1.756</v>
      </c>
      <c r="X17" s="204">
        <v>1.6295999999999999</v>
      </c>
      <c r="Y17" s="204">
        <v>2.1333000000000002</v>
      </c>
      <c r="Z17" s="206">
        <v>0.192</v>
      </c>
      <c r="AA17" s="206">
        <v>0.32263999999999998</v>
      </c>
      <c r="AB17" s="285">
        <v>1.6978000000000002</v>
      </c>
      <c r="AC17" s="206">
        <v>0.14384</v>
      </c>
      <c r="AD17" s="204">
        <v>1.7048000000000001</v>
      </c>
      <c r="AE17" s="204">
        <v>1.5734999999999999</v>
      </c>
      <c r="AF17" s="204">
        <v>2.1333000000000002</v>
      </c>
      <c r="AG17" s="206">
        <v>0.20100000000000001</v>
      </c>
      <c r="AH17" s="206">
        <v>0.29656000000000005</v>
      </c>
      <c r="AI17" s="285">
        <v>1.5967999999999998</v>
      </c>
      <c r="AJ17" s="286">
        <v>1362</v>
      </c>
      <c r="AL17" s="284">
        <v>456</v>
      </c>
      <c r="AM17" s="208">
        <v>0.25849300000000003</v>
      </c>
      <c r="AN17" s="204">
        <v>47.723935389133629</v>
      </c>
      <c r="AO17" s="285">
        <v>0</v>
      </c>
      <c r="AP17" s="207">
        <v>0.23849999999999999</v>
      </c>
      <c r="AQ17" s="207">
        <v>0.85899999999999999</v>
      </c>
      <c r="AR17" s="207">
        <v>7.2736999999999998</v>
      </c>
      <c r="AS17" s="287">
        <v>5.5397999999999996</v>
      </c>
      <c r="AT17" s="208">
        <v>0.52982588399999997</v>
      </c>
      <c r="AU17" s="208">
        <v>0.36884212199999999</v>
      </c>
      <c r="AV17" s="208">
        <v>1.6133841279999999</v>
      </c>
      <c r="AW17" s="287">
        <v>0.97103174999999997</v>
      </c>
      <c r="AX17" s="208"/>
      <c r="AY17" s="284">
        <v>456</v>
      </c>
      <c r="AZ17" s="208">
        <v>2.2971900000000003E-2</v>
      </c>
      <c r="BA17" s="208">
        <v>3.2686199999999999E-2</v>
      </c>
      <c r="BB17" s="207">
        <v>3.4600699999999998E-2</v>
      </c>
      <c r="BC17" s="208">
        <v>3.8156299999999997E-2</v>
      </c>
      <c r="BD17" s="208">
        <v>5.0847400000000001E-2</v>
      </c>
      <c r="BE17" s="287">
        <v>7.0849799999999991E-2</v>
      </c>
      <c r="BF17" s="207">
        <v>1.0372404999999999E-2</v>
      </c>
      <c r="BG17" s="207">
        <v>1.0330698000000001E-2</v>
      </c>
      <c r="BH17" s="207">
        <v>2.5500599999999998E-2</v>
      </c>
      <c r="BI17" s="288">
        <v>3.83065E-2</v>
      </c>
    </row>
    <row r="18" spans="1:61" s="200" customFormat="1">
      <c r="A18" s="279"/>
      <c r="B18" s="289" t="s">
        <v>219</v>
      </c>
      <c r="C18" s="290">
        <v>457</v>
      </c>
      <c r="D18" s="290" t="s">
        <v>119</v>
      </c>
      <c r="E18" s="291">
        <v>0</v>
      </c>
      <c r="F18" s="213">
        <v>0</v>
      </c>
      <c r="G18" s="291" t="s">
        <v>248</v>
      </c>
      <c r="H18" s="292" t="s">
        <v>19</v>
      </c>
      <c r="I18" s="293">
        <v>0.55000000000000004</v>
      </c>
      <c r="J18" s="294">
        <v>0.15</v>
      </c>
      <c r="K18" s="212">
        <v>1.5247854635968026</v>
      </c>
      <c r="L18" s="295">
        <v>1116.1033617173778</v>
      </c>
      <c r="M18" s="283"/>
      <c r="N18" s="296">
        <v>457</v>
      </c>
      <c r="O18" s="212">
        <v>0.14674999999999999</v>
      </c>
      <c r="P18" s="213">
        <v>1.298</v>
      </c>
      <c r="Q18" s="213">
        <v>1.2282</v>
      </c>
      <c r="R18" s="213">
        <v>1.5059</v>
      </c>
      <c r="S18" s="212">
        <v>0.19700000000000001</v>
      </c>
      <c r="T18" s="212">
        <v>0.27145999999999998</v>
      </c>
      <c r="U18" s="297">
        <v>1.2572000000000001</v>
      </c>
      <c r="V18" s="212">
        <v>0.14066999999999999</v>
      </c>
      <c r="W18" s="213">
        <v>1.3471</v>
      </c>
      <c r="X18" s="213">
        <v>1.2827999999999999</v>
      </c>
      <c r="Y18" s="213">
        <v>1.5059</v>
      </c>
      <c r="Z18" s="212">
        <v>0.188</v>
      </c>
      <c r="AA18" s="212">
        <v>0.26715999999999995</v>
      </c>
      <c r="AB18" s="297">
        <v>1.3009999999999999</v>
      </c>
      <c r="AC18" s="212">
        <v>0.13879</v>
      </c>
      <c r="AD18" s="213">
        <v>1.3263</v>
      </c>
      <c r="AE18" s="213">
        <v>1.2604</v>
      </c>
      <c r="AF18" s="213">
        <v>1.5059</v>
      </c>
      <c r="AG18" s="212">
        <v>0.20499999999999999</v>
      </c>
      <c r="AH18" s="212">
        <v>0.25337999999999999</v>
      </c>
      <c r="AI18" s="297">
        <v>1.2786</v>
      </c>
      <c r="AJ18" s="298">
        <v>1261</v>
      </c>
      <c r="AL18" s="296">
        <v>457</v>
      </c>
      <c r="AM18" s="214">
        <v>0.17774489999999998</v>
      </c>
      <c r="AN18" s="213">
        <v>0.63441712926249005</v>
      </c>
      <c r="AO18" s="297">
        <v>128.86597938144331</v>
      </c>
      <c r="AP18" s="214">
        <v>2.4199999999999999E-2</v>
      </c>
      <c r="AQ18" s="214">
        <v>2.5499999999999998E-2</v>
      </c>
      <c r="AR18" s="214">
        <v>2.9074</v>
      </c>
      <c r="AS18" s="299">
        <v>2.5375999999999999</v>
      </c>
      <c r="AT18" s="214" t="s">
        <v>262</v>
      </c>
      <c r="AU18" s="214" t="s">
        <v>262</v>
      </c>
      <c r="AV18" s="214">
        <v>1.127362674</v>
      </c>
      <c r="AW18" s="299">
        <v>0.73293674999999991</v>
      </c>
      <c r="AX18" s="207"/>
      <c r="AY18" s="296">
        <v>457</v>
      </c>
      <c r="AZ18" s="214">
        <v>4.42735E-3</v>
      </c>
      <c r="BA18" s="214">
        <v>1.118193E-2</v>
      </c>
      <c r="BB18" s="214">
        <v>1.45495E-2</v>
      </c>
      <c r="BC18" s="214">
        <v>2.5218600000000001E-2</v>
      </c>
      <c r="BD18" s="214">
        <v>3.6290599999999999E-2</v>
      </c>
      <c r="BE18" s="299">
        <v>5.7545800000000001E-2</v>
      </c>
      <c r="BF18" s="214">
        <v>1.0372404999999999E-2</v>
      </c>
      <c r="BG18" s="214">
        <v>5.330698E-3</v>
      </c>
      <c r="BH18" s="214">
        <v>2.2500599999999999E-2</v>
      </c>
      <c r="BI18" s="299">
        <v>3.2794900000000002E-2</v>
      </c>
    </row>
    <row r="19" spans="1:61">
      <c r="A19" s="274"/>
      <c r="B19" s="130" t="s">
        <v>220</v>
      </c>
      <c r="C19" s="131">
        <v>418</v>
      </c>
      <c r="D19" s="131" t="s">
        <v>29</v>
      </c>
      <c r="E19" s="132">
        <v>0</v>
      </c>
      <c r="F19" s="133">
        <v>0</v>
      </c>
      <c r="G19" s="132" t="s">
        <v>252</v>
      </c>
      <c r="H19" s="134" t="s">
        <v>14</v>
      </c>
      <c r="I19" s="135">
        <v>0.5</v>
      </c>
      <c r="J19" s="136">
        <v>7.0000000000000007E-2</v>
      </c>
      <c r="K19" s="137">
        <v>1.474</v>
      </c>
      <c r="L19" s="138">
        <v>1021.3395830763537</v>
      </c>
      <c r="M19" s="26"/>
      <c r="N19" s="273">
        <v>418</v>
      </c>
      <c r="O19" s="137">
        <v>6.9420999999999997E-2</v>
      </c>
      <c r="P19" s="133">
        <v>1.2390000000000001</v>
      </c>
      <c r="Q19" s="133">
        <v>1.1828000000000001</v>
      </c>
      <c r="R19" s="133">
        <v>1.4221999999999999</v>
      </c>
      <c r="S19" s="137">
        <v>0.19600000000000001</v>
      </c>
      <c r="T19" s="137">
        <v>0.1439</v>
      </c>
      <c r="U19" s="139">
        <v>1.1814</v>
      </c>
      <c r="V19" s="137">
        <v>6.4868999999999996E-2</v>
      </c>
      <c r="W19" s="133">
        <v>1.2626999999999999</v>
      </c>
      <c r="X19" s="133">
        <v>1.2000999999999999</v>
      </c>
      <c r="Y19" s="133">
        <v>1.5059</v>
      </c>
      <c r="Z19" s="137">
        <v>0.20699999999999999</v>
      </c>
      <c r="AA19" s="137">
        <v>0.12833999999999998</v>
      </c>
      <c r="AB19" s="139">
        <v>1.1788000000000001</v>
      </c>
      <c r="AC19" s="137">
        <v>6.6131999999999996E-2</v>
      </c>
      <c r="AD19" s="133">
        <v>1.2504999999999999</v>
      </c>
      <c r="AE19" s="133">
        <v>1.1951000000000001</v>
      </c>
      <c r="AF19" s="133">
        <v>1.5059</v>
      </c>
      <c r="AG19" s="137">
        <v>0.19500000000000001</v>
      </c>
      <c r="AH19" s="137">
        <v>0.12414</v>
      </c>
      <c r="AI19" s="139">
        <v>1.1705999999999999</v>
      </c>
      <c r="AJ19" s="140">
        <v>1210</v>
      </c>
      <c r="AL19" s="273">
        <v>418</v>
      </c>
      <c r="AM19" s="141">
        <v>8.8659299999999996E-2</v>
      </c>
      <c r="AN19" s="133" t="s">
        <v>262</v>
      </c>
      <c r="AO19" s="139">
        <v>1.4049586776859504</v>
      </c>
      <c r="AP19" s="142">
        <v>0</v>
      </c>
      <c r="AQ19" s="142">
        <v>0</v>
      </c>
      <c r="AR19" s="142">
        <v>0</v>
      </c>
      <c r="AS19" s="143">
        <v>0</v>
      </c>
      <c r="AT19" s="141" t="s">
        <v>262</v>
      </c>
      <c r="AU19" s="141">
        <v>6.932024417999999E-2</v>
      </c>
      <c r="AV19" s="141" t="s">
        <v>262</v>
      </c>
      <c r="AW19" s="143" t="s">
        <v>262</v>
      </c>
      <c r="AX19" s="37"/>
      <c r="AY19" s="273">
        <v>418</v>
      </c>
      <c r="AZ19" s="141" t="s">
        <v>262</v>
      </c>
      <c r="BA19" s="141" t="s">
        <v>262</v>
      </c>
      <c r="BB19" s="142" t="s">
        <v>262</v>
      </c>
      <c r="BC19" s="141">
        <v>3.0573874000000001E-3</v>
      </c>
      <c r="BD19" s="141">
        <v>5.1721559999999998E-3</v>
      </c>
      <c r="BE19" s="143">
        <v>1.033944E-2</v>
      </c>
      <c r="BF19" s="142" t="s">
        <v>262</v>
      </c>
      <c r="BG19" s="142" t="s">
        <v>262</v>
      </c>
      <c r="BH19" s="142">
        <v>4.35006E-2</v>
      </c>
      <c r="BI19" s="144">
        <v>7.7283299999999999E-2</v>
      </c>
    </row>
    <row r="20" spans="1:61">
      <c r="A20" s="274"/>
      <c r="B20" s="16" t="s">
        <v>220</v>
      </c>
      <c r="C20" s="6">
        <v>419</v>
      </c>
      <c r="D20" s="6" t="s">
        <v>30</v>
      </c>
      <c r="E20" s="72">
        <v>0</v>
      </c>
      <c r="F20" s="73">
        <v>0</v>
      </c>
      <c r="G20" s="72" t="s">
        <v>252</v>
      </c>
      <c r="H20" s="74" t="s">
        <v>16</v>
      </c>
      <c r="I20" s="104">
        <v>0.5</v>
      </c>
      <c r="J20" s="107">
        <v>0.1</v>
      </c>
      <c r="K20" s="79">
        <v>1.76</v>
      </c>
      <c r="L20" s="108">
        <v>1004.1322314049585</v>
      </c>
      <c r="M20" s="26"/>
      <c r="N20" s="271">
        <v>419</v>
      </c>
      <c r="O20" s="79">
        <v>9.8777000000000004E-2</v>
      </c>
      <c r="P20" s="73">
        <v>1.4502999999999999</v>
      </c>
      <c r="Q20" s="73">
        <v>1.3686</v>
      </c>
      <c r="R20" s="73">
        <v>1.7067000000000001</v>
      </c>
      <c r="S20" s="79">
        <v>0.19400000000000001</v>
      </c>
      <c r="T20" s="79">
        <v>0.19858000000000001</v>
      </c>
      <c r="U20" s="112">
        <v>1.3846000000000001</v>
      </c>
      <c r="V20" s="79">
        <v>9.6411999999999998E-2</v>
      </c>
      <c r="W20" s="73">
        <v>1.4988999999999999</v>
      </c>
      <c r="X20" s="73">
        <v>1.4136</v>
      </c>
      <c r="Y20" s="73">
        <v>1.7067000000000001</v>
      </c>
      <c r="Z20" s="79">
        <v>0.20399999999999999</v>
      </c>
      <c r="AA20" s="79">
        <v>0.18920000000000001</v>
      </c>
      <c r="AB20" s="112">
        <v>1.4064000000000001</v>
      </c>
      <c r="AC20" s="79">
        <v>9.5200000000000007E-2</v>
      </c>
      <c r="AD20" s="73">
        <v>1.4709000000000001</v>
      </c>
      <c r="AE20" s="73">
        <v>1.3920999999999999</v>
      </c>
      <c r="AF20" s="73">
        <v>1.7067000000000001</v>
      </c>
      <c r="AG20" s="79">
        <v>0.20599999999999999</v>
      </c>
      <c r="AH20" s="79">
        <v>0.18870000000000001</v>
      </c>
      <c r="AI20" s="112">
        <v>1.3725999999999998</v>
      </c>
      <c r="AJ20" s="19">
        <v>1201</v>
      </c>
      <c r="AL20" s="271">
        <v>419</v>
      </c>
      <c r="AM20" s="37">
        <v>0.15051530000000002</v>
      </c>
      <c r="AN20" s="73">
        <v>8.3263946711074108E-2</v>
      </c>
      <c r="AO20" s="112">
        <v>0</v>
      </c>
      <c r="AP20" s="77">
        <v>0</v>
      </c>
      <c r="AQ20" s="77">
        <v>0</v>
      </c>
      <c r="AR20" s="77">
        <v>0</v>
      </c>
      <c r="AS20" s="114">
        <v>0</v>
      </c>
      <c r="AT20" s="37" t="s">
        <v>262</v>
      </c>
      <c r="AU20" s="37" t="s">
        <v>262</v>
      </c>
      <c r="AV20" s="37">
        <v>0.50722730309999997</v>
      </c>
      <c r="AW20" s="114">
        <v>0.25833339999999999</v>
      </c>
      <c r="AX20" s="37"/>
      <c r="AY20" s="271">
        <v>419</v>
      </c>
      <c r="AZ20" s="37" t="s">
        <v>262</v>
      </c>
      <c r="BA20" s="37" t="s">
        <v>262</v>
      </c>
      <c r="BB20" s="77" t="s">
        <v>262</v>
      </c>
      <c r="BC20" s="37">
        <v>1.0647130000000001E-2</v>
      </c>
      <c r="BD20" s="37">
        <v>1.985837E-2</v>
      </c>
      <c r="BE20" s="114">
        <v>2.2412700000000001E-2</v>
      </c>
      <c r="BF20" s="77" t="s">
        <v>262</v>
      </c>
      <c r="BG20" s="77" t="s">
        <v>262</v>
      </c>
      <c r="BH20" s="77" t="s">
        <v>262</v>
      </c>
      <c r="BI20" s="76">
        <v>0.12728330000000002</v>
      </c>
    </row>
    <row r="21" spans="1:61">
      <c r="A21" s="274"/>
      <c r="B21" s="115" t="s">
        <v>220</v>
      </c>
      <c r="C21" s="116">
        <v>421</v>
      </c>
      <c r="D21" s="116" t="s">
        <v>107</v>
      </c>
      <c r="E21" s="117">
        <v>0</v>
      </c>
      <c r="F21" s="118">
        <v>0</v>
      </c>
      <c r="G21" s="117" t="s">
        <v>252</v>
      </c>
      <c r="H21" s="119" t="s">
        <v>18</v>
      </c>
      <c r="I21" s="120">
        <v>0.5</v>
      </c>
      <c r="J21" s="121">
        <v>0.15</v>
      </c>
      <c r="K21" s="122">
        <v>2.1560000000000001</v>
      </c>
      <c r="L21" s="123">
        <v>1001.855287569573</v>
      </c>
      <c r="M21" s="26"/>
      <c r="N21" s="278">
        <v>421</v>
      </c>
      <c r="O21" s="122">
        <v>0.15343000000000001</v>
      </c>
      <c r="P21" s="118">
        <v>1.7455000000000001</v>
      </c>
      <c r="Q21" s="118">
        <v>1.6155999999999999</v>
      </c>
      <c r="R21" s="118">
        <v>2.1333000000000002</v>
      </c>
      <c r="S21" s="122">
        <v>0.20200000000000001</v>
      </c>
      <c r="T21" s="122">
        <v>0.31842000000000004</v>
      </c>
      <c r="U21" s="124">
        <v>1.6765999999999999</v>
      </c>
      <c r="V21" s="122">
        <v>0.15483</v>
      </c>
      <c r="W21" s="118">
        <v>1.7549999999999999</v>
      </c>
      <c r="X21" s="118">
        <v>1.6281000000000001</v>
      </c>
      <c r="Y21" s="118">
        <v>2.1333000000000002</v>
      </c>
      <c r="Z21" s="122">
        <v>0.19900000000000001</v>
      </c>
      <c r="AA21" s="122">
        <v>0.31717999999999996</v>
      </c>
      <c r="AB21" s="124">
        <v>1.7617999999999998</v>
      </c>
      <c r="AC21" s="122">
        <v>0.14499000000000001</v>
      </c>
      <c r="AD21" s="118">
        <v>1.7055</v>
      </c>
      <c r="AE21" s="118">
        <v>1.5749</v>
      </c>
      <c r="AF21" s="118">
        <v>2.1333000000000002</v>
      </c>
      <c r="AG21" s="122">
        <v>0.215</v>
      </c>
      <c r="AH21" s="122">
        <v>0.28942000000000001</v>
      </c>
      <c r="AI21" s="124">
        <v>1.6628000000000001</v>
      </c>
      <c r="AJ21" s="125">
        <v>1205</v>
      </c>
      <c r="AL21" s="278">
        <v>421</v>
      </c>
      <c r="AM21" s="128">
        <v>0.24356290000000003</v>
      </c>
      <c r="AN21" s="118">
        <v>0</v>
      </c>
      <c r="AO21" s="124" t="s">
        <v>262</v>
      </c>
      <c r="AP21" s="126">
        <v>7.8E-2</v>
      </c>
      <c r="AQ21" s="126">
        <v>0.1394</v>
      </c>
      <c r="AR21" s="126">
        <v>0.1138</v>
      </c>
      <c r="AS21" s="129">
        <v>0.29349999999999998</v>
      </c>
      <c r="AT21" s="128" t="s">
        <v>262</v>
      </c>
      <c r="AU21" s="128" t="s">
        <v>262</v>
      </c>
      <c r="AV21" s="128">
        <v>1.447174282</v>
      </c>
      <c r="AW21" s="129">
        <v>0.84484075000000003</v>
      </c>
      <c r="AX21" s="37"/>
      <c r="AY21" s="278">
        <v>421</v>
      </c>
      <c r="AZ21" s="128">
        <v>1.0432239999999999E-2</v>
      </c>
      <c r="BA21" s="128">
        <v>5.2942620000000001E-3</v>
      </c>
      <c r="BB21" s="126">
        <v>2.2925519999999998E-2</v>
      </c>
      <c r="BC21" s="128">
        <v>2.471551E-2</v>
      </c>
      <c r="BD21" s="128">
        <v>4.4932800000000002E-2</v>
      </c>
      <c r="BE21" s="129">
        <v>4.7560400000000003E-2</v>
      </c>
      <c r="BF21" s="126">
        <v>1.2372405E-2</v>
      </c>
      <c r="BG21" s="126">
        <v>9.3306980000000001E-3</v>
      </c>
      <c r="BH21" s="126">
        <v>3.3500599999999998E-2</v>
      </c>
      <c r="BI21" s="127">
        <v>4.72833E-2</v>
      </c>
    </row>
    <row r="22" spans="1:61">
      <c r="A22" s="274"/>
      <c r="B22" s="16" t="s">
        <v>221</v>
      </c>
      <c r="C22" s="6">
        <v>464</v>
      </c>
      <c r="D22" s="6" t="s">
        <v>126</v>
      </c>
      <c r="E22" s="72">
        <v>0</v>
      </c>
      <c r="F22" s="73">
        <v>0</v>
      </c>
      <c r="G22" s="72" t="s">
        <v>253</v>
      </c>
      <c r="H22" s="74" t="s">
        <v>14</v>
      </c>
      <c r="I22" s="104">
        <v>0.55000000000000004</v>
      </c>
      <c r="J22" s="107">
        <v>0.09</v>
      </c>
      <c r="K22" s="79">
        <v>1.6703187875358823</v>
      </c>
      <c r="L22" s="108">
        <v>1097.2320292409461</v>
      </c>
      <c r="M22" s="26"/>
      <c r="N22" s="271">
        <v>464</v>
      </c>
      <c r="O22" s="79">
        <v>9.2813000000000007E-2</v>
      </c>
      <c r="P22" s="73">
        <v>1.4171</v>
      </c>
      <c r="Q22" s="73">
        <v>1.3480000000000001</v>
      </c>
      <c r="R22" s="73">
        <v>1.6</v>
      </c>
      <c r="S22" s="79">
        <v>0.188</v>
      </c>
      <c r="T22" s="79">
        <v>0.18157999999999999</v>
      </c>
      <c r="U22" s="112">
        <v>1.365</v>
      </c>
      <c r="V22" s="79">
        <v>8.8237999999999997E-2</v>
      </c>
      <c r="W22" s="73">
        <v>1.4609000000000001</v>
      </c>
      <c r="X22" s="73">
        <v>1.3917999999999999</v>
      </c>
      <c r="Y22" s="73">
        <v>1.7067000000000001</v>
      </c>
      <c r="Z22" s="79">
        <v>0.16900000000000001</v>
      </c>
      <c r="AA22" s="79">
        <v>0.17231999999999997</v>
      </c>
      <c r="AB22" s="112">
        <v>1.385</v>
      </c>
      <c r="AC22" s="79">
        <v>8.7276000000000006E-2</v>
      </c>
      <c r="AD22" s="73">
        <v>1.4257</v>
      </c>
      <c r="AE22" s="73">
        <v>1.3557999999999999</v>
      </c>
      <c r="AF22" s="73">
        <v>1.6</v>
      </c>
      <c r="AG22" s="79">
        <v>0.17299999999999999</v>
      </c>
      <c r="AH22" s="79">
        <v>0.16714000000000001</v>
      </c>
      <c r="AI22" s="112">
        <v>1.3641999999999999</v>
      </c>
      <c r="AJ22" s="19">
        <v>1263</v>
      </c>
      <c r="AL22" s="271">
        <v>464</v>
      </c>
      <c r="AM22" s="37">
        <v>7.2422549599999969E-2</v>
      </c>
      <c r="AN22" s="73" t="s">
        <v>262</v>
      </c>
      <c r="AO22" s="112">
        <v>0.31670625494853522</v>
      </c>
      <c r="AP22" s="77">
        <v>0</v>
      </c>
      <c r="AQ22" s="77">
        <v>0</v>
      </c>
      <c r="AR22" s="77">
        <v>1.3371999999999999</v>
      </c>
      <c r="AS22" s="114">
        <v>0.61309999999999998</v>
      </c>
      <c r="AT22" s="37" t="s">
        <v>262</v>
      </c>
      <c r="AU22" s="37" t="s">
        <v>262</v>
      </c>
      <c r="AV22" s="37">
        <v>0.837355619</v>
      </c>
      <c r="AW22" s="114">
        <v>0.52182487500000008</v>
      </c>
      <c r="AX22" s="37"/>
      <c r="AY22" s="271">
        <v>464</v>
      </c>
      <c r="AZ22" s="37">
        <v>2.4859590000000003E-3</v>
      </c>
      <c r="BA22" s="37" t="s">
        <v>262</v>
      </c>
      <c r="BB22" s="77" t="s">
        <v>262</v>
      </c>
      <c r="BC22" s="37">
        <v>1.7526300000000002E-2</v>
      </c>
      <c r="BD22" s="37">
        <v>2.7851000000000001E-2</v>
      </c>
      <c r="BE22" s="114">
        <v>3.9118399999999998E-2</v>
      </c>
      <c r="BF22" s="77">
        <v>5.3724050000000002E-3</v>
      </c>
      <c r="BG22" s="77">
        <v>2.330698E-3</v>
      </c>
      <c r="BH22" s="77">
        <v>2.2500599999999999E-2</v>
      </c>
      <c r="BI22" s="76">
        <v>3.87949E-2</v>
      </c>
    </row>
    <row r="23" spans="1:61">
      <c r="A23" s="274"/>
      <c r="B23" s="16" t="s">
        <v>221</v>
      </c>
      <c r="C23" s="6">
        <v>465</v>
      </c>
      <c r="D23" s="6" t="s">
        <v>127</v>
      </c>
      <c r="E23" s="72">
        <v>0</v>
      </c>
      <c r="F23" s="73">
        <v>0</v>
      </c>
      <c r="G23" s="72" t="s">
        <v>253</v>
      </c>
      <c r="H23" s="74" t="s">
        <v>16</v>
      </c>
      <c r="I23" s="104">
        <v>0.55000000000000004</v>
      </c>
      <c r="J23" s="107">
        <v>0.12</v>
      </c>
      <c r="K23" s="79">
        <v>1.9287180032326616</v>
      </c>
      <c r="L23" s="108">
        <v>1119.9148845915752</v>
      </c>
      <c r="M23" s="26"/>
      <c r="N23" s="271">
        <v>465</v>
      </c>
      <c r="O23" s="79">
        <v>0.12252</v>
      </c>
      <c r="P23" s="73">
        <v>1.5768</v>
      </c>
      <c r="Q23" s="73">
        <v>1.4736</v>
      </c>
      <c r="R23" s="73">
        <v>1.9692000000000001</v>
      </c>
      <c r="S23" s="79">
        <v>0.186</v>
      </c>
      <c r="T23" s="79">
        <v>0.22586000000000001</v>
      </c>
      <c r="U23" s="112">
        <v>1.5089999999999999</v>
      </c>
      <c r="V23" s="79">
        <v>0.1207</v>
      </c>
      <c r="W23" s="73">
        <v>1.6526000000000001</v>
      </c>
      <c r="X23" s="73">
        <v>1.5571999999999999</v>
      </c>
      <c r="Y23" s="73">
        <v>1.8286</v>
      </c>
      <c r="Z23" s="79">
        <v>0.188</v>
      </c>
      <c r="AA23" s="79">
        <v>0.23225999999999999</v>
      </c>
      <c r="AB23" s="112">
        <v>1.5691999999999999</v>
      </c>
      <c r="AC23" s="79">
        <v>0.11434999999999999</v>
      </c>
      <c r="AD23" s="73">
        <v>1.5961000000000001</v>
      </c>
      <c r="AE23" s="73">
        <v>1.4938</v>
      </c>
      <c r="AF23" s="73">
        <v>1.8286</v>
      </c>
      <c r="AG23" s="79">
        <v>0.19500000000000001</v>
      </c>
      <c r="AH23" s="79">
        <v>0.21067999999999998</v>
      </c>
      <c r="AI23" s="112">
        <v>1.5187999999999999</v>
      </c>
      <c r="AJ23" s="19">
        <v>1341</v>
      </c>
      <c r="AL23" s="271">
        <v>465</v>
      </c>
      <c r="AM23" s="37">
        <v>0.12810635809999993</v>
      </c>
      <c r="AN23" s="73">
        <v>7.4571215510812819E-2</v>
      </c>
      <c r="AO23" s="112">
        <v>5.2199850857568979</v>
      </c>
      <c r="AP23" s="77">
        <v>6.7100000000000007E-2</v>
      </c>
      <c r="AQ23" s="77">
        <v>0.123</v>
      </c>
      <c r="AR23" s="77">
        <v>3.4651000000000001</v>
      </c>
      <c r="AS23" s="114">
        <v>2.3995000000000002</v>
      </c>
      <c r="AT23" s="37" t="s">
        <v>262</v>
      </c>
      <c r="AU23" s="37" t="s">
        <v>262</v>
      </c>
      <c r="AV23" s="37">
        <v>1.2442831729999999</v>
      </c>
      <c r="AW23" s="114">
        <v>0.79722174999999995</v>
      </c>
      <c r="AX23" s="37"/>
      <c r="AY23" s="271">
        <v>465</v>
      </c>
      <c r="AZ23" s="37">
        <v>7.8485959999999994E-3</v>
      </c>
      <c r="BA23" s="37">
        <v>1.000733E-2</v>
      </c>
      <c r="BB23" s="77">
        <v>1.3921860000000001E-2</v>
      </c>
      <c r="BC23" s="37">
        <v>2.6507900000000001E-2</v>
      </c>
      <c r="BD23" s="37">
        <v>4.0336999999999998E-2</v>
      </c>
      <c r="BE23" s="114">
        <v>5.4986599999999997E-2</v>
      </c>
      <c r="BF23" s="77">
        <v>7.3724050000000003E-3</v>
      </c>
      <c r="BG23" s="77">
        <v>5.330698E-3</v>
      </c>
      <c r="BH23" s="77">
        <v>2.75006E-2</v>
      </c>
      <c r="BI23" s="76">
        <v>4.63065E-2</v>
      </c>
    </row>
    <row r="24" spans="1:61">
      <c r="A24" s="274"/>
      <c r="B24" s="115" t="s">
        <v>221</v>
      </c>
      <c r="C24" s="116">
        <v>466</v>
      </c>
      <c r="D24" s="116" t="s">
        <v>128</v>
      </c>
      <c r="E24" s="117">
        <v>0</v>
      </c>
      <c r="F24" s="118">
        <v>0</v>
      </c>
      <c r="G24" s="117" t="s">
        <v>253</v>
      </c>
      <c r="H24" s="119" t="s">
        <v>18</v>
      </c>
      <c r="I24" s="120">
        <v>0.55000000000000004</v>
      </c>
      <c r="J24" s="121">
        <v>0.15</v>
      </c>
      <c r="K24" s="122">
        <v>2.1563722823279452</v>
      </c>
      <c r="L24" s="123">
        <v>1092.7443538737139</v>
      </c>
      <c r="M24" s="26"/>
      <c r="N24" s="278">
        <v>466</v>
      </c>
      <c r="O24" s="122">
        <v>0.15342</v>
      </c>
      <c r="P24" s="118">
        <v>1.7403999999999999</v>
      </c>
      <c r="Q24" s="118">
        <v>1.6144000000000001</v>
      </c>
      <c r="R24" s="118">
        <v>2.1333000000000002</v>
      </c>
      <c r="S24" s="122">
        <v>0.18099999999999999</v>
      </c>
      <c r="T24" s="122">
        <v>0.29480000000000001</v>
      </c>
      <c r="U24" s="124">
        <v>1.671</v>
      </c>
      <c r="V24" s="122">
        <v>0.15659000000000001</v>
      </c>
      <c r="W24" s="118">
        <v>1.788</v>
      </c>
      <c r="X24" s="118">
        <v>1.6733</v>
      </c>
      <c r="Y24" s="118">
        <v>2.1333000000000002</v>
      </c>
      <c r="Z24" s="122">
        <v>0.186</v>
      </c>
      <c r="AA24" s="122">
        <v>0.32066</v>
      </c>
      <c r="AB24" s="124">
        <v>1.7549999999999999</v>
      </c>
      <c r="AC24" s="122">
        <v>0.14319999999999999</v>
      </c>
      <c r="AD24" s="118">
        <v>1.7269000000000001</v>
      </c>
      <c r="AE24" s="118">
        <v>1.6034999999999999</v>
      </c>
      <c r="AF24" s="118">
        <v>2.1333000000000002</v>
      </c>
      <c r="AG24" s="122">
        <v>0.192</v>
      </c>
      <c r="AH24" s="122">
        <v>0.29206000000000004</v>
      </c>
      <c r="AI24" s="124">
        <v>1.6785999999999999</v>
      </c>
      <c r="AJ24" s="125">
        <v>1306</v>
      </c>
      <c r="AL24" s="278">
        <v>466</v>
      </c>
      <c r="AM24" s="128">
        <v>0.19803669009999997</v>
      </c>
      <c r="AN24" s="118">
        <v>1.761102603369066</v>
      </c>
      <c r="AO24" s="124">
        <v>0</v>
      </c>
      <c r="AP24" s="126">
        <v>0.34050000000000002</v>
      </c>
      <c r="AQ24" s="126">
        <v>0.8861</v>
      </c>
      <c r="AR24" s="126">
        <v>7.3205</v>
      </c>
      <c r="AS24" s="129">
        <v>5.6092000000000004</v>
      </c>
      <c r="AT24" s="128" t="s">
        <v>262</v>
      </c>
      <c r="AU24" s="128">
        <v>0.41258465819999995</v>
      </c>
      <c r="AV24" s="128">
        <v>1.7715695810000001</v>
      </c>
      <c r="AW24" s="129">
        <v>1.079762125</v>
      </c>
      <c r="AX24" s="37"/>
      <c r="AY24" s="278">
        <v>466</v>
      </c>
      <c r="AZ24" s="128">
        <v>2.1059830000000002E-2</v>
      </c>
      <c r="BA24" s="128">
        <v>3.0058599999999998E-2</v>
      </c>
      <c r="BB24" s="126">
        <v>3.0859600000000001E-2</v>
      </c>
      <c r="BC24" s="128">
        <v>3.6969500000000002E-2</v>
      </c>
      <c r="BD24" s="128">
        <v>5.1750900000000002E-2</v>
      </c>
      <c r="BE24" s="129">
        <v>6.9631299999999993E-2</v>
      </c>
      <c r="BF24" s="126">
        <v>2.0372405E-2</v>
      </c>
      <c r="BG24" s="126">
        <v>1.2330698000000001E-2</v>
      </c>
      <c r="BH24" s="126">
        <v>3.8500600000000003E-2</v>
      </c>
      <c r="BI24" s="127">
        <v>6.13065E-2</v>
      </c>
    </row>
    <row r="25" spans="1:61">
      <c r="A25" s="274"/>
      <c r="B25" s="16" t="s">
        <v>222</v>
      </c>
      <c r="C25" s="6">
        <v>458</v>
      </c>
      <c r="D25" s="6" t="s">
        <v>120</v>
      </c>
      <c r="E25" s="72">
        <v>0</v>
      </c>
      <c r="F25" s="73">
        <v>0.3</v>
      </c>
      <c r="G25" s="72" t="s">
        <v>248</v>
      </c>
      <c r="H25" s="74" t="s">
        <v>14</v>
      </c>
      <c r="I25" s="104">
        <v>0.55000000000000004</v>
      </c>
      <c r="J25" s="107">
        <v>0.09</v>
      </c>
      <c r="K25" s="79">
        <v>1.6703187875358823</v>
      </c>
      <c r="L25" s="108">
        <v>1097.2320292409461</v>
      </c>
      <c r="M25" s="26"/>
      <c r="N25" s="271">
        <v>458</v>
      </c>
      <c r="O25" s="79">
        <v>8.8900000000000007E-2</v>
      </c>
      <c r="P25" s="73">
        <v>1.3835</v>
      </c>
      <c r="Q25" s="73">
        <v>1.3032999999999999</v>
      </c>
      <c r="R25" s="73">
        <v>1.7067000000000001</v>
      </c>
      <c r="S25" s="79">
        <v>0.21299999999999999</v>
      </c>
      <c r="T25" s="79">
        <v>0.17191999999999999</v>
      </c>
      <c r="U25" s="112">
        <v>1.2789999999999999</v>
      </c>
      <c r="V25" s="79">
        <v>8.1268999999999994E-2</v>
      </c>
      <c r="W25" s="73">
        <v>1.3916999999999999</v>
      </c>
      <c r="X25" s="73">
        <v>1.3093999999999999</v>
      </c>
      <c r="Y25" s="73">
        <v>1.7067000000000001</v>
      </c>
      <c r="Z25" s="79">
        <v>0.223</v>
      </c>
      <c r="AA25" s="79">
        <v>0.15912000000000001</v>
      </c>
      <c r="AB25" s="112">
        <v>1.2814000000000001</v>
      </c>
      <c r="AC25" s="79">
        <v>8.4828000000000001E-2</v>
      </c>
      <c r="AD25" s="73">
        <v>1.3854</v>
      </c>
      <c r="AE25" s="73">
        <v>1.3076000000000001</v>
      </c>
      <c r="AF25" s="73">
        <v>1.6</v>
      </c>
      <c r="AG25" s="79">
        <v>0.21</v>
      </c>
      <c r="AH25" s="79">
        <v>0.16596000000000002</v>
      </c>
      <c r="AI25" s="112">
        <v>1.2731999999999999</v>
      </c>
      <c r="AJ25" s="19">
        <v>1350</v>
      </c>
      <c r="AL25" s="271">
        <v>458</v>
      </c>
      <c r="AM25" s="37">
        <v>9.4351689699999963E-2</v>
      </c>
      <c r="AN25" s="73" t="s">
        <v>262</v>
      </c>
      <c r="AO25" s="112">
        <v>1.4814814814814816</v>
      </c>
      <c r="AP25" s="77">
        <v>0</v>
      </c>
      <c r="AQ25" s="77">
        <v>0</v>
      </c>
      <c r="AR25" s="77">
        <v>0.75600000000000001</v>
      </c>
      <c r="AS25" s="114">
        <v>1.2905</v>
      </c>
      <c r="AT25" s="77" t="s">
        <v>262</v>
      </c>
      <c r="AU25" s="77">
        <v>1.11217788E-3</v>
      </c>
      <c r="AV25" s="77">
        <v>0.83620793599999999</v>
      </c>
      <c r="AW25" s="114">
        <v>0.53055600000000003</v>
      </c>
      <c r="AX25" s="37"/>
      <c r="AY25" s="271">
        <v>458</v>
      </c>
      <c r="AZ25" s="37" t="s">
        <v>262</v>
      </c>
      <c r="BA25" s="37" t="s">
        <v>262</v>
      </c>
      <c r="BB25" s="77" t="s">
        <v>262</v>
      </c>
      <c r="BC25" s="37">
        <v>2.0752139999999999E-2</v>
      </c>
      <c r="BD25" s="37">
        <v>3.0441999999999997E-2</v>
      </c>
      <c r="BE25" s="114">
        <v>4.1648360000000002E-2</v>
      </c>
      <c r="BF25" s="77">
        <v>6.3724050000000003E-3</v>
      </c>
      <c r="BG25" s="77">
        <v>3.330698E-3</v>
      </c>
      <c r="BH25" s="77">
        <v>2.9500600000000002E-2</v>
      </c>
      <c r="BI25" s="76">
        <v>5.4306499999999994E-2</v>
      </c>
    </row>
    <row r="26" spans="1:61">
      <c r="A26" s="274"/>
      <c r="B26" s="16" t="s">
        <v>222</v>
      </c>
      <c r="C26" s="6">
        <v>459</v>
      </c>
      <c r="D26" s="6" t="s">
        <v>121</v>
      </c>
      <c r="E26" s="72">
        <v>0</v>
      </c>
      <c r="F26" s="73">
        <v>0.3</v>
      </c>
      <c r="G26" s="72" t="s">
        <v>248</v>
      </c>
      <c r="H26" s="74" t="s">
        <v>15</v>
      </c>
      <c r="I26" s="104">
        <v>0.55000000000000004</v>
      </c>
      <c r="J26" s="107">
        <v>0.09</v>
      </c>
      <c r="K26" s="79">
        <v>1.1810937414099143</v>
      </c>
      <c r="L26" s="108">
        <v>1108.3717263019273</v>
      </c>
      <c r="M26" s="26"/>
      <c r="N26" s="271">
        <v>459</v>
      </c>
      <c r="O26" s="79">
        <v>9.0495999999999993E-2</v>
      </c>
      <c r="P26" s="73">
        <v>1.0262</v>
      </c>
      <c r="Q26" s="73">
        <v>0.98226999999999998</v>
      </c>
      <c r="R26" s="73">
        <v>1.1636</v>
      </c>
      <c r="S26" s="79">
        <v>0.184</v>
      </c>
      <c r="T26" s="79">
        <v>0.16040000000000001</v>
      </c>
      <c r="U26" s="112">
        <v>0.98786000000000007</v>
      </c>
      <c r="V26" s="79">
        <v>8.4804000000000004E-2</v>
      </c>
      <c r="W26" s="73">
        <v>1.0385</v>
      </c>
      <c r="X26" s="73">
        <v>0.99999000000000005</v>
      </c>
      <c r="Y26" s="73">
        <v>1.1636</v>
      </c>
      <c r="Z26" s="79">
        <v>0.18099999999999999</v>
      </c>
      <c r="AA26" s="79">
        <v>0.15092</v>
      </c>
      <c r="AB26" s="112">
        <v>1.0039799999999999</v>
      </c>
      <c r="AC26" s="79">
        <v>8.5555999999999993E-2</v>
      </c>
      <c r="AD26" s="73">
        <v>1.0416000000000001</v>
      </c>
      <c r="AE26" s="73">
        <v>1.0028999999999999</v>
      </c>
      <c r="AF26" s="73">
        <v>1.2190000000000001</v>
      </c>
      <c r="AG26" s="79">
        <v>0.187</v>
      </c>
      <c r="AH26" s="79">
        <v>0.15678</v>
      </c>
      <c r="AI26" s="112">
        <v>0.99938000000000005</v>
      </c>
      <c r="AJ26" s="19">
        <v>1266</v>
      </c>
      <c r="AL26" s="271">
        <v>459</v>
      </c>
      <c r="AM26" s="37">
        <v>4.8890949999999975E-2</v>
      </c>
      <c r="AN26" s="73" t="s">
        <v>262</v>
      </c>
      <c r="AO26" s="112">
        <v>7.8988941548183256E-2</v>
      </c>
      <c r="AP26" s="77">
        <v>0</v>
      </c>
      <c r="AQ26" s="77">
        <v>0</v>
      </c>
      <c r="AR26" s="77">
        <v>0.246</v>
      </c>
      <c r="AS26" s="114">
        <v>0.254</v>
      </c>
      <c r="AT26" s="37" t="s">
        <v>262</v>
      </c>
      <c r="AU26" s="37" t="s">
        <v>262</v>
      </c>
      <c r="AV26" s="37">
        <v>0.45564423299999995</v>
      </c>
      <c r="AW26" s="114">
        <v>0.26237705000000006</v>
      </c>
      <c r="AX26" s="37"/>
      <c r="AY26" s="271">
        <v>459</v>
      </c>
      <c r="AZ26" s="37" t="s">
        <v>262</v>
      </c>
      <c r="BA26" s="37" t="s">
        <v>262</v>
      </c>
      <c r="BB26" s="77" t="s">
        <v>262</v>
      </c>
      <c r="BC26" s="37">
        <v>1.197314E-2</v>
      </c>
      <c r="BD26" s="37">
        <v>1.6451799999999999E-2</v>
      </c>
      <c r="BE26" s="114">
        <v>3.09866E-2</v>
      </c>
      <c r="BF26" s="77" t="s">
        <v>262</v>
      </c>
      <c r="BG26" s="77" t="s">
        <v>262</v>
      </c>
      <c r="BH26" s="77">
        <v>1.8500599999999999E-2</v>
      </c>
      <c r="BI26" s="76">
        <v>3.1794900000000001E-2</v>
      </c>
    </row>
    <row r="27" spans="1:61">
      <c r="A27" s="274"/>
      <c r="B27" s="16" t="s">
        <v>222</v>
      </c>
      <c r="C27" s="6">
        <v>460</v>
      </c>
      <c r="D27" s="6" t="s">
        <v>122</v>
      </c>
      <c r="E27" s="72">
        <v>0</v>
      </c>
      <c r="F27" s="73">
        <v>0.3</v>
      </c>
      <c r="G27" s="72" t="s">
        <v>248</v>
      </c>
      <c r="H27" s="74" t="s">
        <v>16</v>
      </c>
      <c r="I27" s="104">
        <v>0.55000000000000004</v>
      </c>
      <c r="J27" s="107">
        <v>0.12</v>
      </c>
      <c r="K27" s="79">
        <v>1.9287180032326616</v>
      </c>
      <c r="L27" s="108">
        <v>1119.9148845915752</v>
      </c>
      <c r="M27" s="26"/>
      <c r="N27" s="271">
        <v>460</v>
      </c>
      <c r="O27" s="79">
        <v>0.12489</v>
      </c>
      <c r="P27" s="73">
        <v>1.587</v>
      </c>
      <c r="Q27" s="73">
        <v>1.4756</v>
      </c>
      <c r="R27" s="73">
        <v>1.9692000000000001</v>
      </c>
      <c r="S27" s="79">
        <v>0.21299999999999999</v>
      </c>
      <c r="T27" s="79">
        <v>0.23582</v>
      </c>
      <c r="U27" s="112">
        <v>1.4629999999999999</v>
      </c>
      <c r="V27" s="79">
        <v>0.11899</v>
      </c>
      <c r="W27" s="73">
        <v>1.6304000000000001</v>
      </c>
      <c r="X27" s="73">
        <v>1.5203</v>
      </c>
      <c r="Y27" s="73">
        <v>1.9692000000000001</v>
      </c>
      <c r="Z27" s="79">
        <v>0.20599999999999999</v>
      </c>
      <c r="AA27" s="79">
        <v>0.23713999999999999</v>
      </c>
      <c r="AB27" s="112">
        <v>1.498</v>
      </c>
      <c r="AC27" s="79">
        <v>0.11765</v>
      </c>
      <c r="AD27" s="73">
        <v>1.607</v>
      </c>
      <c r="AE27" s="73">
        <v>1.4972000000000001</v>
      </c>
      <c r="AF27" s="73">
        <v>1.9692000000000001</v>
      </c>
      <c r="AG27" s="79">
        <v>0.19600000000000001</v>
      </c>
      <c r="AH27" s="79">
        <v>0.22886000000000001</v>
      </c>
      <c r="AI27" s="112">
        <v>1.4786000000000001</v>
      </c>
      <c r="AJ27" s="19">
        <v>1375</v>
      </c>
      <c r="AL27" s="271">
        <v>460</v>
      </c>
      <c r="AM27" s="77">
        <v>0.14306594799999994</v>
      </c>
      <c r="AN27" s="73">
        <v>0.14545454545454545</v>
      </c>
      <c r="AO27" s="112">
        <v>41.090909090909093</v>
      </c>
      <c r="AP27" s="77">
        <v>5.8299999999999998E-2</v>
      </c>
      <c r="AQ27" s="77">
        <v>5.2400000000000002E-2</v>
      </c>
      <c r="AR27" s="77">
        <v>3.4586000000000001</v>
      </c>
      <c r="AS27" s="76">
        <v>3.8123</v>
      </c>
      <c r="AT27" s="77" t="s">
        <v>262</v>
      </c>
      <c r="AU27" s="77">
        <v>7.1544402599999987E-2</v>
      </c>
      <c r="AV27" s="77">
        <v>1.295865539</v>
      </c>
      <c r="AW27" s="76">
        <v>0.80754049999999999</v>
      </c>
      <c r="AX27" s="77"/>
      <c r="AY27" s="271">
        <v>460</v>
      </c>
      <c r="AZ27" s="77">
        <v>9.77045E-3</v>
      </c>
      <c r="BA27" s="77">
        <v>1.5096460000000001E-2</v>
      </c>
      <c r="BB27" s="77">
        <v>1.8051299999999999E-2</v>
      </c>
      <c r="BC27" s="77">
        <v>2.9892600000000002E-2</v>
      </c>
      <c r="BD27" s="77" t="s">
        <v>262</v>
      </c>
      <c r="BE27" s="76">
        <v>5.8322299999999994E-2</v>
      </c>
      <c r="BF27" s="77">
        <v>6.3724050000000003E-3</v>
      </c>
      <c r="BG27" s="77">
        <v>3.330698E-3</v>
      </c>
      <c r="BH27" s="77">
        <v>2.5500599999999998E-2</v>
      </c>
      <c r="BI27" s="76">
        <v>3.6306499999999998E-2</v>
      </c>
    </row>
    <row r="28" spans="1:61">
      <c r="A28" s="274"/>
      <c r="B28" s="16" t="s">
        <v>222</v>
      </c>
      <c r="C28" s="6">
        <v>461</v>
      </c>
      <c r="D28" s="6" t="s">
        <v>123</v>
      </c>
      <c r="E28" s="72">
        <v>0</v>
      </c>
      <c r="F28" s="73">
        <v>0.3</v>
      </c>
      <c r="G28" s="72" t="s">
        <v>248</v>
      </c>
      <c r="H28" s="74" t="s">
        <v>17</v>
      </c>
      <c r="I28" s="104">
        <v>0.55000000000000004</v>
      </c>
      <c r="J28" s="107">
        <v>0.12</v>
      </c>
      <c r="K28" s="79">
        <v>1.3638095790823928</v>
      </c>
      <c r="L28" s="108">
        <v>1103.8597825859642</v>
      </c>
      <c r="M28" s="26"/>
      <c r="N28" s="271">
        <v>461</v>
      </c>
      <c r="O28" s="79">
        <v>0.12114</v>
      </c>
      <c r="P28" s="73">
        <v>1.1716</v>
      </c>
      <c r="Q28" s="73">
        <v>1.1166</v>
      </c>
      <c r="R28" s="73">
        <v>1.3473999999999999</v>
      </c>
      <c r="S28" s="79">
        <v>0.189</v>
      </c>
      <c r="T28" s="79">
        <v>0.22270000000000004</v>
      </c>
      <c r="U28" s="112">
        <v>1.1228</v>
      </c>
      <c r="V28" s="79">
        <v>0.10562000000000001</v>
      </c>
      <c r="W28" s="73">
        <v>1.1726000000000001</v>
      </c>
      <c r="X28" s="73">
        <v>1.1223000000000001</v>
      </c>
      <c r="Y28" s="73">
        <v>1.3473999999999999</v>
      </c>
      <c r="Z28" s="79">
        <v>0.189</v>
      </c>
      <c r="AA28" s="79">
        <v>0.19778000000000001</v>
      </c>
      <c r="AB28" s="112">
        <v>1.1244000000000001</v>
      </c>
      <c r="AC28" s="79">
        <v>0.11448</v>
      </c>
      <c r="AD28" s="73">
        <v>1.1958</v>
      </c>
      <c r="AE28" s="73">
        <v>1.1474</v>
      </c>
      <c r="AF28" s="73">
        <v>1.3473999999999999</v>
      </c>
      <c r="AG28" s="79">
        <v>0.19600000000000001</v>
      </c>
      <c r="AH28" s="79">
        <v>0.21158000000000002</v>
      </c>
      <c r="AI28" s="112">
        <v>1.1439999999999999</v>
      </c>
      <c r="AJ28" s="19">
        <v>1258</v>
      </c>
      <c r="AL28" s="271">
        <v>461</v>
      </c>
      <c r="AM28" s="37">
        <v>8.8759774799999996E-2</v>
      </c>
      <c r="AN28" s="73" t="s">
        <v>262</v>
      </c>
      <c r="AO28" s="112">
        <v>0.71542130365659784</v>
      </c>
      <c r="AP28" s="77">
        <v>0</v>
      </c>
      <c r="AQ28" s="77">
        <v>0</v>
      </c>
      <c r="AR28" s="77">
        <v>0.92559999999999998</v>
      </c>
      <c r="AS28" s="114">
        <v>1.3382000000000001</v>
      </c>
      <c r="AT28" s="37" t="s">
        <v>262</v>
      </c>
      <c r="AU28" s="37" t="s">
        <v>262</v>
      </c>
      <c r="AV28" s="37">
        <v>0.79723600100000003</v>
      </c>
      <c r="AW28" s="114">
        <v>0.50912712500000001</v>
      </c>
      <c r="AX28" s="37"/>
      <c r="AY28" s="271">
        <v>461</v>
      </c>
      <c r="AZ28" s="37" t="s">
        <v>262</v>
      </c>
      <c r="BA28" s="37" t="s">
        <v>262</v>
      </c>
      <c r="BB28" s="77">
        <v>6.2197800000000003E-3</v>
      </c>
      <c r="BC28" s="37">
        <v>2.0322300000000001E-2</v>
      </c>
      <c r="BD28" s="37">
        <v>2.90476E-2</v>
      </c>
      <c r="BE28" s="114">
        <v>4.3604400000000001E-2</v>
      </c>
      <c r="BF28" s="77">
        <v>4.3724050000000002E-3</v>
      </c>
      <c r="BG28" s="77">
        <v>2.330698E-3</v>
      </c>
      <c r="BH28" s="77">
        <v>2.2500599999999999E-2</v>
      </c>
      <c r="BI28" s="76">
        <v>3.4794900000000004E-2</v>
      </c>
    </row>
    <row r="29" spans="1:61">
      <c r="A29" s="274"/>
      <c r="B29" s="16" t="s">
        <v>222</v>
      </c>
      <c r="C29" s="6">
        <v>462</v>
      </c>
      <c r="D29" s="6" t="s">
        <v>124</v>
      </c>
      <c r="E29" s="72">
        <v>0</v>
      </c>
      <c r="F29" s="73">
        <v>0.3</v>
      </c>
      <c r="G29" s="72" t="s">
        <v>248</v>
      </c>
      <c r="H29" s="74" t="s">
        <v>18</v>
      </c>
      <c r="I29" s="104">
        <v>0.55000000000000004</v>
      </c>
      <c r="J29" s="107">
        <v>0.15</v>
      </c>
      <c r="K29" s="79">
        <v>2.1563722823279452</v>
      </c>
      <c r="L29" s="108">
        <v>1092.7443538737139</v>
      </c>
      <c r="M29" s="26"/>
      <c r="N29" s="271">
        <v>462</v>
      </c>
      <c r="O29" s="79">
        <v>0.15705</v>
      </c>
      <c r="P29" s="73">
        <v>1.7491000000000001</v>
      </c>
      <c r="Q29" s="73">
        <v>1.6205000000000001</v>
      </c>
      <c r="R29" s="73">
        <v>2.1333000000000002</v>
      </c>
      <c r="S29" s="79">
        <v>0.21299999999999999</v>
      </c>
      <c r="T29" s="79">
        <v>0.30427999999999999</v>
      </c>
      <c r="U29" s="112">
        <v>1.6182000000000003</v>
      </c>
      <c r="V29" s="79">
        <v>0.15376999999999999</v>
      </c>
      <c r="W29" s="73">
        <v>1.7794000000000001</v>
      </c>
      <c r="X29" s="73">
        <v>1.6524000000000001</v>
      </c>
      <c r="Y29" s="73">
        <v>2.1333000000000002</v>
      </c>
      <c r="Z29" s="79">
        <v>0.188</v>
      </c>
      <c r="AA29" s="79">
        <v>0.31795999999999996</v>
      </c>
      <c r="AB29" s="112">
        <v>1.6943999999999999</v>
      </c>
      <c r="AC29" s="79">
        <v>0.15375</v>
      </c>
      <c r="AD29" s="73">
        <v>1.7661</v>
      </c>
      <c r="AE29" s="73">
        <v>1.6427</v>
      </c>
      <c r="AF29" s="73">
        <v>2.1333000000000002</v>
      </c>
      <c r="AG29" s="79">
        <v>0.188</v>
      </c>
      <c r="AH29" s="79">
        <v>0.32293999999999995</v>
      </c>
      <c r="AI29" s="112">
        <v>1.6770000000000003</v>
      </c>
      <c r="AJ29" s="19">
        <v>1359</v>
      </c>
      <c r="AL29" s="271">
        <v>462</v>
      </c>
      <c r="AM29" s="37">
        <v>0.20240646800000001</v>
      </c>
      <c r="AN29" s="73">
        <v>2.0603384841795438</v>
      </c>
      <c r="AO29" s="112">
        <v>75.717439293598233</v>
      </c>
      <c r="AP29" s="77">
        <v>0.42409999999999998</v>
      </c>
      <c r="AQ29" s="77">
        <v>0.4264</v>
      </c>
      <c r="AR29" s="77">
        <v>8.2891999999999992</v>
      </c>
      <c r="AS29" s="114">
        <v>8.4187999999999992</v>
      </c>
      <c r="AT29" s="37" t="s">
        <v>262</v>
      </c>
      <c r="AU29" s="37">
        <v>0.41258480999999997</v>
      </c>
      <c r="AV29" s="37">
        <v>1.7773009550000001</v>
      </c>
      <c r="AW29" s="114">
        <v>1.0535720000000002</v>
      </c>
      <c r="AX29" s="37"/>
      <c r="AY29" s="271">
        <v>462</v>
      </c>
      <c r="AZ29" s="37">
        <v>2.10574E-2</v>
      </c>
      <c r="BA29" s="37">
        <v>2.9286900000000001E-2</v>
      </c>
      <c r="BB29" s="77">
        <v>3.1604399999999998E-2</v>
      </c>
      <c r="BC29" s="37">
        <v>3.8146800000000002E-2</v>
      </c>
      <c r="BD29" s="37">
        <v>5.74017E-2</v>
      </c>
      <c r="BE29" s="114">
        <v>7.9221E-2</v>
      </c>
      <c r="BF29" s="84">
        <v>8.3724049999999994E-3</v>
      </c>
      <c r="BG29" s="77">
        <v>6.3306980000000001E-3</v>
      </c>
      <c r="BH29" s="77">
        <v>2.5500599999999998E-2</v>
      </c>
      <c r="BI29" s="76">
        <v>4.1306499999999996E-2</v>
      </c>
    </row>
    <row r="30" spans="1:61">
      <c r="A30" s="274"/>
      <c r="B30" s="115" t="s">
        <v>222</v>
      </c>
      <c r="C30" s="116">
        <v>463</v>
      </c>
      <c r="D30" s="116" t="s">
        <v>125</v>
      </c>
      <c r="E30" s="117">
        <v>0</v>
      </c>
      <c r="F30" s="118">
        <v>0.3</v>
      </c>
      <c r="G30" s="117" t="s">
        <v>248</v>
      </c>
      <c r="H30" s="119" t="s">
        <v>19</v>
      </c>
      <c r="I30" s="120">
        <v>0.55000000000000004</v>
      </c>
      <c r="J30" s="121">
        <v>0.15</v>
      </c>
      <c r="K30" s="122">
        <v>1.5247854635968026</v>
      </c>
      <c r="L30" s="123">
        <v>1116.1033617173778</v>
      </c>
      <c r="M30" s="26"/>
      <c r="N30" s="278">
        <v>463</v>
      </c>
      <c r="O30" s="122">
        <v>0.14798</v>
      </c>
      <c r="P30" s="118">
        <v>1.2981</v>
      </c>
      <c r="Q30" s="118">
        <v>1.2314000000000001</v>
      </c>
      <c r="R30" s="118">
        <v>1.5059</v>
      </c>
      <c r="S30" s="122">
        <v>0.20200000000000001</v>
      </c>
      <c r="T30" s="122">
        <v>0.27661999999999998</v>
      </c>
      <c r="U30" s="124">
        <v>1.246</v>
      </c>
      <c r="V30" s="122">
        <v>0.13092999999999999</v>
      </c>
      <c r="W30" s="118">
        <v>1.3151999999999999</v>
      </c>
      <c r="X30" s="118">
        <v>1.2504</v>
      </c>
      <c r="Y30" s="118">
        <v>1.5059</v>
      </c>
      <c r="Z30" s="122">
        <v>0.191</v>
      </c>
      <c r="AA30" s="122">
        <v>0.24577999999999997</v>
      </c>
      <c r="AB30" s="124">
        <v>1.2571999999999999</v>
      </c>
      <c r="AC30" s="122">
        <v>0.1409</v>
      </c>
      <c r="AD30" s="118">
        <v>1.3264</v>
      </c>
      <c r="AE30" s="118">
        <v>1.2672000000000001</v>
      </c>
      <c r="AF30" s="118">
        <v>1.5059</v>
      </c>
      <c r="AG30" s="122">
        <v>0.19600000000000001</v>
      </c>
      <c r="AH30" s="122">
        <v>0.27534000000000003</v>
      </c>
      <c r="AI30" s="124">
        <v>1.2729999999999999</v>
      </c>
      <c r="AJ30" s="125">
        <v>1276</v>
      </c>
      <c r="AL30" s="278">
        <v>463</v>
      </c>
      <c r="AM30" s="128">
        <v>0.13171549099999999</v>
      </c>
      <c r="AN30" s="118" t="s">
        <v>262</v>
      </c>
      <c r="AO30" s="124">
        <v>6.4263322884012544</v>
      </c>
      <c r="AP30" s="126">
        <v>2.98E-2</v>
      </c>
      <c r="AQ30" s="126">
        <v>5.7799999999999997E-2</v>
      </c>
      <c r="AR30" s="126">
        <v>2.7288000000000001</v>
      </c>
      <c r="AS30" s="129">
        <v>3.8893</v>
      </c>
      <c r="AT30" s="128" t="s">
        <v>262</v>
      </c>
      <c r="AU30" s="128">
        <v>2.7060900239999998E-2</v>
      </c>
      <c r="AV30" s="128">
        <v>1.213333284</v>
      </c>
      <c r="AW30" s="129">
        <v>0.75119037499999997</v>
      </c>
      <c r="AX30" s="37"/>
      <c r="AY30" s="278">
        <v>463</v>
      </c>
      <c r="AZ30" s="128">
        <v>7.8168500000000002E-3</v>
      </c>
      <c r="BA30" s="128">
        <v>1.3181930000000001E-2</v>
      </c>
      <c r="BB30" s="126">
        <v>1.6471300000000001E-2</v>
      </c>
      <c r="BC30" s="128">
        <v>2.95727E-2</v>
      </c>
      <c r="BD30" s="128">
        <v>4.2691099999999996E-2</v>
      </c>
      <c r="BE30" s="129">
        <v>5.9775299999999996E-2</v>
      </c>
      <c r="BF30" s="126">
        <v>5.3724050000000002E-3</v>
      </c>
      <c r="BG30" s="126">
        <v>4.330698E-3</v>
      </c>
      <c r="BH30" s="126">
        <v>2.35006E-2</v>
      </c>
      <c r="BI30" s="127">
        <v>3.6306499999999998E-2</v>
      </c>
    </row>
    <row r="31" spans="1:61">
      <c r="A31" s="274"/>
      <c r="B31" s="16" t="s">
        <v>223</v>
      </c>
      <c r="C31" s="6">
        <v>412</v>
      </c>
      <c r="D31" s="6" t="s">
        <v>26</v>
      </c>
      <c r="E31" s="72">
        <v>0</v>
      </c>
      <c r="F31" s="73">
        <v>0.3</v>
      </c>
      <c r="G31" s="72" t="s">
        <v>253</v>
      </c>
      <c r="H31" s="74" t="s">
        <v>14</v>
      </c>
      <c r="I31" s="104">
        <v>0.5</v>
      </c>
      <c r="J31" s="107">
        <v>7.0000000000000007E-2</v>
      </c>
      <c r="K31" s="79">
        <v>1.474</v>
      </c>
      <c r="L31" s="108">
        <v>1021.3395830763537</v>
      </c>
      <c r="M31" s="26"/>
      <c r="N31" s="271">
        <v>412</v>
      </c>
      <c r="O31" s="79">
        <v>7.0018999999999998E-2</v>
      </c>
      <c r="P31" s="73">
        <v>1.2518</v>
      </c>
      <c r="Q31" s="73">
        <v>1.2001999999999999</v>
      </c>
      <c r="R31" s="73">
        <v>1.4221999999999999</v>
      </c>
      <c r="S31" s="79">
        <v>0.17100000000000001</v>
      </c>
      <c r="T31" s="79">
        <v>0.13918</v>
      </c>
      <c r="U31" s="112">
        <v>1.1901999999999999</v>
      </c>
      <c r="V31" s="79">
        <v>6.2114000000000003E-2</v>
      </c>
      <c r="W31" s="73">
        <v>1.2345999999999999</v>
      </c>
      <c r="X31" s="73">
        <v>1.1828000000000001</v>
      </c>
      <c r="Y31" s="73">
        <v>1.4221999999999999</v>
      </c>
      <c r="Z31" s="79">
        <v>0.21</v>
      </c>
      <c r="AA31" s="79">
        <v>0.11898</v>
      </c>
      <c r="AB31" s="112">
        <v>1.1544000000000001</v>
      </c>
      <c r="AC31" s="79">
        <v>6.7181000000000005E-2</v>
      </c>
      <c r="AD31" s="73">
        <v>1.2544999999999999</v>
      </c>
      <c r="AE31" s="73">
        <v>1.2050000000000001</v>
      </c>
      <c r="AF31" s="73">
        <v>1.5059</v>
      </c>
      <c r="AG31" s="79">
        <v>0.183</v>
      </c>
      <c r="AH31" s="79">
        <v>0.12201999999999999</v>
      </c>
      <c r="AI31" s="112">
        <v>1.1890000000000001</v>
      </c>
      <c r="AJ31" s="19">
        <v>1207</v>
      </c>
      <c r="AL31" s="271">
        <v>412</v>
      </c>
      <c r="AM31" s="37">
        <v>5.7775691999999962E-2</v>
      </c>
      <c r="AN31" s="73" t="s">
        <v>262</v>
      </c>
      <c r="AO31" s="112">
        <v>8.2850041425020712E-2</v>
      </c>
      <c r="AP31" s="77">
        <v>0</v>
      </c>
      <c r="AQ31" s="77">
        <v>0</v>
      </c>
      <c r="AR31" s="77">
        <v>0</v>
      </c>
      <c r="AS31" s="114">
        <v>0</v>
      </c>
      <c r="AT31" s="37">
        <v>4.2978267360000003E-2</v>
      </c>
      <c r="AU31" s="37" t="s">
        <v>262</v>
      </c>
      <c r="AV31" s="37" t="s">
        <v>262</v>
      </c>
      <c r="AW31" s="114" t="s">
        <v>262</v>
      </c>
      <c r="AX31" s="37"/>
      <c r="AY31" s="271">
        <v>412</v>
      </c>
      <c r="AZ31" s="37" t="s">
        <v>262</v>
      </c>
      <c r="BA31" s="37" t="s">
        <v>262</v>
      </c>
      <c r="BB31" s="77" t="s">
        <v>262</v>
      </c>
      <c r="BC31" s="37" t="s">
        <v>262</v>
      </c>
      <c r="BD31" s="37">
        <v>7.1672770000000005E-3</v>
      </c>
      <c r="BE31" s="114">
        <v>1.054945E-2</v>
      </c>
      <c r="BF31" s="77" t="s">
        <v>262</v>
      </c>
      <c r="BG31" s="77" t="s">
        <v>262</v>
      </c>
      <c r="BH31" s="77" t="s">
        <v>262</v>
      </c>
      <c r="BI31" s="76">
        <v>0.24728330000000001</v>
      </c>
    </row>
    <row r="32" spans="1:61">
      <c r="A32" s="274"/>
      <c r="B32" s="16" t="s">
        <v>223</v>
      </c>
      <c r="C32" s="6">
        <v>413</v>
      </c>
      <c r="D32" s="6" t="s">
        <v>27</v>
      </c>
      <c r="E32" s="72">
        <v>0</v>
      </c>
      <c r="F32" s="73">
        <v>0.3</v>
      </c>
      <c r="G32" s="72" t="s">
        <v>253</v>
      </c>
      <c r="H32" s="74" t="s">
        <v>16</v>
      </c>
      <c r="I32" s="104">
        <v>0.5</v>
      </c>
      <c r="J32" s="107">
        <v>0.1</v>
      </c>
      <c r="K32" s="79">
        <v>1.76</v>
      </c>
      <c r="L32" s="108">
        <v>1004.1322314049585</v>
      </c>
      <c r="M32" s="26"/>
      <c r="N32" s="271">
        <v>413</v>
      </c>
      <c r="O32" s="79">
        <v>9.6631999999999996E-2</v>
      </c>
      <c r="P32" s="73">
        <v>1.4529000000000001</v>
      </c>
      <c r="Q32" s="73">
        <v>1.3766</v>
      </c>
      <c r="R32" s="73">
        <v>1.7067000000000001</v>
      </c>
      <c r="S32" s="79">
        <v>0.184</v>
      </c>
      <c r="T32" s="79">
        <v>0.19729999999999998</v>
      </c>
      <c r="U32" s="112">
        <v>1.4028</v>
      </c>
      <c r="V32" s="79">
        <v>9.0372999999999995E-2</v>
      </c>
      <c r="W32" s="73">
        <v>1.4734</v>
      </c>
      <c r="X32" s="73">
        <v>1.3951</v>
      </c>
      <c r="Y32" s="73">
        <v>1.7067000000000001</v>
      </c>
      <c r="Z32" s="79">
        <v>0.19500000000000001</v>
      </c>
      <c r="AA32" s="79">
        <v>0.17258000000000001</v>
      </c>
      <c r="AB32" s="112">
        <v>1.4096</v>
      </c>
      <c r="AC32" s="79">
        <v>9.1005000000000003E-2</v>
      </c>
      <c r="AD32" s="73">
        <v>1.46</v>
      </c>
      <c r="AE32" s="73">
        <v>1.3857999999999999</v>
      </c>
      <c r="AF32" s="73">
        <v>1.7067000000000001</v>
      </c>
      <c r="AG32" s="79">
        <v>0.193</v>
      </c>
      <c r="AH32" s="79">
        <v>0.17268</v>
      </c>
      <c r="AI32" s="112">
        <v>1.3923999999999999</v>
      </c>
      <c r="AJ32" s="19">
        <v>1182</v>
      </c>
      <c r="AL32" s="271">
        <v>413</v>
      </c>
      <c r="AM32" s="37">
        <v>0.10816255249999998</v>
      </c>
      <c r="AN32" s="73" t="s">
        <v>262</v>
      </c>
      <c r="AO32" s="112">
        <v>3.1302876480541455</v>
      </c>
      <c r="AP32" s="77">
        <v>0</v>
      </c>
      <c r="AQ32" s="77">
        <v>0</v>
      </c>
      <c r="AR32" s="77">
        <v>0</v>
      </c>
      <c r="AS32" s="114">
        <v>0</v>
      </c>
      <c r="AT32" s="37">
        <v>2.4061649640000002E-2</v>
      </c>
      <c r="AU32" s="37">
        <v>15.140780496599998</v>
      </c>
      <c r="AV32" s="37">
        <v>0.50264220389999992</v>
      </c>
      <c r="AW32" s="114">
        <v>0.25515880000000002</v>
      </c>
      <c r="AX32" s="37"/>
      <c r="AY32" s="271">
        <v>413</v>
      </c>
      <c r="AZ32" s="37" t="s">
        <v>262</v>
      </c>
      <c r="BA32" s="37" t="s">
        <v>262</v>
      </c>
      <c r="BB32" s="77" t="s">
        <v>262</v>
      </c>
      <c r="BC32" s="37">
        <v>1.021734E-2</v>
      </c>
      <c r="BD32" s="37">
        <v>2.0478630000000001E-2</v>
      </c>
      <c r="BE32" s="114">
        <v>2.3748480000000002E-2</v>
      </c>
      <c r="BF32" s="77" t="s">
        <v>262</v>
      </c>
      <c r="BG32" s="77" t="s">
        <v>262</v>
      </c>
      <c r="BH32" s="77" t="s">
        <v>262</v>
      </c>
      <c r="BI32" s="76">
        <v>0.16728330000000002</v>
      </c>
    </row>
    <row r="33" spans="1:61">
      <c r="A33" s="274"/>
      <c r="B33" s="115" t="s">
        <v>223</v>
      </c>
      <c r="C33" s="116">
        <v>414</v>
      </c>
      <c r="D33" s="116" t="s">
        <v>104</v>
      </c>
      <c r="E33" s="117">
        <v>0</v>
      </c>
      <c r="F33" s="118">
        <v>0.3</v>
      </c>
      <c r="G33" s="117" t="s">
        <v>253</v>
      </c>
      <c r="H33" s="119" t="s">
        <v>18</v>
      </c>
      <c r="I33" s="120">
        <v>0.5</v>
      </c>
      <c r="J33" s="121">
        <v>0.15</v>
      </c>
      <c r="K33" s="122">
        <v>2.1560000000000001</v>
      </c>
      <c r="L33" s="123">
        <v>1001.855287569573</v>
      </c>
      <c r="M33" s="26"/>
      <c r="N33" s="278">
        <v>414</v>
      </c>
      <c r="O33" s="122">
        <v>0.14530000000000001</v>
      </c>
      <c r="P33" s="118">
        <v>1.7401</v>
      </c>
      <c r="Q33" s="118">
        <v>1.6248</v>
      </c>
      <c r="R33" s="118">
        <v>2.1333000000000002</v>
      </c>
      <c r="S33" s="122">
        <v>0.183</v>
      </c>
      <c r="T33" s="122">
        <v>0.29832000000000003</v>
      </c>
      <c r="U33" s="124">
        <v>1.7024000000000001</v>
      </c>
      <c r="V33" s="122">
        <v>0.14147000000000001</v>
      </c>
      <c r="W33" s="118">
        <v>1.7383</v>
      </c>
      <c r="X33" s="118">
        <v>1.6224000000000001</v>
      </c>
      <c r="Y33" s="118">
        <v>2.1333000000000002</v>
      </c>
      <c r="Z33" s="122">
        <v>0.184</v>
      </c>
      <c r="AA33" s="122">
        <v>0.27477999999999997</v>
      </c>
      <c r="AB33" s="124">
        <v>1.7538</v>
      </c>
      <c r="AC33" s="122">
        <v>0.14004</v>
      </c>
      <c r="AD33" s="118">
        <v>1.7257</v>
      </c>
      <c r="AE33" s="118">
        <v>1.6131</v>
      </c>
      <c r="AF33" s="118">
        <v>2.1333000000000002</v>
      </c>
      <c r="AG33" s="122">
        <v>0.19</v>
      </c>
      <c r="AH33" s="122">
        <v>0.26275999999999999</v>
      </c>
      <c r="AI33" s="124">
        <v>1.7314000000000001</v>
      </c>
      <c r="AJ33" s="125">
        <v>1175</v>
      </c>
      <c r="AL33" s="278">
        <v>414</v>
      </c>
      <c r="AM33" s="126">
        <v>0.2476508</v>
      </c>
      <c r="AN33" s="118" t="s">
        <v>262</v>
      </c>
      <c r="AO33" s="124" t="s">
        <v>262</v>
      </c>
      <c r="AP33" s="126">
        <v>0</v>
      </c>
      <c r="AQ33" s="126">
        <v>0</v>
      </c>
      <c r="AR33" s="126">
        <v>0</v>
      </c>
      <c r="AS33" s="127">
        <v>0</v>
      </c>
      <c r="AT33" s="126" t="s">
        <v>262</v>
      </c>
      <c r="AU33" s="126" t="s">
        <v>262</v>
      </c>
      <c r="AV33" s="126">
        <v>1.3222293899999999</v>
      </c>
      <c r="AW33" s="127">
        <v>0.81468237499999996</v>
      </c>
      <c r="AX33" s="77"/>
      <c r="AY33" s="278">
        <v>414</v>
      </c>
      <c r="AZ33" s="126">
        <v>1.2366301E-2</v>
      </c>
      <c r="BA33" s="126">
        <v>6.319903E-3</v>
      </c>
      <c r="BB33" s="126">
        <v>1.9550669999999999E-2</v>
      </c>
      <c r="BC33" s="126">
        <v>2.49231E-2</v>
      </c>
      <c r="BD33" s="126">
        <v>4.45592E-2</v>
      </c>
      <c r="BE33" s="127">
        <v>4.7562900000000005E-2</v>
      </c>
      <c r="BF33" s="126">
        <v>0.10037240500000001</v>
      </c>
      <c r="BG33" s="126">
        <v>6.0330697999999995E-2</v>
      </c>
      <c r="BH33" s="126">
        <v>0.21350060000000001</v>
      </c>
      <c r="BI33" s="127">
        <v>0.37728329999999999</v>
      </c>
    </row>
    <row r="34" spans="1:61">
      <c r="A34" s="274"/>
      <c r="B34" s="16" t="s">
        <v>224</v>
      </c>
      <c r="C34" s="6">
        <v>415</v>
      </c>
      <c r="D34" s="6" t="s">
        <v>105</v>
      </c>
      <c r="E34" s="72">
        <v>0</v>
      </c>
      <c r="F34" s="73">
        <v>0.3</v>
      </c>
      <c r="G34" s="72" t="s">
        <v>252</v>
      </c>
      <c r="H34" s="74" t="s">
        <v>14</v>
      </c>
      <c r="I34" s="104">
        <v>0.5</v>
      </c>
      <c r="J34" s="107">
        <v>7.0000000000000007E-2</v>
      </c>
      <c r="K34" s="79">
        <v>1.474</v>
      </c>
      <c r="L34" s="108">
        <v>1021.3395830763537</v>
      </c>
      <c r="M34" s="26"/>
      <c r="N34" s="271">
        <v>415</v>
      </c>
      <c r="O34" s="79">
        <v>7.0652999999999994E-2</v>
      </c>
      <c r="P34" s="73">
        <v>1.2461</v>
      </c>
      <c r="Q34" s="73">
        <v>1.1916</v>
      </c>
      <c r="R34" s="73">
        <v>1.4221999999999999</v>
      </c>
      <c r="S34" s="79">
        <v>0.184</v>
      </c>
      <c r="T34" s="79">
        <v>0.13989999999999997</v>
      </c>
      <c r="U34" s="112">
        <v>1.1628000000000001</v>
      </c>
      <c r="V34" s="79">
        <v>6.2343999999999997E-2</v>
      </c>
      <c r="W34" s="73">
        <v>1.2286999999999999</v>
      </c>
      <c r="X34" s="73">
        <v>1.1748000000000001</v>
      </c>
      <c r="Y34" s="73">
        <v>1.4221999999999999</v>
      </c>
      <c r="Z34" s="79">
        <v>0.214</v>
      </c>
      <c r="AA34" s="79">
        <v>0.11722000000000002</v>
      </c>
      <c r="AB34" s="112">
        <v>1.1426000000000001</v>
      </c>
      <c r="AC34" s="79">
        <v>6.7304000000000003E-2</v>
      </c>
      <c r="AD34" s="73">
        <v>1.2464999999999999</v>
      </c>
      <c r="AE34" s="73">
        <v>1.1942999999999999</v>
      </c>
      <c r="AF34" s="73">
        <v>1.5059</v>
      </c>
      <c r="AG34" s="79">
        <v>0.19400000000000001</v>
      </c>
      <c r="AH34" s="79">
        <v>0.12178</v>
      </c>
      <c r="AI34" s="112">
        <v>1.1506000000000001</v>
      </c>
      <c r="AJ34" s="19">
        <v>1237</v>
      </c>
      <c r="AL34" s="271">
        <v>415</v>
      </c>
      <c r="AM34" s="37">
        <v>5.3277778599999978E-2</v>
      </c>
      <c r="AN34" s="73" t="s">
        <v>262</v>
      </c>
      <c r="AO34" s="112">
        <v>8.084074373484236E-2</v>
      </c>
      <c r="AP34" s="77">
        <v>0</v>
      </c>
      <c r="AQ34" s="77">
        <v>0</v>
      </c>
      <c r="AR34" s="77">
        <v>0</v>
      </c>
      <c r="AS34" s="114">
        <v>0</v>
      </c>
      <c r="AT34" s="37" t="s">
        <v>262</v>
      </c>
      <c r="AU34" s="37">
        <v>2.9285073839999998E-2</v>
      </c>
      <c r="AV34" s="37" t="s">
        <v>262</v>
      </c>
      <c r="AW34" s="114" t="s">
        <v>262</v>
      </c>
      <c r="AX34" s="37"/>
      <c r="AY34" s="271">
        <v>415</v>
      </c>
      <c r="AZ34" s="37" t="s">
        <v>262</v>
      </c>
      <c r="BA34" s="37" t="s">
        <v>262</v>
      </c>
      <c r="BB34" s="77" t="s">
        <v>262</v>
      </c>
      <c r="BC34" s="37" t="s">
        <v>262</v>
      </c>
      <c r="BD34" s="37">
        <v>8.2100120000000009E-3</v>
      </c>
      <c r="BE34" s="114">
        <v>9.7362600000000001E-3</v>
      </c>
      <c r="BF34" s="77" t="s">
        <v>262</v>
      </c>
      <c r="BG34" s="77" t="s">
        <v>262</v>
      </c>
      <c r="BH34" s="77">
        <v>6.3500600000000004E-2</v>
      </c>
      <c r="BI34" s="76">
        <v>0.12679490000000002</v>
      </c>
    </row>
    <row r="35" spans="1:61">
      <c r="A35" s="274"/>
      <c r="B35" s="16" t="s">
        <v>224</v>
      </c>
      <c r="C35" s="6">
        <v>416</v>
      </c>
      <c r="D35" s="6" t="s">
        <v>106</v>
      </c>
      <c r="E35" s="72">
        <v>0</v>
      </c>
      <c r="F35" s="73">
        <v>0.3</v>
      </c>
      <c r="G35" s="72" t="s">
        <v>252</v>
      </c>
      <c r="H35" s="74" t="s">
        <v>16</v>
      </c>
      <c r="I35" s="104">
        <v>0.5</v>
      </c>
      <c r="J35" s="107">
        <v>0.1</v>
      </c>
      <c r="K35" s="79">
        <v>1.76</v>
      </c>
      <c r="L35" s="108">
        <v>1004.1322314049585</v>
      </c>
      <c r="M35" s="26"/>
      <c r="N35" s="271">
        <v>416</v>
      </c>
      <c r="O35" s="79">
        <v>9.7113000000000005E-2</v>
      </c>
      <c r="P35" s="73">
        <v>1.4454</v>
      </c>
      <c r="Q35" s="73">
        <v>1.3642000000000001</v>
      </c>
      <c r="R35" s="73">
        <v>1.7067000000000001</v>
      </c>
      <c r="S35" s="79">
        <v>0.20300000000000001</v>
      </c>
      <c r="T35" s="79">
        <v>0.19506000000000001</v>
      </c>
      <c r="U35" s="112">
        <v>1.3475999999999999</v>
      </c>
      <c r="V35" s="79">
        <v>9.0614E-2</v>
      </c>
      <c r="W35" s="73">
        <v>1.4678</v>
      </c>
      <c r="X35" s="73">
        <v>1.3853</v>
      </c>
      <c r="Y35" s="73">
        <v>1.8286</v>
      </c>
      <c r="Z35" s="79">
        <v>0.20599999999999999</v>
      </c>
      <c r="AA35" s="79">
        <v>0.16829999999999998</v>
      </c>
      <c r="AB35" s="112">
        <v>1.3637999999999999</v>
      </c>
      <c r="AC35" s="79">
        <v>9.1361999999999999E-2</v>
      </c>
      <c r="AD35" s="73">
        <v>1.4527000000000001</v>
      </c>
      <c r="AE35" s="73">
        <v>1.3749</v>
      </c>
      <c r="AF35" s="73">
        <v>1.7067000000000001</v>
      </c>
      <c r="AG35" s="79">
        <v>0.20599999999999999</v>
      </c>
      <c r="AH35" s="79">
        <v>0.17631999999999998</v>
      </c>
      <c r="AI35" s="112">
        <v>1.3426</v>
      </c>
      <c r="AJ35" s="19">
        <v>1245</v>
      </c>
      <c r="AL35" s="271">
        <v>416</v>
      </c>
      <c r="AM35" s="37">
        <v>0.11143618479999998</v>
      </c>
      <c r="AN35" s="73" t="s">
        <v>262</v>
      </c>
      <c r="AO35" s="112">
        <v>6.666666666666667</v>
      </c>
      <c r="AP35" s="77">
        <v>0</v>
      </c>
      <c r="AQ35" s="77">
        <v>0</v>
      </c>
      <c r="AR35" s="77">
        <v>0</v>
      </c>
      <c r="AS35" s="114">
        <v>0</v>
      </c>
      <c r="AT35" s="37" t="s">
        <v>262</v>
      </c>
      <c r="AU35" s="37" t="s">
        <v>262</v>
      </c>
      <c r="AV35" s="37">
        <v>0.49347200549999992</v>
      </c>
      <c r="AW35" s="114">
        <v>0.26944450000000003</v>
      </c>
      <c r="AX35" s="37"/>
      <c r="AY35" s="271">
        <v>416</v>
      </c>
      <c r="AZ35" s="37" t="s">
        <v>262</v>
      </c>
      <c r="BA35" s="37" t="s">
        <v>262</v>
      </c>
      <c r="BB35" s="77" t="s">
        <v>262</v>
      </c>
      <c r="BC35" s="37">
        <v>1.071307E-2</v>
      </c>
      <c r="BD35" s="37">
        <v>2.019292E-2</v>
      </c>
      <c r="BE35" s="114">
        <v>2.2989010000000001E-2</v>
      </c>
      <c r="BF35" s="77" t="s">
        <v>262</v>
      </c>
      <c r="BG35" s="77" t="s">
        <v>262</v>
      </c>
      <c r="BH35" s="77">
        <v>0.11350060000000001</v>
      </c>
      <c r="BI35" s="76">
        <v>0.16679490000000002</v>
      </c>
    </row>
    <row r="36" spans="1:61">
      <c r="A36" s="274"/>
      <c r="B36" s="115" t="s">
        <v>224</v>
      </c>
      <c r="C36" s="116">
        <v>417</v>
      </c>
      <c r="D36" s="116" t="s">
        <v>28</v>
      </c>
      <c r="E36" s="117">
        <v>0</v>
      </c>
      <c r="F36" s="118">
        <v>0.3</v>
      </c>
      <c r="G36" s="117" t="s">
        <v>252</v>
      </c>
      <c r="H36" s="119" t="s">
        <v>18</v>
      </c>
      <c r="I36" s="120">
        <v>0.5</v>
      </c>
      <c r="J36" s="121">
        <v>0.15</v>
      </c>
      <c r="K36" s="122">
        <v>2.1560000000000001</v>
      </c>
      <c r="L36" s="123">
        <v>1001.855287569573</v>
      </c>
      <c r="M36" s="26"/>
      <c r="N36" s="278">
        <v>417</v>
      </c>
      <c r="O36" s="122">
        <v>0.14599999999999999</v>
      </c>
      <c r="P36" s="118">
        <v>1.7337</v>
      </c>
      <c r="Q36" s="118">
        <v>1.6133999999999999</v>
      </c>
      <c r="R36" s="118">
        <v>2.1333000000000002</v>
      </c>
      <c r="S36" s="122">
        <v>0.19500000000000001</v>
      </c>
      <c r="T36" s="122">
        <v>0.31042000000000003</v>
      </c>
      <c r="U36" s="124">
        <v>1.6447999999999996</v>
      </c>
      <c r="V36" s="122">
        <v>0.14249000000000001</v>
      </c>
      <c r="W36" s="118">
        <v>1.7361</v>
      </c>
      <c r="X36" s="118">
        <v>1.6149</v>
      </c>
      <c r="Y36" s="118">
        <v>2.1333000000000002</v>
      </c>
      <c r="Z36" s="122">
        <v>0.19</v>
      </c>
      <c r="AA36" s="122">
        <v>0.29072000000000003</v>
      </c>
      <c r="AB36" s="124">
        <v>1.7163999999999997</v>
      </c>
      <c r="AC36" s="122">
        <v>0.14087</v>
      </c>
      <c r="AD36" s="118">
        <v>1.7212000000000001</v>
      </c>
      <c r="AE36" s="118">
        <v>1.6042000000000001</v>
      </c>
      <c r="AF36" s="118">
        <v>2.1333000000000002</v>
      </c>
      <c r="AG36" s="122">
        <v>0.19800000000000001</v>
      </c>
      <c r="AH36" s="122">
        <v>0.27983999999999998</v>
      </c>
      <c r="AI36" s="124">
        <v>1.6904000000000003</v>
      </c>
      <c r="AJ36" s="125">
        <v>1224</v>
      </c>
      <c r="AL36" s="278">
        <v>417</v>
      </c>
      <c r="AM36" s="128">
        <v>0.19516819059999996</v>
      </c>
      <c r="AN36" s="118">
        <v>1.6339869281045754</v>
      </c>
      <c r="AO36" s="124">
        <v>0</v>
      </c>
      <c r="AP36" s="126">
        <v>0</v>
      </c>
      <c r="AQ36" s="126">
        <v>0</v>
      </c>
      <c r="AR36" s="126">
        <v>0</v>
      </c>
      <c r="AS36" s="129">
        <v>0</v>
      </c>
      <c r="AT36" s="128" t="s">
        <v>262</v>
      </c>
      <c r="AU36" s="128">
        <v>0.15902867045999999</v>
      </c>
      <c r="AV36" s="128">
        <v>1.355472298</v>
      </c>
      <c r="AW36" s="129">
        <v>0.79404812499999999</v>
      </c>
      <c r="AX36" s="37"/>
      <c r="AY36" s="278">
        <v>417</v>
      </c>
      <c r="AZ36" s="128">
        <v>1.141148E-2</v>
      </c>
      <c r="BA36" s="128" t="s">
        <v>262</v>
      </c>
      <c r="BB36" s="126">
        <v>2.1997559999999999E-2</v>
      </c>
      <c r="BC36" s="128">
        <v>2.5970699999999999E-2</v>
      </c>
      <c r="BD36" s="128">
        <v>4.5274700000000001E-2</v>
      </c>
      <c r="BE36" s="129">
        <v>4.9870600000000001E-2</v>
      </c>
      <c r="BF36" s="126">
        <v>0.10037240500000001</v>
      </c>
      <c r="BG36" s="126">
        <v>0.110330698</v>
      </c>
      <c r="BH36" s="126">
        <v>0.21350060000000001</v>
      </c>
      <c r="BI36" s="127">
        <v>0.27728330000000001</v>
      </c>
    </row>
    <row r="37" spans="1:61">
      <c r="A37" s="274"/>
      <c r="B37" s="16" t="s">
        <v>225</v>
      </c>
      <c r="C37" s="6">
        <v>467</v>
      </c>
      <c r="D37" s="6" t="s">
        <v>48</v>
      </c>
      <c r="E37" s="72">
        <v>0</v>
      </c>
      <c r="F37" s="73">
        <v>0.15</v>
      </c>
      <c r="G37" s="72" t="s">
        <v>248</v>
      </c>
      <c r="H37" s="74" t="s">
        <v>14</v>
      </c>
      <c r="I37" s="104">
        <v>0.55000000000000004</v>
      </c>
      <c r="J37" s="107">
        <v>0.09</v>
      </c>
      <c r="K37" s="79">
        <v>1.6703187875358823</v>
      </c>
      <c r="L37" s="108">
        <v>1097.2320292409461</v>
      </c>
      <c r="M37" s="26"/>
      <c r="N37" s="271">
        <v>467</v>
      </c>
      <c r="O37" s="79">
        <v>8.8352E-2</v>
      </c>
      <c r="P37" s="73">
        <v>1.3858999999999999</v>
      </c>
      <c r="Q37" s="73">
        <v>1.3019000000000001</v>
      </c>
      <c r="R37" s="73">
        <v>1.6</v>
      </c>
      <c r="S37" s="79">
        <v>0.215</v>
      </c>
      <c r="T37" s="79">
        <v>0.1903</v>
      </c>
      <c r="U37" s="112">
        <v>1.2719999999999998</v>
      </c>
      <c r="V37" s="79">
        <v>8.3892999999999995E-2</v>
      </c>
      <c r="W37" s="73">
        <v>1.4146000000000001</v>
      </c>
      <c r="X37" s="73">
        <v>1.3297000000000001</v>
      </c>
      <c r="Y37" s="73">
        <v>1.6</v>
      </c>
      <c r="Z37" s="79">
        <v>0.20499999999999999</v>
      </c>
      <c r="AA37" s="79">
        <v>0.16319999999999998</v>
      </c>
      <c r="AB37" s="112">
        <v>1.3011999999999999</v>
      </c>
      <c r="AC37" s="79">
        <v>8.3996000000000001E-2</v>
      </c>
      <c r="AD37" s="73">
        <v>1.3904000000000001</v>
      </c>
      <c r="AE37" s="73">
        <v>1.3077000000000001</v>
      </c>
      <c r="AF37" s="73">
        <v>1.6</v>
      </c>
      <c r="AG37" s="79">
        <v>0.223</v>
      </c>
      <c r="AH37" s="79">
        <v>0.16441999999999998</v>
      </c>
      <c r="AI37" s="112">
        <v>1.2707999999999999</v>
      </c>
      <c r="AJ37" s="19">
        <v>1351</v>
      </c>
      <c r="AL37" s="271">
        <v>467</v>
      </c>
      <c r="AM37" s="37">
        <v>8.6481004899999936E-2</v>
      </c>
      <c r="AN37" s="73" t="s">
        <v>262</v>
      </c>
      <c r="AO37" s="112">
        <v>0.8882309400444115</v>
      </c>
      <c r="AP37" s="77">
        <v>0</v>
      </c>
      <c r="AQ37" s="77">
        <v>0</v>
      </c>
      <c r="AR37" s="77">
        <v>1.2</v>
      </c>
      <c r="AS37" s="114">
        <v>1.2354000000000001</v>
      </c>
      <c r="AT37" s="77" t="s">
        <v>262</v>
      </c>
      <c r="AU37" s="77" t="s">
        <v>262</v>
      </c>
      <c r="AV37" s="77">
        <v>0.89352167599999999</v>
      </c>
      <c r="AW37" s="114">
        <v>0.61388908750000004</v>
      </c>
      <c r="AX37" s="37"/>
      <c r="AY37" s="271">
        <v>467</v>
      </c>
      <c r="AZ37" s="37" t="s">
        <v>262</v>
      </c>
      <c r="BA37" s="37" t="s">
        <v>262</v>
      </c>
      <c r="BB37" s="77">
        <v>6.7106229999999998E-3</v>
      </c>
      <c r="BC37" s="37">
        <v>2.0945100000000001E-2</v>
      </c>
      <c r="BD37" s="37">
        <v>3.3465200000000001E-2</v>
      </c>
      <c r="BE37" s="114">
        <v>4.5829099999999998E-2</v>
      </c>
      <c r="BF37" s="77">
        <v>6.3724050000000003E-3</v>
      </c>
      <c r="BG37" s="77">
        <v>2.330698E-3</v>
      </c>
      <c r="BH37" s="77">
        <v>2.5500599999999998E-2</v>
      </c>
      <c r="BI37" s="76">
        <v>4.0306500000000002E-2</v>
      </c>
    </row>
    <row r="38" spans="1:61">
      <c r="A38" s="274"/>
      <c r="B38" s="16" t="s">
        <v>225</v>
      </c>
      <c r="C38" s="6">
        <v>468</v>
      </c>
      <c r="D38" s="6" t="s">
        <v>49</v>
      </c>
      <c r="E38" s="72">
        <v>0</v>
      </c>
      <c r="F38" s="73">
        <v>0.15</v>
      </c>
      <c r="G38" s="72" t="s">
        <v>248</v>
      </c>
      <c r="H38" s="74" t="s">
        <v>15</v>
      </c>
      <c r="I38" s="104">
        <v>0.55000000000000004</v>
      </c>
      <c r="J38" s="107">
        <v>0.09</v>
      </c>
      <c r="K38" s="79">
        <v>1.1810937414099143</v>
      </c>
      <c r="L38" s="108">
        <v>1108.3717263019273</v>
      </c>
      <c r="M38" s="26"/>
      <c r="N38" s="271">
        <v>468</v>
      </c>
      <c r="O38" s="79">
        <v>8.8786000000000004E-2</v>
      </c>
      <c r="P38" s="73">
        <v>1.0251999999999999</v>
      </c>
      <c r="Q38" s="73">
        <v>0.98016000000000003</v>
      </c>
      <c r="R38" s="73">
        <v>1.2190000000000001</v>
      </c>
      <c r="S38" s="79">
        <v>0.188</v>
      </c>
      <c r="T38" s="79">
        <v>0.15667999999999999</v>
      </c>
      <c r="U38" s="112">
        <v>0.99421999999999999</v>
      </c>
      <c r="V38" s="79">
        <v>8.0279000000000003E-2</v>
      </c>
      <c r="W38" s="73">
        <v>1.018</v>
      </c>
      <c r="X38" s="73">
        <v>0.97599999999999998</v>
      </c>
      <c r="Y38" s="73">
        <v>1.1636</v>
      </c>
      <c r="Z38" s="79">
        <v>0.184</v>
      </c>
      <c r="AA38" s="79">
        <v>0.15278</v>
      </c>
      <c r="AB38" s="112">
        <v>0.99273999999999984</v>
      </c>
      <c r="AC38" s="79">
        <v>8.4578E-2</v>
      </c>
      <c r="AD38" s="73">
        <v>1.036</v>
      </c>
      <c r="AE38" s="73">
        <v>0.99382999999999999</v>
      </c>
      <c r="AF38" s="73">
        <v>1.1636</v>
      </c>
      <c r="AG38" s="79">
        <v>0.189</v>
      </c>
      <c r="AH38" s="79">
        <v>0.1605</v>
      </c>
      <c r="AI38" s="112">
        <v>1.0011199999999998</v>
      </c>
      <c r="AJ38" s="19">
        <v>1246</v>
      </c>
      <c r="AL38" s="271">
        <v>468</v>
      </c>
      <c r="AM38" s="37">
        <v>4.7965923999999965E-2</v>
      </c>
      <c r="AN38" s="73" t="s">
        <v>262</v>
      </c>
      <c r="AO38" s="112">
        <v>8.0256821829855537E-2</v>
      </c>
      <c r="AP38" s="77">
        <v>0</v>
      </c>
      <c r="AQ38" s="77">
        <v>0</v>
      </c>
      <c r="AR38" s="77">
        <v>0.19339999999999999</v>
      </c>
      <c r="AS38" s="114">
        <v>0.2571</v>
      </c>
      <c r="AT38" s="37" t="s">
        <v>262</v>
      </c>
      <c r="AU38" s="37" t="s">
        <v>262</v>
      </c>
      <c r="AV38" s="37">
        <v>0.48200808400000006</v>
      </c>
      <c r="AW38" s="114">
        <v>0.2964287625</v>
      </c>
      <c r="AX38" s="37"/>
      <c r="AY38" s="271">
        <v>468</v>
      </c>
      <c r="AZ38" s="37" t="s">
        <v>262</v>
      </c>
      <c r="BA38" s="37" t="s">
        <v>262</v>
      </c>
      <c r="BB38" s="77" t="s">
        <v>262</v>
      </c>
      <c r="BC38" s="37">
        <v>1.3081809999999999E-2</v>
      </c>
      <c r="BD38" s="37">
        <v>2.0415099999999999E-2</v>
      </c>
      <c r="BE38" s="114">
        <v>3.4104999999999996E-2</v>
      </c>
      <c r="BF38" s="77" t="s">
        <v>262</v>
      </c>
      <c r="BG38" s="77" t="s">
        <v>262</v>
      </c>
      <c r="BH38" s="77">
        <v>2.0500600000000001E-2</v>
      </c>
      <c r="BI38" s="76">
        <v>3.2794900000000002E-2</v>
      </c>
    </row>
    <row r="39" spans="1:61">
      <c r="A39" s="274"/>
      <c r="B39" s="16" t="s">
        <v>225</v>
      </c>
      <c r="C39" s="6">
        <v>469</v>
      </c>
      <c r="D39" s="6" t="s">
        <v>47</v>
      </c>
      <c r="E39" s="72">
        <v>0</v>
      </c>
      <c r="F39" s="73">
        <v>0.15</v>
      </c>
      <c r="G39" s="72" t="s">
        <v>248</v>
      </c>
      <c r="H39" s="74" t="s">
        <v>16</v>
      </c>
      <c r="I39" s="104">
        <v>0.55000000000000004</v>
      </c>
      <c r="J39" s="107">
        <v>0.12</v>
      </c>
      <c r="K39" s="79">
        <v>1.9287180032326616</v>
      </c>
      <c r="L39" s="108">
        <v>1119.9148845915752</v>
      </c>
      <c r="M39" s="26"/>
      <c r="N39" s="271">
        <v>469</v>
      </c>
      <c r="O39" s="79">
        <v>0.12145</v>
      </c>
      <c r="P39" s="73">
        <v>1.5807</v>
      </c>
      <c r="Q39" s="73">
        <v>1.4672000000000001</v>
      </c>
      <c r="R39" s="73">
        <v>1.9692000000000001</v>
      </c>
      <c r="S39" s="79">
        <v>0.216</v>
      </c>
      <c r="T39" s="79">
        <v>0.24321999999999999</v>
      </c>
      <c r="U39" s="112">
        <v>1.4448000000000003</v>
      </c>
      <c r="V39" s="79">
        <v>0.11978999999999999</v>
      </c>
      <c r="W39" s="73">
        <v>1.6382000000000001</v>
      </c>
      <c r="X39" s="73">
        <v>1.5261</v>
      </c>
      <c r="Y39" s="73">
        <v>1.9692000000000001</v>
      </c>
      <c r="Z39" s="79">
        <v>0.193</v>
      </c>
      <c r="AA39" s="79">
        <v>0.23630000000000001</v>
      </c>
      <c r="AB39" s="112">
        <v>1.5107999999999999</v>
      </c>
      <c r="AC39" s="79">
        <v>0.11615</v>
      </c>
      <c r="AD39" s="73">
        <v>1.6055999999999999</v>
      </c>
      <c r="AE39" s="73">
        <v>1.4927999999999999</v>
      </c>
      <c r="AF39" s="73">
        <v>1.9692000000000001</v>
      </c>
      <c r="AG39" s="79">
        <v>0.20799999999999999</v>
      </c>
      <c r="AH39" s="79">
        <v>0.21550000000000002</v>
      </c>
      <c r="AI39" s="112">
        <v>1.4621999999999999</v>
      </c>
      <c r="AJ39" s="19">
        <v>1392</v>
      </c>
      <c r="AL39" s="271">
        <v>469</v>
      </c>
      <c r="AM39" s="77">
        <v>0.13366386529999996</v>
      </c>
      <c r="AN39" s="73">
        <v>7.183908045977011E-2</v>
      </c>
      <c r="AO39" s="112">
        <v>13.433908045977011</v>
      </c>
      <c r="AP39" s="77">
        <v>4.4600000000000001E-2</v>
      </c>
      <c r="AQ39" s="77">
        <v>5.2900000000000003E-2</v>
      </c>
      <c r="AR39" s="77">
        <v>3.5754999999999999</v>
      </c>
      <c r="AS39" s="76">
        <v>3.4314</v>
      </c>
      <c r="AT39" s="77">
        <v>0.20334377279999999</v>
      </c>
      <c r="AU39" s="77">
        <v>15.638253839999999</v>
      </c>
      <c r="AV39" s="77">
        <v>1.2717923599999998</v>
      </c>
      <c r="AW39" s="76">
        <v>0.81071412500000006</v>
      </c>
      <c r="AX39" s="77"/>
      <c r="AY39" s="271">
        <v>469</v>
      </c>
      <c r="AZ39" s="77">
        <v>1.105739E-2</v>
      </c>
      <c r="BA39" s="77">
        <v>1.4920639999999999E-2</v>
      </c>
      <c r="BB39" s="77">
        <v>1.8976800000000002E-2</v>
      </c>
      <c r="BC39" s="77">
        <v>2.9704500000000002E-2</v>
      </c>
      <c r="BD39" s="77">
        <v>4.5333300000000007E-2</v>
      </c>
      <c r="BE39" s="76">
        <v>6.2400499999999998E-2</v>
      </c>
      <c r="BF39" s="77">
        <v>6.3724050000000003E-3</v>
      </c>
      <c r="BG39" s="77">
        <v>3.330698E-3</v>
      </c>
      <c r="BH39" s="77">
        <v>2.9500600000000002E-2</v>
      </c>
      <c r="BI39" s="76">
        <v>4.0306500000000002E-2</v>
      </c>
    </row>
    <row r="40" spans="1:61">
      <c r="A40" s="274"/>
      <c r="B40" s="16" t="s">
        <v>225</v>
      </c>
      <c r="C40" s="6">
        <v>470</v>
      </c>
      <c r="D40" s="6" t="s">
        <v>50</v>
      </c>
      <c r="E40" s="72">
        <v>0</v>
      </c>
      <c r="F40" s="73">
        <v>0.15</v>
      </c>
      <c r="G40" s="72" t="s">
        <v>248</v>
      </c>
      <c r="H40" s="74" t="s">
        <v>17</v>
      </c>
      <c r="I40" s="104">
        <v>0.55000000000000004</v>
      </c>
      <c r="J40" s="107">
        <v>0.12</v>
      </c>
      <c r="K40" s="79">
        <v>1.3638095790823928</v>
      </c>
      <c r="L40" s="108">
        <v>1103.8597825859642</v>
      </c>
      <c r="M40" s="26"/>
      <c r="N40" s="271">
        <v>470</v>
      </c>
      <c r="O40" s="79">
        <v>0.11738999999999999</v>
      </c>
      <c r="P40" s="73">
        <v>1.1718</v>
      </c>
      <c r="Q40" s="73">
        <v>1.1174999999999999</v>
      </c>
      <c r="R40" s="73">
        <v>1.3473999999999999</v>
      </c>
      <c r="S40" s="79">
        <v>0.19700000000000001</v>
      </c>
      <c r="T40" s="79">
        <v>0.20884</v>
      </c>
      <c r="U40" s="112">
        <v>1.1246000000000003</v>
      </c>
      <c r="V40" s="79">
        <v>0.10392</v>
      </c>
      <c r="W40" s="73">
        <v>1.1712</v>
      </c>
      <c r="X40" s="73">
        <v>1.1153</v>
      </c>
      <c r="Y40" s="73">
        <v>1.3473999999999999</v>
      </c>
      <c r="Z40" s="79">
        <v>0.187</v>
      </c>
      <c r="AA40" s="79">
        <v>0.1988</v>
      </c>
      <c r="AB40" s="112">
        <v>1.1184000000000001</v>
      </c>
      <c r="AC40" s="79">
        <v>0.11329</v>
      </c>
      <c r="AD40" s="73">
        <v>1.1958</v>
      </c>
      <c r="AE40" s="73">
        <v>1.1442000000000001</v>
      </c>
      <c r="AF40" s="73">
        <v>1.3473999999999999</v>
      </c>
      <c r="AG40" s="79">
        <v>0.19900000000000001</v>
      </c>
      <c r="AH40" s="79">
        <v>0.20884</v>
      </c>
      <c r="AI40" s="112">
        <v>1.1461999999999999</v>
      </c>
      <c r="AJ40" s="19">
        <v>1259</v>
      </c>
      <c r="AL40" s="271">
        <v>470</v>
      </c>
      <c r="AM40" s="37">
        <v>0.10267488169999997</v>
      </c>
      <c r="AN40" s="73" t="s">
        <v>262</v>
      </c>
      <c r="AO40" s="112">
        <v>2.0651310563939633</v>
      </c>
      <c r="AP40" s="77">
        <v>0</v>
      </c>
      <c r="AQ40" s="77">
        <v>0</v>
      </c>
      <c r="AR40" s="77">
        <v>1.3166</v>
      </c>
      <c r="AS40" s="114">
        <v>1.4644999999999999</v>
      </c>
      <c r="AT40" s="37" t="s">
        <v>262</v>
      </c>
      <c r="AU40" s="37" t="s">
        <v>262</v>
      </c>
      <c r="AV40" s="37">
        <v>0.88664496599999998</v>
      </c>
      <c r="AW40" s="114">
        <v>0.59484100000000006</v>
      </c>
      <c r="AX40" s="37"/>
      <c r="AY40" s="271">
        <v>470</v>
      </c>
      <c r="AZ40" s="37">
        <v>2.2417579999999999E-3</v>
      </c>
      <c r="BA40" s="37">
        <v>3.1452989999999998E-3</v>
      </c>
      <c r="BB40" s="77">
        <v>5.2429799999999995E-3</v>
      </c>
      <c r="BC40" s="37">
        <v>2.0945100000000001E-2</v>
      </c>
      <c r="BD40" s="37">
        <v>3.23004E-2</v>
      </c>
      <c r="BE40" s="114">
        <v>4.9719200000000005E-2</v>
      </c>
      <c r="BF40" s="77">
        <v>5.3724050000000002E-3</v>
      </c>
      <c r="BG40" s="77" t="s">
        <v>262</v>
      </c>
      <c r="BH40" s="77">
        <v>2.35006E-2</v>
      </c>
      <c r="BI40" s="76">
        <v>3.87949E-2</v>
      </c>
    </row>
    <row r="41" spans="1:61">
      <c r="A41" s="274"/>
      <c r="B41" s="16" t="s">
        <v>225</v>
      </c>
      <c r="C41" s="6">
        <v>471</v>
      </c>
      <c r="D41" s="6" t="s">
        <v>51</v>
      </c>
      <c r="E41" s="72">
        <v>0</v>
      </c>
      <c r="F41" s="73">
        <v>0.15</v>
      </c>
      <c r="G41" s="72" t="s">
        <v>248</v>
      </c>
      <c r="H41" s="74" t="s">
        <v>18</v>
      </c>
      <c r="I41" s="104">
        <v>0.55000000000000004</v>
      </c>
      <c r="J41" s="107">
        <v>0.15</v>
      </c>
      <c r="K41" s="79">
        <v>2.1563722823279452</v>
      </c>
      <c r="L41" s="108">
        <v>1092.7443538737139</v>
      </c>
      <c r="M41" s="26"/>
      <c r="N41" s="271">
        <v>471</v>
      </c>
      <c r="O41" s="79">
        <v>0.15323999999999999</v>
      </c>
      <c r="P41" s="73">
        <v>1.7488999999999999</v>
      </c>
      <c r="Q41" s="73">
        <v>1.6205000000000001</v>
      </c>
      <c r="R41" s="73">
        <v>2.1333000000000002</v>
      </c>
      <c r="S41" s="79">
        <v>0.20699999999999999</v>
      </c>
      <c r="T41" s="79">
        <v>0.29558000000000001</v>
      </c>
      <c r="U41" s="112">
        <v>1.6024</v>
      </c>
      <c r="V41" s="79">
        <v>0.15576000000000001</v>
      </c>
      <c r="W41" s="73">
        <v>1.7901</v>
      </c>
      <c r="X41" s="73">
        <v>1.6644000000000001</v>
      </c>
      <c r="Y41" s="73">
        <v>2.1333000000000002</v>
      </c>
      <c r="Z41" s="79">
        <v>0.18</v>
      </c>
      <c r="AA41" s="79">
        <v>0.31354000000000004</v>
      </c>
      <c r="AB41" s="112">
        <v>1.7164000000000001</v>
      </c>
      <c r="AC41" s="79">
        <v>0.14993999999999999</v>
      </c>
      <c r="AD41" s="73">
        <v>1.7581</v>
      </c>
      <c r="AE41" s="73">
        <v>1.6321000000000001</v>
      </c>
      <c r="AF41" s="73">
        <v>2.1333000000000002</v>
      </c>
      <c r="AG41" s="79">
        <v>0.19700000000000001</v>
      </c>
      <c r="AH41" s="79">
        <v>0.30437999999999998</v>
      </c>
      <c r="AI41" s="112">
        <v>1.6616</v>
      </c>
      <c r="AJ41" s="19">
        <v>1375</v>
      </c>
      <c r="AL41" s="271">
        <v>471</v>
      </c>
      <c r="AM41" s="37">
        <v>0.20105364299999995</v>
      </c>
      <c r="AN41" s="73">
        <v>2.0363636363636366</v>
      </c>
      <c r="AO41" s="112">
        <v>25.09090909090909</v>
      </c>
      <c r="AP41" s="77">
        <v>0.20349999999999999</v>
      </c>
      <c r="AQ41" s="77">
        <v>0.32279999999999998</v>
      </c>
      <c r="AR41" s="77">
        <v>7.8643000000000001</v>
      </c>
      <c r="AS41" s="114">
        <v>7.5151000000000003</v>
      </c>
      <c r="AT41" s="37">
        <v>0.57889288800000005</v>
      </c>
      <c r="AU41" s="37">
        <v>15.822230886</v>
      </c>
      <c r="AV41" s="37">
        <v>1.6970617189999999</v>
      </c>
      <c r="AW41" s="114">
        <v>1.059920875</v>
      </c>
      <c r="AX41" s="37"/>
      <c r="AY41" s="271">
        <v>471</v>
      </c>
      <c r="AZ41" s="37">
        <v>2.1318699999999999E-2</v>
      </c>
      <c r="BA41" s="37">
        <v>2.9062299999999999E-2</v>
      </c>
      <c r="BB41" s="77">
        <v>3.5062300000000005E-2</v>
      </c>
      <c r="BC41" s="37">
        <v>4.1572699999999997E-2</v>
      </c>
      <c r="BD41" s="37">
        <v>6.1641000000000001E-2</v>
      </c>
      <c r="BE41" s="114">
        <v>8.1970700000000007E-2</v>
      </c>
      <c r="BF41" s="77">
        <v>1.0372404999999999E-2</v>
      </c>
      <c r="BG41" s="77">
        <v>6.3306980000000001E-3</v>
      </c>
      <c r="BH41" s="77">
        <v>3.8500600000000003E-2</v>
      </c>
      <c r="BI41" s="76">
        <v>5.6306499999999995E-2</v>
      </c>
    </row>
    <row r="42" spans="1:61">
      <c r="A42" s="274"/>
      <c r="B42" s="115" t="s">
        <v>225</v>
      </c>
      <c r="C42" s="116">
        <v>472</v>
      </c>
      <c r="D42" s="116" t="s">
        <v>52</v>
      </c>
      <c r="E42" s="117">
        <v>0</v>
      </c>
      <c r="F42" s="118">
        <v>0.15</v>
      </c>
      <c r="G42" s="117" t="s">
        <v>248</v>
      </c>
      <c r="H42" s="119" t="s">
        <v>19</v>
      </c>
      <c r="I42" s="120">
        <v>0.55000000000000004</v>
      </c>
      <c r="J42" s="121">
        <v>0.15</v>
      </c>
      <c r="K42" s="122">
        <v>1.5247854635968026</v>
      </c>
      <c r="L42" s="123">
        <v>1116.1033617173778</v>
      </c>
      <c r="M42" s="26"/>
      <c r="N42" s="278">
        <v>472</v>
      </c>
      <c r="O42" s="122">
        <v>0.14274999999999999</v>
      </c>
      <c r="P42" s="118">
        <v>1.3006</v>
      </c>
      <c r="Q42" s="118">
        <v>1.2327999999999999</v>
      </c>
      <c r="R42" s="118">
        <v>1.5059</v>
      </c>
      <c r="S42" s="122">
        <v>0.20100000000000001</v>
      </c>
      <c r="T42" s="122">
        <v>0.27098</v>
      </c>
      <c r="U42" s="124">
        <v>1.252</v>
      </c>
      <c r="V42" s="122">
        <v>0.13508000000000001</v>
      </c>
      <c r="W42" s="118">
        <v>1.3329</v>
      </c>
      <c r="X42" s="118">
        <v>1.2656000000000001</v>
      </c>
      <c r="Y42" s="118">
        <v>1.5059</v>
      </c>
      <c r="Z42" s="122">
        <v>0.184</v>
      </c>
      <c r="AA42" s="122">
        <v>0.24988000000000002</v>
      </c>
      <c r="AB42" s="124">
        <v>1.2819999999999998</v>
      </c>
      <c r="AC42" s="122">
        <v>0.13879</v>
      </c>
      <c r="AD42" s="118">
        <v>1.3230999999999999</v>
      </c>
      <c r="AE42" s="118">
        <v>1.2613000000000001</v>
      </c>
      <c r="AF42" s="118">
        <v>1.5059</v>
      </c>
      <c r="AG42" s="122">
        <v>0.20100000000000001</v>
      </c>
      <c r="AH42" s="122">
        <v>0.25281999999999999</v>
      </c>
      <c r="AI42" s="124">
        <v>1.2677999999999998</v>
      </c>
      <c r="AJ42" s="125">
        <v>1292</v>
      </c>
      <c r="AL42" s="278">
        <v>472</v>
      </c>
      <c r="AM42" s="128">
        <v>0.12364336289999997</v>
      </c>
      <c r="AN42" s="118" t="s">
        <v>262</v>
      </c>
      <c r="AO42" s="124">
        <v>4.1795665634674917</v>
      </c>
      <c r="AP42" s="126">
        <v>3.4799999999999998E-2</v>
      </c>
      <c r="AQ42" s="126">
        <v>3.7199999999999997E-2</v>
      </c>
      <c r="AR42" s="126">
        <v>3.601</v>
      </c>
      <c r="AS42" s="129">
        <v>3.5102000000000002</v>
      </c>
      <c r="AT42" s="128">
        <v>0.1825848192</v>
      </c>
      <c r="AU42" s="128">
        <v>15.474555755999999</v>
      </c>
      <c r="AV42" s="128">
        <v>1.2064565740000002</v>
      </c>
      <c r="AW42" s="129">
        <v>0.77341225000000002</v>
      </c>
      <c r="AX42" s="37"/>
      <c r="AY42" s="278">
        <v>472</v>
      </c>
      <c r="AZ42" s="128">
        <v>8.5909699999999999E-3</v>
      </c>
      <c r="BA42" s="128">
        <v>1.488156E-2</v>
      </c>
      <c r="BB42" s="126">
        <v>1.94457E-2</v>
      </c>
      <c r="BC42" s="128">
        <v>2.83541E-2</v>
      </c>
      <c r="BD42" s="128">
        <v>4.3931600000000001E-2</v>
      </c>
      <c r="BE42" s="129">
        <v>6.1460300000000002E-2</v>
      </c>
      <c r="BF42" s="126">
        <v>5.3724050000000002E-3</v>
      </c>
      <c r="BG42" s="126">
        <v>4.330698E-3</v>
      </c>
      <c r="BH42" s="126">
        <v>2.9500600000000002E-2</v>
      </c>
      <c r="BI42" s="127">
        <v>4.2306499999999997E-2</v>
      </c>
    </row>
    <row r="43" spans="1:61">
      <c r="A43" s="274"/>
      <c r="B43" s="16" t="s">
        <v>226</v>
      </c>
      <c r="C43" s="6">
        <v>473</v>
      </c>
      <c r="D43" s="6" t="s">
        <v>53</v>
      </c>
      <c r="E43" s="72">
        <v>0</v>
      </c>
      <c r="F43" s="73">
        <v>0.15</v>
      </c>
      <c r="G43" s="72" t="s">
        <v>253</v>
      </c>
      <c r="H43" s="74" t="s">
        <v>14</v>
      </c>
      <c r="I43" s="104">
        <v>0.55000000000000004</v>
      </c>
      <c r="J43" s="107">
        <v>0.09</v>
      </c>
      <c r="K43" s="79">
        <v>1.6703187875358823</v>
      </c>
      <c r="L43" s="108">
        <v>1058.0451710537693</v>
      </c>
      <c r="M43" s="26"/>
      <c r="N43" s="271">
        <v>473</v>
      </c>
      <c r="O43" s="79">
        <v>8.8245000000000004E-2</v>
      </c>
      <c r="P43" s="73">
        <v>1.4028</v>
      </c>
      <c r="Q43" s="73">
        <v>1.3311999999999999</v>
      </c>
      <c r="R43" s="73">
        <v>1.6</v>
      </c>
      <c r="S43" s="79">
        <v>0.187</v>
      </c>
      <c r="T43" s="79">
        <v>0.17961999999999997</v>
      </c>
      <c r="U43" s="112">
        <v>1.3438000000000001</v>
      </c>
      <c r="V43" s="79">
        <v>8.4019999999999997E-2</v>
      </c>
      <c r="W43" s="73">
        <v>1.4258999999999999</v>
      </c>
      <c r="X43" s="73">
        <v>1.3488</v>
      </c>
      <c r="Y43" s="73">
        <v>1.6</v>
      </c>
      <c r="Z43" s="79">
        <v>0.185</v>
      </c>
      <c r="AA43" s="79">
        <v>0.16351999999999997</v>
      </c>
      <c r="AB43" s="112">
        <v>1.3439999999999999</v>
      </c>
      <c r="AC43" s="79">
        <v>8.3846000000000004E-2</v>
      </c>
      <c r="AD43" s="73">
        <v>1.4077999999999999</v>
      </c>
      <c r="AE43" s="73">
        <v>1.3368</v>
      </c>
      <c r="AF43" s="73">
        <v>1.6</v>
      </c>
      <c r="AG43" s="79">
        <v>0.19600000000000001</v>
      </c>
      <c r="AH43" s="79">
        <v>0.15695999999999999</v>
      </c>
      <c r="AI43" s="112">
        <v>1.3374000000000001</v>
      </c>
      <c r="AJ43" s="19">
        <v>1284</v>
      </c>
      <c r="AL43" s="271">
        <v>473</v>
      </c>
      <c r="AM43" s="37">
        <v>7.7885410099999969E-2</v>
      </c>
      <c r="AN43" s="73" t="s">
        <v>262</v>
      </c>
      <c r="AO43" s="112">
        <v>0.38940809968847351</v>
      </c>
      <c r="AP43" s="77">
        <v>0</v>
      </c>
      <c r="AQ43" s="77">
        <v>0</v>
      </c>
      <c r="AR43" s="77">
        <v>1.1894</v>
      </c>
      <c r="AS43" s="114">
        <v>1.1950000000000001</v>
      </c>
      <c r="AT43" s="37" t="s">
        <v>262</v>
      </c>
      <c r="AU43" s="37" t="s">
        <v>262</v>
      </c>
      <c r="AV43" s="37">
        <v>0.88091359199999997</v>
      </c>
      <c r="AW43" s="114">
        <v>0.59246053750000005</v>
      </c>
      <c r="AX43" s="37"/>
      <c r="AY43" s="271">
        <v>473</v>
      </c>
      <c r="AZ43" s="37">
        <v>5.1257630000000002E-3</v>
      </c>
      <c r="BA43" s="37" t="s">
        <v>262</v>
      </c>
      <c r="BB43" s="77" t="s">
        <v>262</v>
      </c>
      <c r="BC43" s="37">
        <v>2.067155E-2</v>
      </c>
      <c r="BD43" s="37">
        <v>3.4617800000000004E-2</v>
      </c>
      <c r="BE43" s="114">
        <v>4.6996299999999998E-2</v>
      </c>
      <c r="BF43" s="84" t="s">
        <v>262</v>
      </c>
      <c r="BG43" s="77" t="s">
        <v>262</v>
      </c>
      <c r="BH43" s="77">
        <v>2.9500600000000002E-2</v>
      </c>
      <c r="BI43" s="76">
        <v>4.63065E-2</v>
      </c>
    </row>
    <row r="44" spans="1:61">
      <c r="A44" s="274"/>
      <c r="B44" s="16" t="s">
        <v>226</v>
      </c>
      <c r="C44" s="6">
        <v>474</v>
      </c>
      <c r="D44" s="6" t="s">
        <v>54</v>
      </c>
      <c r="E44" s="72">
        <v>0</v>
      </c>
      <c r="F44" s="73">
        <v>0.15</v>
      </c>
      <c r="G44" s="72" t="s">
        <v>253</v>
      </c>
      <c r="H44" s="74" t="s">
        <v>16</v>
      </c>
      <c r="I44" s="104">
        <v>0.55000000000000004</v>
      </c>
      <c r="J44" s="107">
        <v>0.12</v>
      </c>
      <c r="K44" s="79">
        <v>1.9287180032326616</v>
      </c>
      <c r="L44" s="108">
        <v>1085.978069906982</v>
      </c>
      <c r="M44" s="26"/>
      <c r="N44" s="271">
        <v>474</v>
      </c>
      <c r="O44" s="79">
        <v>0.12125</v>
      </c>
      <c r="P44" s="73">
        <v>1.6011</v>
      </c>
      <c r="Q44" s="73">
        <v>1.5001</v>
      </c>
      <c r="R44" s="73">
        <v>1.9692000000000001</v>
      </c>
      <c r="S44" s="79">
        <v>0.19900000000000001</v>
      </c>
      <c r="T44" s="79">
        <v>0.23627999999999999</v>
      </c>
      <c r="U44" s="112">
        <v>1.5318000000000001</v>
      </c>
      <c r="V44" s="79">
        <v>0.11965000000000001</v>
      </c>
      <c r="W44" s="73">
        <v>1.6482000000000001</v>
      </c>
      <c r="X44" s="73">
        <v>1.5443</v>
      </c>
      <c r="Y44" s="73">
        <v>1.9692000000000001</v>
      </c>
      <c r="Z44" s="79">
        <v>0.17599999999999999</v>
      </c>
      <c r="AA44" s="79">
        <v>0.22915999999999997</v>
      </c>
      <c r="AB44" s="112">
        <v>1.5601999999999998</v>
      </c>
      <c r="AC44" s="79">
        <v>0.11574</v>
      </c>
      <c r="AD44" s="73">
        <v>1.6271</v>
      </c>
      <c r="AE44" s="73">
        <v>1.5276000000000001</v>
      </c>
      <c r="AF44" s="73">
        <v>1.9692000000000001</v>
      </c>
      <c r="AG44" s="79">
        <v>0.185</v>
      </c>
      <c r="AH44" s="79">
        <v>0.21606</v>
      </c>
      <c r="AI44" s="112">
        <v>1.5422</v>
      </c>
      <c r="AJ44" s="19">
        <v>1312</v>
      </c>
      <c r="AL44" s="271">
        <v>474</v>
      </c>
      <c r="AM44" s="37">
        <v>0.17763010000000001</v>
      </c>
      <c r="AN44" s="73">
        <v>0.68597560975609762</v>
      </c>
      <c r="AO44" s="112">
        <v>0</v>
      </c>
      <c r="AP44" s="77">
        <v>6.8599999999999994E-2</v>
      </c>
      <c r="AQ44" s="77">
        <v>8.2299999999999998E-2</v>
      </c>
      <c r="AR44" s="77">
        <v>3.5722</v>
      </c>
      <c r="AS44" s="114">
        <v>3.4794</v>
      </c>
      <c r="AT44" s="37" t="s">
        <v>262</v>
      </c>
      <c r="AU44" s="37" t="s">
        <v>262</v>
      </c>
      <c r="AV44" s="37">
        <v>1.3313991189999999</v>
      </c>
      <c r="AW44" s="114">
        <v>0.85277725000000004</v>
      </c>
      <c r="AX44" s="37"/>
      <c r="AY44" s="271">
        <v>474</v>
      </c>
      <c r="AZ44" s="37" t="s">
        <v>262</v>
      </c>
      <c r="BA44" s="37">
        <v>1.2691089999999999E-2</v>
      </c>
      <c r="BB44" s="77">
        <v>1.7802200000000001E-2</v>
      </c>
      <c r="BC44" s="37">
        <v>3.0551889999999998E-2</v>
      </c>
      <c r="BD44" s="37">
        <v>4.7118399999999998E-2</v>
      </c>
      <c r="BE44" s="114">
        <v>6.6134300000000007E-2</v>
      </c>
      <c r="BF44" s="84">
        <v>1.4372405E-2</v>
      </c>
      <c r="BG44" s="77">
        <v>7.3306980000000001E-3</v>
      </c>
      <c r="BH44" s="77">
        <v>3.55006E-2</v>
      </c>
      <c r="BI44" s="76">
        <v>5.6306499999999995E-2</v>
      </c>
    </row>
    <row r="45" spans="1:61">
      <c r="A45" s="274"/>
      <c r="B45" s="115" t="s">
        <v>226</v>
      </c>
      <c r="C45" s="116">
        <v>475</v>
      </c>
      <c r="D45" s="116" t="s">
        <v>55</v>
      </c>
      <c r="E45" s="117">
        <v>0</v>
      </c>
      <c r="F45" s="118">
        <v>0.15</v>
      </c>
      <c r="G45" s="117" t="s">
        <v>253</v>
      </c>
      <c r="H45" s="119" t="s">
        <v>18</v>
      </c>
      <c r="I45" s="120">
        <v>0.55000000000000004</v>
      </c>
      <c r="J45" s="121">
        <v>0.15</v>
      </c>
      <c r="K45" s="122">
        <v>2.1563722823279452</v>
      </c>
      <c r="L45" s="123">
        <v>1092.7443538737139</v>
      </c>
      <c r="M45" s="26"/>
      <c r="N45" s="278">
        <v>475</v>
      </c>
      <c r="O45" s="122">
        <v>0.15340000000000001</v>
      </c>
      <c r="P45" s="118">
        <v>1.7650999999999999</v>
      </c>
      <c r="Q45" s="118">
        <v>1.6473</v>
      </c>
      <c r="R45" s="118">
        <v>2.1333000000000002</v>
      </c>
      <c r="S45" s="122">
        <v>0.192</v>
      </c>
      <c r="T45" s="122">
        <v>0.30066000000000004</v>
      </c>
      <c r="U45" s="124">
        <v>1.6863999999999997</v>
      </c>
      <c r="V45" s="122">
        <v>0.15594</v>
      </c>
      <c r="W45" s="118">
        <v>1.7936000000000001</v>
      </c>
      <c r="X45" s="118">
        <v>1.6744000000000001</v>
      </c>
      <c r="Y45" s="118">
        <v>2.1333000000000002</v>
      </c>
      <c r="Z45" s="122">
        <v>0.16900000000000001</v>
      </c>
      <c r="AA45" s="122">
        <v>0.31022</v>
      </c>
      <c r="AB45" s="124">
        <v>1.7591999999999999</v>
      </c>
      <c r="AC45" s="122">
        <v>0.14993999999999999</v>
      </c>
      <c r="AD45" s="118">
        <v>1.7759</v>
      </c>
      <c r="AE45" s="118">
        <v>1.6621999999999999</v>
      </c>
      <c r="AF45" s="118">
        <v>2.1333000000000002</v>
      </c>
      <c r="AG45" s="122">
        <v>0.17699999999999999</v>
      </c>
      <c r="AH45" s="122">
        <v>0.30837999999999999</v>
      </c>
      <c r="AI45" s="124">
        <v>1.7358</v>
      </c>
      <c r="AJ45" s="125">
        <v>1297</v>
      </c>
      <c r="AL45" s="278">
        <v>475</v>
      </c>
      <c r="AM45" s="126">
        <v>0.24798300000000004</v>
      </c>
      <c r="AN45" s="118">
        <v>0</v>
      </c>
      <c r="AO45" s="124" t="s">
        <v>262</v>
      </c>
      <c r="AP45" s="126">
        <v>0.37919999999999998</v>
      </c>
      <c r="AQ45" s="126">
        <v>0.53600000000000003</v>
      </c>
      <c r="AR45" s="126">
        <v>8.4079999999999995</v>
      </c>
      <c r="AS45" s="127">
        <v>7.5388000000000002</v>
      </c>
      <c r="AT45" s="126" t="s">
        <v>262</v>
      </c>
      <c r="AU45" s="126" t="s">
        <v>262</v>
      </c>
      <c r="AV45" s="126">
        <v>1.9033911829999999</v>
      </c>
      <c r="AW45" s="127">
        <v>1.1361106250000002</v>
      </c>
      <c r="AX45" s="77"/>
      <c r="AY45" s="278">
        <v>475</v>
      </c>
      <c r="AZ45" s="126">
        <v>2.085714E-2</v>
      </c>
      <c r="BA45" s="126">
        <v>2.880098E-2</v>
      </c>
      <c r="BB45" s="126">
        <v>3.3885200000000004E-2</v>
      </c>
      <c r="BC45" s="126">
        <v>4.1873E-2</v>
      </c>
      <c r="BD45" s="126">
        <v>6.0349200000000006E-2</v>
      </c>
      <c r="BE45" s="127">
        <v>8.1167299999999998E-2</v>
      </c>
      <c r="BF45" s="146">
        <v>2.0372405E-2</v>
      </c>
      <c r="BG45" s="126">
        <v>1.2330698000000001E-2</v>
      </c>
      <c r="BH45" s="126">
        <v>4.35006E-2</v>
      </c>
      <c r="BI45" s="127">
        <v>6.13065E-2</v>
      </c>
    </row>
    <row r="46" spans="1:61">
      <c r="A46" s="274"/>
      <c r="B46" s="16" t="s">
        <v>227</v>
      </c>
      <c r="C46" s="6">
        <v>480</v>
      </c>
      <c r="D46" s="6" t="s">
        <v>132</v>
      </c>
      <c r="E46" s="72">
        <v>0</v>
      </c>
      <c r="F46" s="73">
        <v>0.4</v>
      </c>
      <c r="G46" s="72" t="s">
        <v>248</v>
      </c>
      <c r="H46" s="74" t="s">
        <v>14</v>
      </c>
      <c r="I46" s="104">
        <v>0.55000000000000004</v>
      </c>
      <c r="J46" s="107">
        <v>0.09</v>
      </c>
      <c r="K46" s="79">
        <v>1.6703187875358823</v>
      </c>
      <c r="L46" s="108">
        <v>1097.2320292409461</v>
      </c>
      <c r="M46" s="26"/>
      <c r="N46" s="271">
        <v>480</v>
      </c>
      <c r="O46" s="79">
        <v>8.7679000000000007E-2</v>
      </c>
      <c r="P46" s="73">
        <v>1.3912</v>
      </c>
      <c r="Q46" s="73">
        <v>1.3163</v>
      </c>
      <c r="R46" s="73">
        <v>1.7067000000000001</v>
      </c>
      <c r="S46" s="79">
        <v>0.2</v>
      </c>
      <c r="T46" s="79">
        <v>0.16976000000000002</v>
      </c>
      <c r="U46" s="112">
        <v>1.2911999999999999</v>
      </c>
      <c r="V46" s="79">
        <v>7.8867999999999994E-2</v>
      </c>
      <c r="W46" s="73">
        <v>1.3847</v>
      </c>
      <c r="X46" s="73">
        <v>1.3072999999999999</v>
      </c>
      <c r="Y46" s="73">
        <v>1.7067000000000001</v>
      </c>
      <c r="Z46" s="79">
        <v>0.222</v>
      </c>
      <c r="AA46" s="79">
        <v>0.14172000000000001</v>
      </c>
      <c r="AB46" s="112">
        <v>1.2589999999999999</v>
      </c>
      <c r="AC46" s="79">
        <v>8.5924E-2</v>
      </c>
      <c r="AD46" s="73">
        <v>1.4052</v>
      </c>
      <c r="AE46" s="73">
        <v>1.3331</v>
      </c>
      <c r="AF46" s="73">
        <v>1.6</v>
      </c>
      <c r="AG46" s="79">
        <v>0.20699999999999999</v>
      </c>
      <c r="AH46" s="79">
        <v>0.16097999999999998</v>
      </c>
      <c r="AI46" s="112">
        <v>1.2798</v>
      </c>
      <c r="AJ46" s="19">
        <v>1361</v>
      </c>
      <c r="AL46" s="271">
        <v>480</v>
      </c>
      <c r="AM46" s="77">
        <v>9.6144974099999975E-2</v>
      </c>
      <c r="AN46" s="73" t="s">
        <v>262</v>
      </c>
      <c r="AO46" s="112">
        <v>1.6164584864070537</v>
      </c>
      <c r="AP46" s="77">
        <v>0</v>
      </c>
      <c r="AQ46" s="77">
        <v>0</v>
      </c>
      <c r="AR46" s="77">
        <v>1.0339</v>
      </c>
      <c r="AS46" s="114">
        <v>1.3247</v>
      </c>
      <c r="AT46" s="37" t="s">
        <v>262</v>
      </c>
      <c r="AU46" s="37">
        <v>15.391296492</v>
      </c>
      <c r="AV46" s="37">
        <v>0.79608831800000002</v>
      </c>
      <c r="AW46" s="114">
        <v>0.49087350000000002</v>
      </c>
      <c r="AX46" s="37"/>
      <c r="AY46" s="271">
        <v>480</v>
      </c>
      <c r="AZ46" s="37">
        <v>4.1709399999999997E-3</v>
      </c>
      <c r="BA46" s="37" t="s">
        <v>262</v>
      </c>
      <c r="BB46" s="77">
        <v>5.3308899999999996E-3</v>
      </c>
      <c r="BC46" s="37">
        <v>2.00269E-2</v>
      </c>
      <c r="BD46" s="37">
        <v>7.4139200000000002E-2</v>
      </c>
      <c r="BE46" s="114">
        <v>3.22051E-2</v>
      </c>
      <c r="BF46" s="84">
        <v>6.3724050000000003E-3</v>
      </c>
      <c r="BG46" s="77">
        <v>2.330698E-3</v>
      </c>
      <c r="BH46" s="77">
        <v>2.4500599999999997E-2</v>
      </c>
      <c r="BI46" s="76">
        <v>4.8306500000000002E-2</v>
      </c>
    </row>
    <row r="47" spans="1:61">
      <c r="A47" s="274"/>
      <c r="B47" s="16" t="s">
        <v>227</v>
      </c>
      <c r="C47" s="6">
        <v>481</v>
      </c>
      <c r="D47" s="6" t="s">
        <v>133</v>
      </c>
      <c r="E47" s="72">
        <v>0</v>
      </c>
      <c r="F47" s="73">
        <v>0.4</v>
      </c>
      <c r="G47" s="72" t="s">
        <v>248</v>
      </c>
      <c r="H47" s="74" t="s">
        <v>15</v>
      </c>
      <c r="I47" s="104">
        <v>0.55000000000000004</v>
      </c>
      <c r="J47" s="107">
        <v>0.09</v>
      </c>
      <c r="K47" s="79">
        <v>1.1810937414099143</v>
      </c>
      <c r="L47" s="108">
        <v>1108.3717263019273</v>
      </c>
      <c r="M47" s="26"/>
      <c r="N47" s="271">
        <v>481</v>
      </c>
      <c r="O47" s="79">
        <v>8.9597999999999997E-2</v>
      </c>
      <c r="P47" s="73">
        <v>1.0341</v>
      </c>
      <c r="Q47" s="73">
        <v>0.99250000000000005</v>
      </c>
      <c r="R47" s="73">
        <v>1.1636</v>
      </c>
      <c r="S47" s="79">
        <v>0.185</v>
      </c>
      <c r="T47" s="79">
        <v>0.15794</v>
      </c>
      <c r="U47" s="112">
        <v>0.9952200000000001</v>
      </c>
      <c r="V47" s="79">
        <v>8.2849999999999993E-2</v>
      </c>
      <c r="W47" s="73">
        <v>1.0465</v>
      </c>
      <c r="X47" s="73">
        <v>1.0084</v>
      </c>
      <c r="Y47" s="73">
        <v>1.2190000000000001</v>
      </c>
      <c r="Z47" s="79">
        <v>0.17799999999999999</v>
      </c>
      <c r="AA47" s="79">
        <v>0.14973999999999998</v>
      </c>
      <c r="AB47" s="112">
        <v>1.0035000000000001</v>
      </c>
      <c r="AC47" s="79">
        <v>8.5938000000000001E-2</v>
      </c>
      <c r="AD47" s="73">
        <v>1.0490999999999999</v>
      </c>
      <c r="AE47" s="73">
        <v>1.0117</v>
      </c>
      <c r="AF47" s="73">
        <v>1.1636</v>
      </c>
      <c r="AG47" s="79">
        <v>0.19</v>
      </c>
      <c r="AH47" s="79">
        <v>0.15901999999999999</v>
      </c>
      <c r="AI47" s="112">
        <v>0.99297999999999997</v>
      </c>
      <c r="AJ47" s="19">
        <v>1273</v>
      </c>
      <c r="AL47" s="271">
        <v>481</v>
      </c>
      <c r="AM47" s="37">
        <v>5.2690703599999986E-2</v>
      </c>
      <c r="AN47" s="73" t="s">
        <v>262</v>
      </c>
      <c r="AO47" s="112">
        <v>7.8554595443833475E-2</v>
      </c>
      <c r="AP47" s="77">
        <v>0</v>
      </c>
      <c r="AQ47" s="77">
        <v>0</v>
      </c>
      <c r="AR47" s="77">
        <v>0.27539999999999998</v>
      </c>
      <c r="AS47" s="114">
        <v>0.20780000000000001</v>
      </c>
      <c r="AT47" s="77" t="s">
        <v>262</v>
      </c>
      <c r="AU47" s="77" t="s">
        <v>262</v>
      </c>
      <c r="AV47" s="77">
        <v>0.48200808400000006</v>
      </c>
      <c r="AW47" s="114">
        <v>0.28769861250000001</v>
      </c>
      <c r="AX47" s="37"/>
      <c r="AY47" s="271">
        <v>481</v>
      </c>
      <c r="AZ47" s="37" t="s">
        <v>262</v>
      </c>
      <c r="BA47" s="37" t="s">
        <v>262</v>
      </c>
      <c r="BB47" s="77" t="s">
        <v>262</v>
      </c>
      <c r="BC47" s="37">
        <v>1.2573870000000001E-2</v>
      </c>
      <c r="BD47" s="37">
        <v>4.8681299999999997E-2</v>
      </c>
      <c r="BE47" s="114">
        <v>2.4805899999999999E-2</v>
      </c>
      <c r="BF47" s="84" t="s">
        <v>262</v>
      </c>
      <c r="BG47" s="77" t="s">
        <v>262</v>
      </c>
      <c r="BH47" s="77">
        <v>1.95006E-2</v>
      </c>
      <c r="BI47" s="76">
        <v>3.3794900000000003E-2</v>
      </c>
    </row>
    <row r="48" spans="1:61">
      <c r="A48" s="274"/>
      <c r="B48" s="16" t="s">
        <v>227</v>
      </c>
      <c r="C48" s="6">
        <v>482</v>
      </c>
      <c r="D48" s="6" t="s">
        <v>134</v>
      </c>
      <c r="E48" s="72">
        <v>0</v>
      </c>
      <c r="F48" s="73">
        <v>0.4</v>
      </c>
      <c r="G48" s="72" t="s">
        <v>248</v>
      </c>
      <c r="H48" s="74" t="s">
        <v>16</v>
      </c>
      <c r="I48" s="104">
        <v>0.55000000000000004</v>
      </c>
      <c r="J48" s="107">
        <v>0.12</v>
      </c>
      <c r="K48" s="79">
        <v>1.9287180032326616</v>
      </c>
      <c r="L48" s="108">
        <v>1119.9148845915752</v>
      </c>
      <c r="M48" s="26"/>
      <c r="N48" s="271">
        <v>482</v>
      </c>
      <c r="O48" s="79">
        <v>0.12296</v>
      </c>
      <c r="P48" s="73">
        <v>1.5866</v>
      </c>
      <c r="Q48" s="73">
        <v>1.4785999999999999</v>
      </c>
      <c r="R48" s="73">
        <v>1.9692000000000001</v>
      </c>
      <c r="S48" s="79">
        <v>0.20499999999999999</v>
      </c>
      <c r="T48" s="79">
        <v>0.23139999999999999</v>
      </c>
      <c r="U48" s="112">
        <v>1.4568000000000001</v>
      </c>
      <c r="V48" s="79">
        <v>0.11337999999999999</v>
      </c>
      <c r="W48" s="73">
        <v>1.6183000000000001</v>
      </c>
      <c r="X48" s="73">
        <v>1.5093000000000001</v>
      </c>
      <c r="Y48" s="73">
        <v>1.9692000000000001</v>
      </c>
      <c r="Z48" s="79">
        <v>0.214</v>
      </c>
      <c r="AA48" s="79">
        <v>0.21840000000000001</v>
      </c>
      <c r="AB48" s="112">
        <v>1.4731999999999998</v>
      </c>
      <c r="AC48" s="79">
        <v>0.11672</v>
      </c>
      <c r="AD48" s="73">
        <v>1.6039000000000001</v>
      </c>
      <c r="AE48" s="73">
        <v>1.4984999999999999</v>
      </c>
      <c r="AF48" s="73">
        <v>1.9692000000000001</v>
      </c>
      <c r="AG48" s="79">
        <v>0.20499999999999999</v>
      </c>
      <c r="AH48" s="79">
        <v>0.22103999999999999</v>
      </c>
      <c r="AI48" s="112">
        <v>1.4530000000000001</v>
      </c>
      <c r="AJ48" s="19">
        <v>1388</v>
      </c>
      <c r="AL48" s="271">
        <v>482</v>
      </c>
      <c r="AM48" s="37">
        <v>0.15455883449999996</v>
      </c>
      <c r="AN48" s="73">
        <v>7.2046109510086456E-2</v>
      </c>
      <c r="AO48" s="112">
        <v>52.233429394812681</v>
      </c>
      <c r="AP48" s="77">
        <v>6.3700000000000007E-2</v>
      </c>
      <c r="AQ48" s="77">
        <v>5.74E-2</v>
      </c>
      <c r="AR48" s="77">
        <v>3.1147</v>
      </c>
      <c r="AS48" s="114">
        <v>3.9117999999999999</v>
      </c>
      <c r="AT48" s="37">
        <v>0.2137232496</v>
      </c>
      <c r="AU48" s="37">
        <v>15.605669969999997</v>
      </c>
      <c r="AV48" s="37">
        <v>1.268354005</v>
      </c>
      <c r="AW48" s="114">
        <v>0.80277762500000005</v>
      </c>
      <c r="AX48" s="37"/>
      <c r="AY48" s="271">
        <v>482</v>
      </c>
      <c r="AZ48" s="37">
        <v>1.097192E-2</v>
      </c>
      <c r="BA48" s="37">
        <v>1.5196580000000001E-2</v>
      </c>
      <c r="BB48" s="77">
        <v>2.0468900000000002E-2</v>
      </c>
      <c r="BC48" s="37">
        <v>3.0749700000000001E-2</v>
      </c>
      <c r="BD48" s="37">
        <v>8.8901100000000011E-2</v>
      </c>
      <c r="BE48" s="114">
        <v>4.8322400000000001E-2</v>
      </c>
      <c r="BF48" s="77">
        <v>8.3724049999999994E-3</v>
      </c>
      <c r="BG48" s="77">
        <v>4.330698E-3</v>
      </c>
      <c r="BH48" s="77">
        <v>2.75006E-2</v>
      </c>
      <c r="BI48" s="76">
        <v>4.2306499999999997E-2</v>
      </c>
    </row>
    <row r="49" spans="1:61">
      <c r="A49" s="274"/>
      <c r="B49" s="16" t="s">
        <v>227</v>
      </c>
      <c r="C49" s="6">
        <v>483</v>
      </c>
      <c r="D49" s="6" t="s">
        <v>135</v>
      </c>
      <c r="E49" s="72">
        <v>0</v>
      </c>
      <c r="F49" s="73">
        <v>0.4</v>
      </c>
      <c r="G49" s="72" t="s">
        <v>248</v>
      </c>
      <c r="H49" s="74" t="s">
        <v>17</v>
      </c>
      <c r="I49" s="104">
        <v>0.55000000000000004</v>
      </c>
      <c r="J49" s="107">
        <v>0.12</v>
      </c>
      <c r="K49" s="79">
        <v>1.3638095790823928</v>
      </c>
      <c r="L49" s="108">
        <v>1103.8597825859642</v>
      </c>
      <c r="M49" s="26"/>
      <c r="N49" s="271">
        <v>483</v>
      </c>
      <c r="O49" s="79">
        <v>0.11938</v>
      </c>
      <c r="P49" s="73">
        <v>1.1815</v>
      </c>
      <c r="Q49" s="73">
        <v>1.1288</v>
      </c>
      <c r="R49" s="73">
        <v>1.4221999999999999</v>
      </c>
      <c r="S49" s="79">
        <v>0.192</v>
      </c>
      <c r="T49" s="79">
        <v>0.21947999999999998</v>
      </c>
      <c r="U49" s="112">
        <v>1.1306</v>
      </c>
      <c r="V49" s="79">
        <v>0.10932</v>
      </c>
      <c r="W49" s="73">
        <v>1.1846000000000001</v>
      </c>
      <c r="X49" s="73">
        <v>1.1375999999999999</v>
      </c>
      <c r="Y49" s="73">
        <v>1.3473999999999999</v>
      </c>
      <c r="Z49" s="79">
        <v>0.186</v>
      </c>
      <c r="AA49" s="79">
        <v>0.20482</v>
      </c>
      <c r="AB49" s="112">
        <v>1.1363999999999999</v>
      </c>
      <c r="AC49" s="79">
        <v>0.11443</v>
      </c>
      <c r="AD49" s="73">
        <v>1.1944999999999999</v>
      </c>
      <c r="AE49" s="73">
        <v>1.1473</v>
      </c>
      <c r="AF49" s="73">
        <v>1.3473999999999999</v>
      </c>
      <c r="AG49" s="79">
        <v>0.192</v>
      </c>
      <c r="AH49" s="79">
        <v>0.21198</v>
      </c>
      <c r="AI49" s="112">
        <v>1.141</v>
      </c>
      <c r="AJ49" s="19">
        <v>1281</v>
      </c>
      <c r="AL49" s="271">
        <v>483</v>
      </c>
      <c r="AM49" s="37">
        <v>8.7573066499999963E-2</v>
      </c>
      <c r="AN49" s="73" t="s">
        <v>262</v>
      </c>
      <c r="AO49" s="112">
        <v>1.1709601873536299</v>
      </c>
      <c r="AP49" s="77">
        <v>0</v>
      </c>
      <c r="AQ49" s="77">
        <v>0</v>
      </c>
      <c r="AR49" s="77">
        <v>0.99219999999999997</v>
      </c>
      <c r="AS49" s="114">
        <v>0.97960000000000003</v>
      </c>
      <c r="AT49" s="37" t="s">
        <v>262</v>
      </c>
      <c r="AU49" s="37" t="s">
        <v>262</v>
      </c>
      <c r="AV49" s="37">
        <v>0.82130683299999996</v>
      </c>
      <c r="AW49" s="114">
        <v>0.54325374999999998</v>
      </c>
      <c r="AX49" s="37"/>
      <c r="AY49" s="271">
        <v>483</v>
      </c>
      <c r="AZ49" s="37" t="s">
        <v>262</v>
      </c>
      <c r="BA49" s="37">
        <v>4.4078149999999998E-3</v>
      </c>
      <c r="BB49" s="77">
        <v>3.7826600000000002E-3</v>
      </c>
      <c r="BC49" s="37">
        <v>1.8830300000000001E-2</v>
      </c>
      <c r="BD49" s="37">
        <v>5.7992700000000001E-2</v>
      </c>
      <c r="BE49" s="114">
        <v>3.6976800000000004E-2</v>
      </c>
      <c r="BF49" s="84">
        <v>5.3724050000000002E-3</v>
      </c>
      <c r="BG49" s="77" t="s">
        <v>262</v>
      </c>
      <c r="BH49" s="77">
        <v>2.35006E-2</v>
      </c>
      <c r="BI49" s="76">
        <v>3.4306500000000004E-2</v>
      </c>
    </row>
    <row r="50" spans="1:61">
      <c r="A50" s="274"/>
      <c r="B50" s="16" t="s">
        <v>227</v>
      </c>
      <c r="C50" s="6">
        <v>484</v>
      </c>
      <c r="D50" s="6" t="s">
        <v>136</v>
      </c>
      <c r="E50" s="72">
        <v>0</v>
      </c>
      <c r="F50" s="73">
        <v>0.4</v>
      </c>
      <c r="G50" s="72" t="s">
        <v>248</v>
      </c>
      <c r="H50" s="74" t="s">
        <v>18</v>
      </c>
      <c r="I50" s="104">
        <v>0.55000000000000004</v>
      </c>
      <c r="J50" s="107">
        <v>0.15</v>
      </c>
      <c r="K50" s="79">
        <v>2.1563722823279452</v>
      </c>
      <c r="L50" s="108">
        <v>1092.7443538737139</v>
      </c>
      <c r="M50" s="26"/>
      <c r="N50" s="271">
        <v>484</v>
      </c>
      <c r="O50" s="79">
        <v>0.15457000000000001</v>
      </c>
      <c r="P50" s="73">
        <v>1.7511000000000001</v>
      </c>
      <c r="Q50" s="73">
        <v>1.6234</v>
      </c>
      <c r="R50" s="73">
        <v>2.1333000000000002</v>
      </c>
      <c r="S50" s="79">
        <v>0.20200000000000001</v>
      </c>
      <c r="T50" s="79">
        <v>0.30300000000000005</v>
      </c>
      <c r="U50" s="112">
        <v>1.6245999999999998</v>
      </c>
      <c r="V50" s="79">
        <v>0.14785000000000001</v>
      </c>
      <c r="W50" s="73">
        <v>1.7716000000000001</v>
      </c>
      <c r="X50" s="73">
        <v>1.6437999999999999</v>
      </c>
      <c r="Y50" s="73">
        <v>2.1333000000000002</v>
      </c>
      <c r="Z50" s="79">
        <v>0.19900000000000001</v>
      </c>
      <c r="AA50" s="79">
        <v>0.30915999999999999</v>
      </c>
      <c r="AB50" s="112">
        <v>1.6687999999999998</v>
      </c>
      <c r="AC50" s="79">
        <v>0.15265000000000001</v>
      </c>
      <c r="AD50" s="73">
        <v>1.7632000000000001</v>
      </c>
      <c r="AE50" s="73">
        <v>1.6402000000000001</v>
      </c>
      <c r="AF50" s="73">
        <v>2.1333000000000002</v>
      </c>
      <c r="AG50" s="79">
        <v>0.193</v>
      </c>
      <c r="AH50" s="79">
        <v>0.31054000000000004</v>
      </c>
      <c r="AI50" s="112">
        <v>1.6474</v>
      </c>
      <c r="AJ50" s="19">
        <v>1359</v>
      </c>
      <c r="AL50" s="271">
        <v>484</v>
      </c>
      <c r="AM50" s="37">
        <v>0.19770476299999995</v>
      </c>
      <c r="AN50" s="73">
        <v>3.7527593818984548</v>
      </c>
      <c r="AO50" s="112">
        <v>128.40323767476085</v>
      </c>
      <c r="AP50" s="77">
        <v>0.5111</v>
      </c>
      <c r="AQ50" s="77">
        <v>0.4032</v>
      </c>
      <c r="AR50" s="77">
        <v>8.3000000000000007</v>
      </c>
      <c r="AS50" s="114">
        <v>9.1106999999999996</v>
      </c>
      <c r="AT50" s="37">
        <v>0.66664626000000005</v>
      </c>
      <c r="AU50" s="37">
        <v>0.48079310399999997</v>
      </c>
      <c r="AV50" s="37">
        <v>1.7383266729999998</v>
      </c>
      <c r="AW50" s="114">
        <v>1.059920875</v>
      </c>
      <c r="AX50" s="37"/>
      <c r="AY50" s="271">
        <v>484</v>
      </c>
      <c r="AZ50" s="37">
        <v>2.32015E-2</v>
      </c>
      <c r="BA50" s="37">
        <v>3.0293E-2</v>
      </c>
      <c r="BB50" s="77">
        <v>3.45641E-2</v>
      </c>
      <c r="BC50" s="37">
        <v>4.7619000000000002E-2</v>
      </c>
      <c r="BD50" s="37">
        <v>8.4383399999999997E-2</v>
      </c>
      <c r="BE50" s="114">
        <v>7.3116E-2</v>
      </c>
      <c r="BF50" s="77">
        <v>1.2372405E-2</v>
      </c>
      <c r="BG50" s="77">
        <v>6.3306980000000001E-3</v>
      </c>
      <c r="BH50" s="77">
        <v>3.3500599999999998E-2</v>
      </c>
      <c r="BI50" s="76">
        <v>4.63065E-2</v>
      </c>
    </row>
    <row r="51" spans="1:61">
      <c r="A51" s="274"/>
      <c r="B51" s="115" t="s">
        <v>227</v>
      </c>
      <c r="C51" s="116">
        <v>485</v>
      </c>
      <c r="D51" s="116" t="s">
        <v>137</v>
      </c>
      <c r="E51" s="117">
        <v>0</v>
      </c>
      <c r="F51" s="118">
        <v>0.4</v>
      </c>
      <c r="G51" s="117" t="s">
        <v>248</v>
      </c>
      <c r="H51" s="119" t="s">
        <v>19</v>
      </c>
      <c r="I51" s="120">
        <v>0.55000000000000004</v>
      </c>
      <c r="J51" s="121">
        <v>0.15</v>
      </c>
      <c r="K51" s="122">
        <v>1.5247854635968026</v>
      </c>
      <c r="L51" s="123">
        <v>1116.1033617173778</v>
      </c>
      <c r="M51" s="26"/>
      <c r="N51" s="278">
        <v>485</v>
      </c>
      <c r="O51" s="122">
        <v>0.14646999999999999</v>
      </c>
      <c r="P51" s="118">
        <v>1.3008</v>
      </c>
      <c r="Q51" s="118">
        <v>1.2367999999999999</v>
      </c>
      <c r="R51" s="118">
        <v>1.5059</v>
      </c>
      <c r="S51" s="122">
        <v>0.20399999999999999</v>
      </c>
      <c r="T51" s="122">
        <v>0.27701999999999999</v>
      </c>
      <c r="U51" s="124">
        <v>1.2454000000000001</v>
      </c>
      <c r="V51" s="122">
        <v>0.128</v>
      </c>
      <c r="W51" s="118">
        <v>1.3079000000000001</v>
      </c>
      <c r="X51" s="118">
        <v>1.2468999999999999</v>
      </c>
      <c r="Y51" s="118">
        <v>1.5059</v>
      </c>
      <c r="Z51" s="122">
        <v>0.19800000000000001</v>
      </c>
      <c r="AA51" s="122">
        <v>0.24256000000000003</v>
      </c>
      <c r="AB51" s="124">
        <v>1.2484000000000002</v>
      </c>
      <c r="AC51" s="122">
        <v>0.13943</v>
      </c>
      <c r="AD51" s="118">
        <v>1.3281000000000001</v>
      </c>
      <c r="AE51" s="118">
        <v>1.2685</v>
      </c>
      <c r="AF51" s="118">
        <v>1.5059</v>
      </c>
      <c r="AG51" s="122">
        <v>0.19800000000000001</v>
      </c>
      <c r="AH51" s="122">
        <v>0.25347999999999998</v>
      </c>
      <c r="AI51" s="124">
        <v>1.2667999999999999</v>
      </c>
      <c r="AJ51" s="125">
        <v>1274</v>
      </c>
      <c r="AL51" s="278">
        <v>485</v>
      </c>
      <c r="AM51" s="128">
        <v>0.12789317329999997</v>
      </c>
      <c r="AN51" s="118" t="s">
        <v>262</v>
      </c>
      <c r="AO51" s="124">
        <v>5.7299843014128733</v>
      </c>
      <c r="AP51" s="126">
        <v>2.5499999999999998E-2</v>
      </c>
      <c r="AQ51" s="126">
        <v>3.9800000000000002E-2</v>
      </c>
      <c r="AR51" s="126">
        <v>2.6215000000000002</v>
      </c>
      <c r="AS51" s="127">
        <v>3.8348</v>
      </c>
      <c r="AT51" s="126">
        <v>9.8605222800000017E-2</v>
      </c>
      <c r="AU51" s="126" t="s">
        <v>262</v>
      </c>
      <c r="AV51" s="126">
        <v>1.11475459</v>
      </c>
      <c r="AW51" s="127">
        <v>0.71865137500000009</v>
      </c>
      <c r="AX51" s="77"/>
      <c r="AY51" s="278">
        <v>485</v>
      </c>
      <c r="AZ51" s="126">
        <v>8.5640999999999998E-3</v>
      </c>
      <c r="BA51" s="126">
        <v>1.2227109999999999E-2</v>
      </c>
      <c r="BB51" s="126">
        <v>1.7958500000000002E-2</v>
      </c>
      <c r="BC51" s="126">
        <v>2.7831500000000002E-2</v>
      </c>
      <c r="BD51" s="126">
        <v>5.5157499999999998E-2</v>
      </c>
      <c r="BE51" s="127">
        <v>5.0185599999999997E-2</v>
      </c>
      <c r="BF51" s="126">
        <v>6.3724050000000003E-3</v>
      </c>
      <c r="BG51" s="126">
        <v>5.330698E-3</v>
      </c>
      <c r="BH51" s="126">
        <v>2.5500599999999998E-2</v>
      </c>
      <c r="BI51" s="127">
        <v>4.1794899999999996E-2</v>
      </c>
    </row>
    <row r="52" spans="1:61">
      <c r="A52" s="274"/>
      <c r="B52" s="16" t="s">
        <v>228</v>
      </c>
      <c r="C52" s="6">
        <v>488</v>
      </c>
      <c r="D52" s="6" t="s">
        <v>129</v>
      </c>
      <c r="E52" s="72">
        <v>0</v>
      </c>
      <c r="F52" s="73">
        <v>0.4</v>
      </c>
      <c r="G52" s="72" t="s">
        <v>253</v>
      </c>
      <c r="H52" s="74" t="s">
        <v>14</v>
      </c>
      <c r="I52" s="104">
        <v>0.55000000000000004</v>
      </c>
      <c r="J52" s="107">
        <v>0.09</v>
      </c>
      <c r="K52" s="79">
        <v>1.6703187875358823</v>
      </c>
      <c r="L52" s="108">
        <v>1058.0451710537693</v>
      </c>
      <c r="M52" s="26"/>
      <c r="N52" s="271">
        <v>488</v>
      </c>
      <c r="O52" s="79">
        <v>8.8319999999999996E-2</v>
      </c>
      <c r="P52" s="73">
        <v>1.4003000000000001</v>
      </c>
      <c r="Q52" s="73">
        <v>1.3312999999999999</v>
      </c>
      <c r="R52" s="73">
        <v>1.6</v>
      </c>
      <c r="S52" s="79">
        <v>0.17699999999999999</v>
      </c>
      <c r="T52" s="79">
        <v>0.16930000000000001</v>
      </c>
      <c r="U52" s="112">
        <v>1.3435999999999999</v>
      </c>
      <c r="V52" s="79">
        <v>7.9297999999999993E-2</v>
      </c>
      <c r="W52" s="73">
        <v>1.4012</v>
      </c>
      <c r="X52" s="73">
        <v>1.3325</v>
      </c>
      <c r="Y52" s="73">
        <v>1.7067000000000001</v>
      </c>
      <c r="Z52" s="79">
        <v>0.20100000000000001</v>
      </c>
      <c r="AA52" s="79">
        <v>0.1474</v>
      </c>
      <c r="AB52" s="112">
        <v>1.3308</v>
      </c>
      <c r="AC52" s="79">
        <v>8.5764999999999994E-2</v>
      </c>
      <c r="AD52" s="73">
        <v>1.4197</v>
      </c>
      <c r="AE52" s="73">
        <v>1.3531</v>
      </c>
      <c r="AF52" s="73">
        <v>1.6</v>
      </c>
      <c r="AG52" s="79">
        <v>0.187</v>
      </c>
      <c r="AH52" s="79">
        <v>0.16224</v>
      </c>
      <c r="AI52" s="112">
        <v>1.335</v>
      </c>
      <c r="AJ52" s="19">
        <v>1297</v>
      </c>
      <c r="AL52" s="271">
        <v>488</v>
      </c>
      <c r="AM52" s="77">
        <v>8.6504692099999975E-2</v>
      </c>
      <c r="AN52" s="73" t="s">
        <v>262</v>
      </c>
      <c r="AO52" s="112">
        <v>0.84811102544333083</v>
      </c>
      <c r="AP52" s="77">
        <v>0</v>
      </c>
      <c r="AQ52" s="77">
        <v>0</v>
      </c>
      <c r="AR52" s="77">
        <v>0.75739999999999996</v>
      </c>
      <c r="AS52" s="114">
        <v>0.86680000000000001</v>
      </c>
      <c r="AT52" s="37" t="s">
        <v>262</v>
      </c>
      <c r="AU52" s="37" t="s">
        <v>262</v>
      </c>
      <c r="AV52" s="37">
        <v>0.80181969200000003</v>
      </c>
      <c r="AW52" s="114">
        <v>0.52976202500000003</v>
      </c>
      <c r="AX52" s="37"/>
      <c r="AY52" s="271">
        <v>488</v>
      </c>
      <c r="AZ52" s="37">
        <v>4.112943E-3</v>
      </c>
      <c r="BA52" s="37" t="s">
        <v>262</v>
      </c>
      <c r="BB52" s="77" t="s">
        <v>262</v>
      </c>
      <c r="BC52" s="37">
        <v>1.8835169999999998E-2</v>
      </c>
      <c r="BD52" s="37">
        <v>3.9399299999999998E-2</v>
      </c>
      <c r="BE52" s="114">
        <v>3.3179500000000001E-2</v>
      </c>
      <c r="BF52" s="84" t="s">
        <v>262</v>
      </c>
      <c r="BG52" s="77">
        <v>3.330698E-3</v>
      </c>
      <c r="BH52" s="77">
        <v>2.6500599999999999E-2</v>
      </c>
      <c r="BI52" s="76">
        <v>4.63065E-2</v>
      </c>
    </row>
    <row r="53" spans="1:61">
      <c r="A53" s="274"/>
      <c r="B53" s="16" t="s">
        <v>228</v>
      </c>
      <c r="C53" s="6">
        <v>489</v>
      </c>
      <c r="D53" s="6" t="s">
        <v>130</v>
      </c>
      <c r="E53" s="72">
        <v>0</v>
      </c>
      <c r="F53" s="73">
        <v>0.4</v>
      </c>
      <c r="G53" s="72" t="s">
        <v>253</v>
      </c>
      <c r="H53" s="74" t="s">
        <v>16</v>
      </c>
      <c r="I53" s="104">
        <v>0.55000000000000004</v>
      </c>
      <c r="J53" s="107">
        <v>0.12</v>
      </c>
      <c r="K53" s="79">
        <v>1.9287180032326616</v>
      </c>
      <c r="L53" s="108">
        <v>1085.978069906982</v>
      </c>
      <c r="M53" s="26"/>
      <c r="N53" s="271">
        <v>489</v>
      </c>
      <c r="O53" s="79">
        <v>0.12336999999999999</v>
      </c>
      <c r="P53" s="73">
        <v>1.6006</v>
      </c>
      <c r="Q53" s="73">
        <v>1.4998</v>
      </c>
      <c r="R53" s="73">
        <v>1.9692000000000001</v>
      </c>
      <c r="S53" s="79">
        <v>0.19</v>
      </c>
      <c r="T53" s="79">
        <v>0.23296</v>
      </c>
      <c r="U53" s="112">
        <v>1.5147999999999999</v>
      </c>
      <c r="V53" s="79">
        <v>0.11334</v>
      </c>
      <c r="W53" s="73">
        <v>1.6395</v>
      </c>
      <c r="X53" s="73">
        <v>1.5411999999999999</v>
      </c>
      <c r="Y53" s="73">
        <v>1.9692000000000001</v>
      </c>
      <c r="Z53" s="79">
        <v>0.2</v>
      </c>
      <c r="AA53" s="79">
        <v>0.21568000000000001</v>
      </c>
      <c r="AB53" s="112">
        <v>1.5446</v>
      </c>
      <c r="AC53" s="79">
        <v>0.1163</v>
      </c>
      <c r="AD53" s="73">
        <v>1.6243000000000001</v>
      </c>
      <c r="AE53" s="73">
        <v>1.5270999999999999</v>
      </c>
      <c r="AF53" s="73">
        <v>1.9692000000000001</v>
      </c>
      <c r="AG53" s="79">
        <v>0.19</v>
      </c>
      <c r="AH53" s="79">
        <v>0.21597999999999998</v>
      </c>
      <c r="AI53" s="112">
        <v>1.5187999999999999</v>
      </c>
      <c r="AJ53" s="19">
        <v>1335</v>
      </c>
      <c r="AL53" s="271">
        <v>489</v>
      </c>
      <c r="AM53" s="37">
        <v>0.14933539849999997</v>
      </c>
      <c r="AN53" s="73" t="s">
        <v>262</v>
      </c>
      <c r="AO53" s="112">
        <v>0</v>
      </c>
      <c r="AP53" s="77">
        <v>9.0700000000000003E-2</v>
      </c>
      <c r="AQ53" s="77">
        <v>9.3100000000000002E-2</v>
      </c>
      <c r="AR53" s="77">
        <v>3.0510000000000002</v>
      </c>
      <c r="AS53" s="114">
        <v>3.7793999999999999</v>
      </c>
      <c r="AT53" s="77" t="s">
        <v>262</v>
      </c>
      <c r="AU53" s="77" t="s">
        <v>262</v>
      </c>
      <c r="AV53" s="77">
        <v>1.3061806039999999</v>
      </c>
      <c r="AW53" s="114">
        <v>0.84404774999999999</v>
      </c>
      <c r="AX53" s="37"/>
      <c r="AY53" s="271">
        <v>489</v>
      </c>
      <c r="AZ53" s="37">
        <v>1.0542124999999999E-2</v>
      </c>
      <c r="BA53" s="37">
        <v>1.2549451E-2</v>
      </c>
      <c r="BB53" s="77">
        <v>1.8764349999999999E-2</v>
      </c>
      <c r="BC53" s="37">
        <v>3.1616599999999995E-2</v>
      </c>
      <c r="BD53" s="37">
        <v>6.0986600000000002E-2</v>
      </c>
      <c r="BE53" s="114">
        <v>5.3450600000000001E-2</v>
      </c>
      <c r="BF53" s="77">
        <v>1.4372405E-2</v>
      </c>
      <c r="BG53" s="77">
        <v>1.0330698000000001E-2</v>
      </c>
      <c r="BH53" s="77">
        <v>3.1500599999999997E-2</v>
      </c>
      <c r="BI53" s="76">
        <v>5.1306500000000005E-2</v>
      </c>
    </row>
    <row r="54" spans="1:61">
      <c r="A54" s="274"/>
      <c r="B54" s="115" t="s">
        <v>228</v>
      </c>
      <c r="C54" s="116">
        <v>490</v>
      </c>
      <c r="D54" s="116" t="s">
        <v>131</v>
      </c>
      <c r="E54" s="117">
        <v>0</v>
      </c>
      <c r="F54" s="118">
        <v>0.4</v>
      </c>
      <c r="G54" s="117" t="s">
        <v>253</v>
      </c>
      <c r="H54" s="119" t="s">
        <v>18</v>
      </c>
      <c r="I54" s="120">
        <v>0.55000000000000004</v>
      </c>
      <c r="J54" s="121">
        <v>0.15</v>
      </c>
      <c r="K54" s="122">
        <v>2.1563722823279452</v>
      </c>
      <c r="L54" s="123">
        <v>1092.7443538737139</v>
      </c>
      <c r="M54" s="26"/>
      <c r="N54" s="278">
        <v>490</v>
      </c>
      <c r="O54" s="122">
        <v>0.15534999999999999</v>
      </c>
      <c r="P54" s="118">
        <v>1.7658</v>
      </c>
      <c r="Q54" s="118">
        <v>1.6455</v>
      </c>
      <c r="R54" s="118">
        <v>2.1333000000000002</v>
      </c>
      <c r="S54" s="122">
        <v>0.19</v>
      </c>
      <c r="T54" s="122">
        <v>0.30212000000000006</v>
      </c>
      <c r="U54" s="124">
        <v>1.6829999999999998</v>
      </c>
      <c r="V54" s="122">
        <v>0.14787</v>
      </c>
      <c r="W54" s="118">
        <v>1.7877000000000001</v>
      </c>
      <c r="X54" s="118">
        <v>1.6688000000000001</v>
      </c>
      <c r="Y54" s="118">
        <v>2.1333000000000002</v>
      </c>
      <c r="Z54" s="122">
        <v>0.19400000000000001</v>
      </c>
      <c r="AA54" s="122">
        <v>0.30232000000000003</v>
      </c>
      <c r="AB54" s="124">
        <v>1.7530000000000001</v>
      </c>
      <c r="AC54" s="122">
        <v>0.15257000000000001</v>
      </c>
      <c r="AD54" s="118">
        <v>1.7831999999999999</v>
      </c>
      <c r="AE54" s="118">
        <v>1.6692</v>
      </c>
      <c r="AF54" s="118">
        <v>2.1333000000000002</v>
      </c>
      <c r="AG54" s="122">
        <v>0.17699999999999999</v>
      </c>
      <c r="AH54" s="122">
        <v>0.30476000000000003</v>
      </c>
      <c r="AI54" s="124">
        <v>1.7167999999999999</v>
      </c>
      <c r="AJ54" s="125">
        <v>1304</v>
      </c>
      <c r="AL54" s="278">
        <v>490</v>
      </c>
      <c r="AM54" s="128">
        <v>0.19718282779999996</v>
      </c>
      <c r="AN54" s="118">
        <v>1.6871165644171779</v>
      </c>
      <c r="AO54" s="124">
        <v>0</v>
      </c>
      <c r="AP54" s="126">
        <v>0.54390000000000005</v>
      </c>
      <c r="AQ54" s="126">
        <v>0.47110000000000002</v>
      </c>
      <c r="AR54" s="126">
        <v>9.1309000000000005</v>
      </c>
      <c r="AS54" s="129">
        <v>9.0287000000000006</v>
      </c>
      <c r="AT54" s="128" t="s">
        <v>262</v>
      </c>
      <c r="AU54" s="128">
        <v>0.45484410839999995</v>
      </c>
      <c r="AV54" s="128">
        <v>1.9687293159999999</v>
      </c>
      <c r="AW54" s="129">
        <v>1.181349</v>
      </c>
      <c r="AX54" s="37"/>
      <c r="AY54" s="278">
        <v>490</v>
      </c>
      <c r="AZ54" s="128">
        <v>2.2278390000000002E-2</v>
      </c>
      <c r="BA54" s="128">
        <v>2.915995E-2</v>
      </c>
      <c r="BB54" s="126">
        <v>3.6361400000000002E-2</v>
      </c>
      <c r="BC54" s="128">
        <v>4.3819300000000005E-2</v>
      </c>
      <c r="BD54" s="128">
        <v>7.6180700000000004E-2</v>
      </c>
      <c r="BE54" s="129">
        <v>7.0993899999999999E-2</v>
      </c>
      <c r="BF54" s="126">
        <v>2.0372405E-2</v>
      </c>
      <c r="BG54" s="126">
        <v>1.4330698000000001E-2</v>
      </c>
      <c r="BH54" s="126">
        <v>4.35006E-2</v>
      </c>
      <c r="BI54" s="127">
        <v>6.6306500000000004E-2</v>
      </c>
    </row>
    <row r="55" spans="1:61">
      <c r="A55" s="274"/>
      <c r="B55" s="16" t="s">
        <v>229</v>
      </c>
      <c r="C55" s="6">
        <v>432</v>
      </c>
      <c r="D55" s="6" t="s">
        <v>31</v>
      </c>
      <c r="E55" s="72">
        <v>15</v>
      </c>
      <c r="F55" s="73">
        <v>0.3</v>
      </c>
      <c r="G55" s="72" t="s">
        <v>248</v>
      </c>
      <c r="H55" s="74" t="s">
        <v>14</v>
      </c>
      <c r="I55" s="104">
        <v>0.5</v>
      </c>
      <c r="J55" s="107">
        <v>7.0000000000000007E-2</v>
      </c>
      <c r="K55" s="79">
        <v>1.474</v>
      </c>
      <c r="L55" s="108">
        <v>1021.3395830763537</v>
      </c>
      <c r="M55" s="26"/>
      <c r="N55" s="271">
        <v>432</v>
      </c>
      <c r="O55" s="79">
        <v>6.6670999999999994E-2</v>
      </c>
      <c r="P55" s="73">
        <v>1.2727999999999999</v>
      </c>
      <c r="Q55" s="73">
        <v>1.2166999999999999</v>
      </c>
      <c r="R55" s="73">
        <v>1.5059</v>
      </c>
      <c r="S55" s="79">
        <v>0.22500000000000001</v>
      </c>
      <c r="T55" s="79">
        <v>0.12581999999999999</v>
      </c>
      <c r="U55" s="112">
        <v>1.1816</v>
      </c>
      <c r="V55" s="79">
        <v>6.5224000000000004E-2</v>
      </c>
      <c r="W55" s="73">
        <v>1.2867999999999999</v>
      </c>
      <c r="X55" s="73">
        <v>1.2329000000000001</v>
      </c>
      <c r="Y55" s="73">
        <v>1.4221999999999999</v>
      </c>
      <c r="Z55" s="79">
        <v>0.19600000000000001</v>
      </c>
      <c r="AA55" s="79">
        <v>0.13489999999999999</v>
      </c>
      <c r="AB55" s="112">
        <v>1.1812</v>
      </c>
      <c r="AC55" s="79">
        <v>6.6085000000000005E-2</v>
      </c>
      <c r="AD55" s="73">
        <v>1.2945</v>
      </c>
      <c r="AE55" s="73">
        <v>1.2451000000000001</v>
      </c>
      <c r="AF55" s="73">
        <v>1.4221999999999999</v>
      </c>
      <c r="AG55" s="79">
        <v>0.218</v>
      </c>
      <c r="AH55" s="79">
        <v>0.14066000000000001</v>
      </c>
      <c r="AI55" s="112">
        <v>1.1843999999999999</v>
      </c>
      <c r="AJ55" s="19">
        <v>1185</v>
      </c>
      <c r="AL55" s="271">
        <v>432</v>
      </c>
      <c r="AM55" s="37">
        <v>0.1082052</v>
      </c>
      <c r="AN55" s="73" t="s">
        <v>262</v>
      </c>
      <c r="AO55" s="112">
        <v>2.869198312236287</v>
      </c>
      <c r="AP55" s="77">
        <v>0</v>
      </c>
      <c r="AQ55" s="77">
        <v>0</v>
      </c>
      <c r="AR55" s="77">
        <v>0</v>
      </c>
      <c r="AS55" s="114">
        <v>0</v>
      </c>
      <c r="AT55" s="37" t="s">
        <v>262</v>
      </c>
      <c r="AU55" s="37" t="s">
        <v>262</v>
      </c>
      <c r="AV55" s="37" t="s">
        <v>262</v>
      </c>
      <c r="AW55" s="114" t="s">
        <v>262</v>
      </c>
      <c r="AX55" s="37"/>
      <c r="AY55" s="271">
        <v>432</v>
      </c>
      <c r="AZ55" s="37" t="s">
        <v>262</v>
      </c>
      <c r="BA55" s="37" t="s">
        <v>262</v>
      </c>
      <c r="BB55" s="77" t="s">
        <v>262</v>
      </c>
      <c r="BC55" s="37">
        <v>2.2051280000000002E-3</v>
      </c>
      <c r="BD55" s="37">
        <v>4.4493299999999996E-3</v>
      </c>
      <c r="BE55" s="114">
        <v>9.7435899999999999E-3</v>
      </c>
      <c r="BF55" s="77" t="s">
        <v>262</v>
      </c>
      <c r="BG55" s="77" t="s">
        <v>262</v>
      </c>
      <c r="BH55" s="77">
        <v>1.55006E-2</v>
      </c>
      <c r="BI55" s="76">
        <v>3.2283300000000001E-2</v>
      </c>
    </row>
    <row r="56" spans="1:61">
      <c r="A56" s="274"/>
      <c r="B56" s="16" t="s">
        <v>229</v>
      </c>
      <c r="C56" s="6">
        <v>433</v>
      </c>
      <c r="D56" s="6" t="s">
        <v>32</v>
      </c>
      <c r="E56" s="72">
        <v>15</v>
      </c>
      <c r="F56" s="73">
        <v>0.3</v>
      </c>
      <c r="G56" s="72" t="s">
        <v>248</v>
      </c>
      <c r="H56" s="74" t="s">
        <v>15</v>
      </c>
      <c r="I56" s="104">
        <v>0.5</v>
      </c>
      <c r="J56" s="107">
        <v>7.0000000000000007E-2</v>
      </c>
      <c r="K56" s="79">
        <v>1.0449999999999999</v>
      </c>
      <c r="L56" s="108">
        <v>1002.1748586341887</v>
      </c>
      <c r="M56" s="26"/>
      <c r="N56" s="271">
        <v>433</v>
      </c>
      <c r="O56" s="79">
        <v>6.2779000000000001E-2</v>
      </c>
      <c r="P56" s="73">
        <v>0.96835000000000004</v>
      </c>
      <c r="Q56" s="73">
        <v>0.94847999999999999</v>
      </c>
      <c r="R56" s="73">
        <v>1.024</v>
      </c>
      <c r="S56" s="79">
        <v>0.191</v>
      </c>
      <c r="T56" s="79">
        <v>0.12278</v>
      </c>
      <c r="U56" s="112">
        <v>0.94103999999999988</v>
      </c>
      <c r="V56" s="79">
        <v>5.7862999999999998E-2</v>
      </c>
      <c r="W56" s="73">
        <v>0.96953999999999996</v>
      </c>
      <c r="X56" s="73">
        <v>0.94864000000000004</v>
      </c>
      <c r="Y56" s="73">
        <v>1.0667</v>
      </c>
      <c r="Z56" s="79">
        <v>0.20599999999999999</v>
      </c>
      <c r="AA56" s="79">
        <v>0.1173</v>
      </c>
      <c r="AB56" s="112">
        <v>0.93664000000000003</v>
      </c>
      <c r="AC56" s="79">
        <v>5.8576999999999997E-2</v>
      </c>
      <c r="AD56" s="73">
        <v>0.97777999999999998</v>
      </c>
      <c r="AE56" s="73">
        <v>0.95816999999999997</v>
      </c>
      <c r="AF56" s="73">
        <v>1.024</v>
      </c>
      <c r="AG56" s="79">
        <v>0.21199999999999999</v>
      </c>
      <c r="AH56" s="79">
        <v>0.11252</v>
      </c>
      <c r="AI56" s="112">
        <v>0.95206000000000002</v>
      </c>
      <c r="AJ56" s="19">
        <v>1044</v>
      </c>
      <c r="AL56" s="271">
        <v>433</v>
      </c>
      <c r="AM56" s="37">
        <v>6.9528799999999988E-2</v>
      </c>
      <c r="AN56" s="73" t="s">
        <v>262</v>
      </c>
      <c r="AO56" s="112">
        <v>9.5785440613026809E-2</v>
      </c>
      <c r="AP56" s="77">
        <v>0</v>
      </c>
      <c r="AQ56" s="77">
        <v>0</v>
      </c>
      <c r="AR56" s="77">
        <v>0</v>
      </c>
      <c r="AS56" s="114">
        <v>0</v>
      </c>
      <c r="AT56" s="37" t="s">
        <v>262</v>
      </c>
      <c r="AU56" s="37" t="s">
        <v>262</v>
      </c>
      <c r="AV56" s="37" t="s">
        <v>262</v>
      </c>
      <c r="AW56" s="114" t="s">
        <v>262</v>
      </c>
      <c r="AX56" s="37"/>
      <c r="AY56" s="271">
        <v>433</v>
      </c>
      <c r="AZ56" s="37" t="s">
        <v>262</v>
      </c>
      <c r="BA56" s="37" t="s">
        <v>262</v>
      </c>
      <c r="BB56" s="77" t="s">
        <v>262</v>
      </c>
      <c r="BC56" s="37" t="s">
        <v>262</v>
      </c>
      <c r="BD56" s="37" t="s">
        <v>262</v>
      </c>
      <c r="BE56" s="114" t="s">
        <v>262</v>
      </c>
      <c r="BF56" s="77" t="s">
        <v>262</v>
      </c>
      <c r="BG56" s="77" t="s">
        <v>262</v>
      </c>
      <c r="BH56" s="77" t="s">
        <v>262</v>
      </c>
      <c r="BI56" s="76">
        <v>3.17717E-2</v>
      </c>
    </row>
    <row r="57" spans="1:61">
      <c r="A57" s="274"/>
      <c r="B57" s="16" t="s">
        <v>229</v>
      </c>
      <c r="C57" s="6">
        <v>434</v>
      </c>
      <c r="D57" s="6" t="s">
        <v>33</v>
      </c>
      <c r="E57" s="72">
        <v>15</v>
      </c>
      <c r="F57" s="73">
        <v>0.3</v>
      </c>
      <c r="G57" s="72" t="s">
        <v>248</v>
      </c>
      <c r="H57" s="74" t="s">
        <v>16</v>
      </c>
      <c r="I57" s="104">
        <v>0.5</v>
      </c>
      <c r="J57" s="107">
        <v>0.1</v>
      </c>
      <c r="K57" s="79">
        <v>1.76</v>
      </c>
      <c r="L57" s="108">
        <v>1004.1322314049585</v>
      </c>
      <c r="M57" s="26"/>
      <c r="N57" s="271">
        <v>434</v>
      </c>
      <c r="O57" s="79">
        <v>8.9958999999999997E-2</v>
      </c>
      <c r="P57" s="73">
        <v>1.4171</v>
      </c>
      <c r="Q57" s="73">
        <v>1.3395999999999999</v>
      </c>
      <c r="R57" s="73">
        <v>1.7067000000000001</v>
      </c>
      <c r="S57" s="79">
        <v>0.23699999999999999</v>
      </c>
      <c r="T57" s="79">
        <v>0.18968000000000002</v>
      </c>
      <c r="U57" s="112">
        <v>1.2922</v>
      </c>
      <c r="V57" s="79">
        <v>8.2390000000000005E-2</v>
      </c>
      <c r="W57" s="73">
        <v>1.4103000000000001</v>
      </c>
      <c r="X57" s="73">
        <v>1.3327</v>
      </c>
      <c r="Y57" s="73">
        <v>1.7067000000000001</v>
      </c>
      <c r="Z57" s="79">
        <v>0.20499999999999999</v>
      </c>
      <c r="AA57" s="79">
        <v>0.1474</v>
      </c>
      <c r="AB57" s="112">
        <v>1.2733999999999999</v>
      </c>
      <c r="AC57" s="79">
        <v>8.8600999999999999E-2</v>
      </c>
      <c r="AD57" s="73">
        <v>1.4565999999999999</v>
      </c>
      <c r="AE57" s="73">
        <v>1.3862000000000001</v>
      </c>
      <c r="AF57" s="73">
        <v>1.7067000000000001</v>
      </c>
      <c r="AG57" s="79">
        <v>0.23499999999999999</v>
      </c>
      <c r="AH57" s="79">
        <v>0.17853999999999998</v>
      </c>
      <c r="AI57" s="112">
        <v>1.3362000000000001</v>
      </c>
      <c r="AJ57" s="19">
        <v>1311</v>
      </c>
      <c r="AL57" s="271">
        <v>434</v>
      </c>
      <c r="AM57" s="37">
        <v>0.13397440000000002</v>
      </c>
      <c r="AN57" s="73" t="s">
        <v>262</v>
      </c>
      <c r="AO57" s="112">
        <v>42.105263157894733</v>
      </c>
      <c r="AP57" s="77">
        <v>0</v>
      </c>
      <c r="AQ57" s="77">
        <v>0</v>
      </c>
      <c r="AR57" s="77">
        <v>4.0500000000000001E-2</v>
      </c>
      <c r="AS57" s="76">
        <v>2.3199999999999998E-2</v>
      </c>
      <c r="AT57" s="77" t="s">
        <v>262</v>
      </c>
      <c r="AU57" s="77" t="s">
        <v>262</v>
      </c>
      <c r="AV57" s="77">
        <v>0.35935855799999999</v>
      </c>
      <c r="AW57" s="76">
        <v>0.12261908750000003</v>
      </c>
      <c r="AX57" s="77"/>
      <c r="AY57" s="271">
        <v>434</v>
      </c>
      <c r="AZ57" s="77" t="s">
        <v>262</v>
      </c>
      <c r="BA57" s="77" t="s">
        <v>262</v>
      </c>
      <c r="BB57" s="77" t="s">
        <v>262</v>
      </c>
      <c r="BC57" s="77">
        <v>8.5982899999999998E-3</v>
      </c>
      <c r="BD57" s="77">
        <v>1.567522E-2</v>
      </c>
      <c r="BE57" s="76">
        <v>1.7584900000000001E-2</v>
      </c>
      <c r="BF57" s="77" t="s">
        <v>262</v>
      </c>
      <c r="BG57" s="77" t="s">
        <v>262</v>
      </c>
      <c r="BH57" s="77">
        <v>1.8500599999999999E-2</v>
      </c>
      <c r="BI57" s="76">
        <v>3.5306499999999998E-2</v>
      </c>
    </row>
    <row r="58" spans="1:61">
      <c r="A58" s="274"/>
      <c r="B58" s="16" t="s">
        <v>229</v>
      </c>
      <c r="C58" s="6">
        <v>435</v>
      </c>
      <c r="D58" s="6" t="s">
        <v>34</v>
      </c>
      <c r="E58" s="72">
        <v>15</v>
      </c>
      <c r="F58" s="73">
        <v>0.3</v>
      </c>
      <c r="G58" s="72" t="s">
        <v>248</v>
      </c>
      <c r="H58" s="6" t="s">
        <v>17</v>
      </c>
      <c r="I58" s="104">
        <v>0.5</v>
      </c>
      <c r="J58" s="107">
        <v>0.1</v>
      </c>
      <c r="K58" s="79">
        <v>1.2430000000000001</v>
      </c>
      <c r="L58" s="108">
        <v>1000.5119578731806</v>
      </c>
      <c r="M58" s="26"/>
      <c r="N58" s="271">
        <v>435</v>
      </c>
      <c r="O58" s="79">
        <v>9.2561000000000004E-2</v>
      </c>
      <c r="P58" s="73">
        <v>1.1084000000000001</v>
      </c>
      <c r="Q58" s="73">
        <v>1.0738000000000001</v>
      </c>
      <c r="R58" s="73">
        <v>1.28</v>
      </c>
      <c r="S58" s="79">
        <v>0.19700000000000001</v>
      </c>
      <c r="T58" s="79">
        <v>0.17133999999999999</v>
      </c>
      <c r="U58" s="112">
        <v>1.0702000000000003</v>
      </c>
      <c r="V58" s="79">
        <v>8.6497000000000004E-2</v>
      </c>
      <c r="W58" s="73">
        <v>1.1206</v>
      </c>
      <c r="X58" s="73">
        <v>1.0845</v>
      </c>
      <c r="Y58" s="73">
        <v>1.28</v>
      </c>
      <c r="Z58" s="79">
        <v>0.19900000000000001</v>
      </c>
      <c r="AA58" s="79">
        <v>0.16177999999999998</v>
      </c>
      <c r="AB58" s="112">
        <v>1.0766</v>
      </c>
      <c r="AC58" s="79">
        <v>8.9871000000000006E-2</v>
      </c>
      <c r="AD58" s="73">
        <v>1.1324000000000001</v>
      </c>
      <c r="AE58" s="73">
        <v>1.1000000000000001</v>
      </c>
      <c r="AF58" s="73">
        <v>1.2190000000000001</v>
      </c>
      <c r="AG58" s="79">
        <v>0.20699999999999999</v>
      </c>
      <c r="AH58" s="79">
        <v>0.16947999999999999</v>
      </c>
      <c r="AI58" s="112">
        <v>1.0871999999999999</v>
      </c>
      <c r="AJ58" s="19">
        <v>1092</v>
      </c>
      <c r="AL58" s="271">
        <v>435</v>
      </c>
      <c r="AM58" s="77">
        <v>0.11353120000000001</v>
      </c>
      <c r="AN58" s="73" t="s">
        <v>262</v>
      </c>
      <c r="AO58" s="112">
        <v>8.6996336996337007</v>
      </c>
      <c r="AP58" s="77">
        <v>0</v>
      </c>
      <c r="AQ58" s="77">
        <v>0</v>
      </c>
      <c r="AR58" s="77">
        <v>0</v>
      </c>
      <c r="AS58" s="114">
        <v>0</v>
      </c>
      <c r="AT58" s="37" t="s">
        <v>262</v>
      </c>
      <c r="AU58" s="37" t="s">
        <v>262</v>
      </c>
      <c r="AV58" s="37" t="s">
        <v>262</v>
      </c>
      <c r="AW58" s="114" t="s">
        <v>262</v>
      </c>
      <c r="AX58" s="37"/>
      <c r="AY58" s="271">
        <v>435</v>
      </c>
      <c r="AZ58" s="37" t="s">
        <v>262</v>
      </c>
      <c r="BA58" s="37" t="s">
        <v>262</v>
      </c>
      <c r="BB58" s="77" t="s">
        <v>262</v>
      </c>
      <c r="BC58" s="37">
        <v>3.689866E-3</v>
      </c>
      <c r="BD58" s="37">
        <v>8.8254000000000006E-3</v>
      </c>
      <c r="BE58" s="114">
        <v>1.1726500000000001E-2</v>
      </c>
      <c r="BF58" s="77" t="s">
        <v>262</v>
      </c>
      <c r="BG58" s="77" t="s">
        <v>262</v>
      </c>
      <c r="BH58" s="77">
        <v>1.7988999999999998E-2</v>
      </c>
      <c r="BI58" s="76">
        <v>3.5283300000000004E-2</v>
      </c>
    </row>
    <row r="59" spans="1:61">
      <c r="A59" s="274"/>
      <c r="B59" s="16" t="s">
        <v>229</v>
      </c>
      <c r="C59" s="6">
        <v>437</v>
      </c>
      <c r="D59" s="6" t="s">
        <v>35</v>
      </c>
      <c r="E59" s="72">
        <v>15</v>
      </c>
      <c r="F59" s="73">
        <v>0.3</v>
      </c>
      <c r="G59" s="72" t="s">
        <v>248</v>
      </c>
      <c r="H59" s="6" t="s">
        <v>18</v>
      </c>
      <c r="I59" s="104">
        <v>0.5</v>
      </c>
      <c r="J59" s="107">
        <v>0.15</v>
      </c>
      <c r="K59" s="79">
        <v>2.1560000000000001</v>
      </c>
      <c r="L59" s="108">
        <v>1001.855287569573</v>
      </c>
      <c r="M59" s="26"/>
      <c r="N59" s="271">
        <v>437</v>
      </c>
      <c r="O59" s="79">
        <v>0.14122999999999999</v>
      </c>
      <c r="P59" s="73">
        <v>1.7203999999999999</v>
      </c>
      <c r="Q59" s="73">
        <v>1.5979000000000001</v>
      </c>
      <c r="R59" s="73">
        <v>2.1333000000000002</v>
      </c>
      <c r="S59" s="79">
        <v>0.23799999999999999</v>
      </c>
      <c r="T59" s="79">
        <v>0.32439999999999997</v>
      </c>
      <c r="U59" s="112">
        <v>1.6337999999999997</v>
      </c>
      <c r="V59" s="79">
        <v>0.12378</v>
      </c>
      <c r="W59" s="73">
        <v>1.6283000000000001</v>
      </c>
      <c r="X59" s="73">
        <v>1.5093000000000001</v>
      </c>
      <c r="Y59" s="73">
        <v>2.1333000000000002</v>
      </c>
      <c r="Z59" s="79">
        <v>0.21299999999999999</v>
      </c>
      <c r="AA59" s="79">
        <v>0.25056</v>
      </c>
      <c r="AB59" s="112">
        <v>1.5444</v>
      </c>
      <c r="AC59" s="79">
        <v>0.12457</v>
      </c>
      <c r="AD59" s="73">
        <v>1.625</v>
      </c>
      <c r="AE59" s="73">
        <v>1.518</v>
      </c>
      <c r="AF59" s="73">
        <v>2.1333000000000002</v>
      </c>
      <c r="AG59" s="79">
        <v>0.246</v>
      </c>
      <c r="AH59" s="79">
        <v>0.26695999999999998</v>
      </c>
      <c r="AI59" s="112">
        <v>1.5289999999999999</v>
      </c>
      <c r="AJ59" s="19">
        <v>1337</v>
      </c>
      <c r="AL59" s="271">
        <v>437</v>
      </c>
      <c r="AM59" s="37">
        <v>0.19730410000000001</v>
      </c>
      <c r="AN59" s="73">
        <v>1.8698578908002992</v>
      </c>
      <c r="AO59" s="112">
        <v>0</v>
      </c>
      <c r="AP59" s="77">
        <v>6.7599999999999993E-2</v>
      </c>
      <c r="AQ59" s="77">
        <v>4.2599999999999999E-2</v>
      </c>
      <c r="AR59" s="77">
        <v>0.2843</v>
      </c>
      <c r="AS59" s="114">
        <v>0.55610000000000004</v>
      </c>
      <c r="AT59" s="77" t="s">
        <v>262</v>
      </c>
      <c r="AU59" s="77">
        <v>6.709607058E-2</v>
      </c>
      <c r="AV59" s="77">
        <v>0.93364129399999995</v>
      </c>
      <c r="AW59" s="114">
        <v>0.61547687500000003</v>
      </c>
      <c r="AX59" s="37"/>
      <c r="AY59" s="271">
        <v>437</v>
      </c>
      <c r="AZ59" s="37">
        <v>1.011722E-2</v>
      </c>
      <c r="BA59" s="37">
        <v>5.3601999999999999E-3</v>
      </c>
      <c r="BB59" s="77">
        <v>1.8068400000000002E-2</v>
      </c>
      <c r="BC59" s="37">
        <v>1.73822E-2</v>
      </c>
      <c r="BD59" s="37">
        <v>3.27888E-2</v>
      </c>
      <c r="BE59" s="114">
        <v>3.7179500000000004E-2</v>
      </c>
      <c r="BF59" s="77">
        <v>1.0372404999999999E-2</v>
      </c>
      <c r="BG59" s="77">
        <v>6.3306980000000001E-3</v>
      </c>
      <c r="BH59" s="77">
        <v>2.2500599999999999E-2</v>
      </c>
      <c r="BI59" s="76">
        <v>3.83065E-2</v>
      </c>
    </row>
    <row r="60" spans="1:61">
      <c r="A60" s="274"/>
      <c r="B60" s="115" t="s">
        <v>229</v>
      </c>
      <c r="C60" s="116">
        <v>438</v>
      </c>
      <c r="D60" s="116" t="s">
        <v>36</v>
      </c>
      <c r="E60" s="117">
        <v>15</v>
      </c>
      <c r="F60" s="118">
        <v>0.3</v>
      </c>
      <c r="G60" s="117" t="s">
        <v>248</v>
      </c>
      <c r="H60" s="116" t="s">
        <v>19</v>
      </c>
      <c r="I60" s="120">
        <v>0.5</v>
      </c>
      <c r="J60" s="121">
        <v>0.15</v>
      </c>
      <c r="K60" s="122">
        <v>1.5289999999999999</v>
      </c>
      <c r="L60" s="123">
        <v>1027.4094773767761</v>
      </c>
      <c r="M60" s="26"/>
      <c r="N60" s="278">
        <v>438</v>
      </c>
      <c r="O60" s="122">
        <v>0.14255000000000001</v>
      </c>
      <c r="P60" s="118">
        <v>1.3204</v>
      </c>
      <c r="Q60" s="118">
        <v>1.2615000000000001</v>
      </c>
      <c r="R60" s="118">
        <v>1.5059</v>
      </c>
      <c r="S60" s="122">
        <v>0.222</v>
      </c>
      <c r="T60" s="122">
        <v>0.27704000000000001</v>
      </c>
      <c r="U60" s="124">
        <v>1.2685999999999999</v>
      </c>
      <c r="V60" s="122">
        <v>0.13461000000000001</v>
      </c>
      <c r="W60" s="118">
        <v>1.3375999999999999</v>
      </c>
      <c r="X60" s="118">
        <v>1.2822</v>
      </c>
      <c r="Y60" s="118">
        <v>1.5059</v>
      </c>
      <c r="Z60" s="122">
        <v>0.19500000000000001</v>
      </c>
      <c r="AA60" s="122">
        <v>0.24712000000000001</v>
      </c>
      <c r="AB60" s="124">
        <v>1.2649999999999999</v>
      </c>
      <c r="AC60" s="122">
        <v>0.13671</v>
      </c>
      <c r="AD60" s="118">
        <v>1.3454999999999999</v>
      </c>
      <c r="AE60" s="118">
        <v>1.292</v>
      </c>
      <c r="AF60" s="118">
        <v>1.5059</v>
      </c>
      <c r="AG60" s="122">
        <v>0.219</v>
      </c>
      <c r="AH60" s="122">
        <v>0.23902000000000001</v>
      </c>
      <c r="AI60" s="124">
        <v>1.2824</v>
      </c>
      <c r="AJ60" s="125">
        <v>1172</v>
      </c>
      <c r="AL60" s="278">
        <v>438</v>
      </c>
      <c r="AM60" s="128">
        <v>0.15730169999999999</v>
      </c>
      <c r="AN60" s="118">
        <v>0.25597269624573377</v>
      </c>
      <c r="AO60" s="124">
        <v>0</v>
      </c>
      <c r="AP60" s="126">
        <v>0</v>
      </c>
      <c r="AQ60" s="126">
        <v>0</v>
      </c>
      <c r="AR60" s="126">
        <v>0.192</v>
      </c>
      <c r="AS60" s="129">
        <v>0.1772</v>
      </c>
      <c r="AT60" s="128" t="s">
        <v>262</v>
      </c>
      <c r="AU60" s="128" t="s">
        <v>262</v>
      </c>
      <c r="AV60" s="128">
        <v>0.6275854529999999</v>
      </c>
      <c r="AW60" s="129">
        <v>0.34325362500000001</v>
      </c>
      <c r="AX60" s="37"/>
      <c r="AY60" s="278">
        <v>438</v>
      </c>
      <c r="AZ60" s="128">
        <v>2.3028090000000003E-3</v>
      </c>
      <c r="BA60" s="128" t="s">
        <v>262</v>
      </c>
      <c r="BB60" s="126" t="s">
        <v>262</v>
      </c>
      <c r="BC60" s="128">
        <v>1.344567E-2</v>
      </c>
      <c r="BD60" s="128">
        <v>2.3858400000000002E-2</v>
      </c>
      <c r="BE60" s="129">
        <v>2.8849800000000002E-2</v>
      </c>
      <c r="BF60" s="126">
        <v>4.3724050000000002E-3</v>
      </c>
      <c r="BG60" s="126">
        <v>1.330698E-3</v>
      </c>
      <c r="BH60" s="126">
        <v>1.95006E-2</v>
      </c>
      <c r="BI60" s="127">
        <v>3.7283299999999998E-2</v>
      </c>
    </row>
    <row r="61" spans="1:61">
      <c r="A61" s="274"/>
      <c r="B61" s="16" t="s">
        <v>230</v>
      </c>
      <c r="C61" s="6">
        <v>440</v>
      </c>
      <c r="D61" s="6" t="s">
        <v>37</v>
      </c>
      <c r="E61" s="72">
        <v>-15</v>
      </c>
      <c r="F61" s="73">
        <v>0.3</v>
      </c>
      <c r="G61" s="72" t="s">
        <v>248</v>
      </c>
      <c r="H61" s="6" t="s">
        <v>16</v>
      </c>
      <c r="I61" s="104">
        <v>0.5</v>
      </c>
      <c r="J61" s="107">
        <v>0.1</v>
      </c>
      <c r="K61" s="79">
        <v>1.76</v>
      </c>
      <c r="L61" s="108">
        <v>1004.1322314049585</v>
      </c>
      <c r="M61" s="26"/>
      <c r="N61" s="271">
        <v>440</v>
      </c>
      <c r="O61" s="79">
        <v>0.10281</v>
      </c>
      <c r="P61" s="73">
        <v>1.4565999999999999</v>
      </c>
      <c r="Q61" s="73">
        <v>1.3825000000000001</v>
      </c>
      <c r="R61" s="73">
        <v>1.7067000000000001</v>
      </c>
      <c r="S61" s="79">
        <v>0.20899999999999999</v>
      </c>
      <c r="T61" s="79">
        <v>0.19163999999999998</v>
      </c>
      <c r="U61" s="112">
        <v>1.3455999999999999</v>
      </c>
      <c r="V61" s="79">
        <v>0.10534</v>
      </c>
      <c r="W61" s="73">
        <v>1.5130999999999999</v>
      </c>
      <c r="X61" s="73">
        <v>1.4441999999999999</v>
      </c>
      <c r="Y61" s="73">
        <v>1.7067000000000001</v>
      </c>
      <c r="Z61" s="79">
        <v>0.17399999999999999</v>
      </c>
      <c r="AA61" s="79">
        <v>0.20685999999999999</v>
      </c>
      <c r="AB61" s="112">
        <v>1.4126000000000001</v>
      </c>
      <c r="AC61" s="79">
        <v>9.9479999999999999E-2</v>
      </c>
      <c r="AD61" s="73">
        <v>1.4955000000000001</v>
      </c>
      <c r="AE61" s="73">
        <v>1.4233</v>
      </c>
      <c r="AF61" s="73">
        <v>1.7067000000000001</v>
      </c>
      <c r="AG61" s="79">
        <v>0.20899999999999999</v>
      </c>
      <c r="AH61" s="79">
        <v>0.18784000000000001</v>
      </c>
      <c r="AI61" s="112">
        <v>1.38</v>
      </c>
      <c r="AJ61" s="19">
        <v>1232</v>
      </c>
      <c r="AL61" s="271">
        <v>440</v>
      </c>
      <c r="AM61" s="37">
        <v>9.099127239999999E-2</v>
      </c>
      <c r="AN61" s="73" t="s">
        <v>262</v>
      </c>
      <c r="AO61" s="112">
        <v>1.4610389610389609</v>
      </c>
      <c r="AP61" s="77">
        <v>0</v>
      </c>
      <c r="AQ61" s="77">
        <v>0</v>
      </c>
      <c r="AR61" s="77">
        <v>0.113</v>
      </c>
      <c r="AS61" s="114">
        <v>7.9699999999999993E-2</v>
      </c>
      <c r="AT61" s="37" t="s">
        <v>262</v>
      </c>
      <c r="AU61" s="37" t="s">
        <v>262</v>
      </c>
      <c r="AV61" s="37">
        <v>0.45908258799999996</v>
      </c>
      <c r="AW61" s="114">
        <v>0.23373025000000003</v>
      </c>
      <c r="AX61" s="37"/>
      <c r="AY61" s="271">
        <v>440</v>
      </c>
      <c r="AZ61" s="37" t="s">
        <v>262</v>
      </c>
      <c r="BA61" s="37" t="s">
        <v>262</v>
      </c>
      <c r="BB61" s="77" t="s">
        <v>262</v>
      </c>
      <c r="BC61" s="37">
        <v>1.1990229999999999E-2</v>
      </c>
      <c r="BD61" s="37">
        <v>2.1162399999999998E-2</v>
      </c>
      <c r="BE61" s="114">
        <v>2.3973099999999997E-2</v>
      </c>
      <c r="BF61" s="77" t="s">
        <v>262</v>
      </c>
      <c r="BG61" s="77" t="s">
        <v>262</v>
      </c>
      <c r="BH61" s="77">
        <v>1.95006E-2</v>
      </c>
      <c r="BI61" s="76">
        <v>3.5794899999999998E-2</v>
      </c>
    </row>
    <row r="62" spans="1:61">
      <c r="A62" s="274"/>
      <c r="B62" s="16" t="s">
        <v>230</v>
      </c>
      <c r="C62" s="6">
        <v>441</v>
      </c>
      <c r="D62" s="6" t="s">
        <v>38</v>
      </c>
      <c r="E62" s="72">
        <v>-15</v>
      </c>
      <c r="F62" s="73">
        <v>0.3</v>
      </c>
      <c r="G62" s="72" t="s">
        <v>248</v>
      </c>
      <c r="H62" s="6" t="s">
        <v>17</v>
      </c>
      <c r="I62" s="104">
        <v>0.5</v>
      </c>
      <c r="J62" s="107">
        <v>0.1</v>
      </c>
      <c r="K62" s="79">
        <v>1.2430000000000001</v>
      </c>
      <c r="L62" s="108">
        <v>1000.5119578731806</v>
      </c>
      <c r="M62" s="26"/>
      <c r="N62" s="271">
        <v>441</v>
      </c>
      <c r="O62" s="79">
        <v>9.9928000000000003E-2</v>
      </c>
      <c r="P62" s="73">
        <v>1.1201000000000001</v>
      </c>
      <c r="Q62" s="73">
        <v>1.0855999999999999</v>
      </c>
      <c r="R62" s="73">
        <v>1.2190000000000001</v>
      </c>
      <c r="S62" s="79">
        <v>0.19</v>
      </c>
      <c r="T62" s="79">
        <v>0.20288000000000003</v>
      </c>
      <c r="U62" s="112">
        <v>1.08</v>
      </c>
      <c r="V62" s="79">
        <v>9.3107999999999996E-2</v>
      </c>
      <c r="W62" s="73">
        <v>1.1367</v>
      </c>
      <c r="X62" s="73">
        <v>1.1006</v>
      </c>
      <c r="Y62" s="73">
        <v>1.28</v>
      </c>
      <c r="Z62" s="79">
        <v>0.192</v>
      </c>
      <c r="AA62" s="79">
        <v>0.19426000000000002</v>
      </c>
      <c r="AB62" s="112">
        <v>1.1092000000000002</v>
      </c>
      <c r="AC62" s="79">
        <v>9.3745999999999996E-2</v>
      </c>
      <c r="AD62" s="73">
        <v>1.1314</v>
      </c>
      <c r="AE62" s="73">
        <v>1.0965</v>
      </c>
      <c r="AF62" s="73">
        <v>1.2190000000000001</v>
      </c>
      <c r="AG62" s="79">
        <v>0.19500000000000001</v>
      </c>
      <c r="AH62" s="79">
        <v>0.19631999999999999</v>
      </c>
      <c r="AI62" s="112">
        <v>1.0888</v>
      </c>
      <c r="AJ62" s="19">
        <v>1086</v>
      </c>
      <c r="AL62" s="271">
        <v>441</v>
      </c>
      <c r="AM62" s="37">
        <v>5.8412795999999961E-2</v>
      </c>
      <c r="AN62" s="73" t="s">
        <v>262</v>
      </c>
      <c r="AO62" s="112">
        <v>9.2081031307550645E-2</v>
      </c>
      <c r="AP62" s="77">
        <v>0</v>
      </c>
      <c r="AQ62" s="77">
        <v>0</v>
      </c>
      <c r="AR62" s="77">
        <v>0</v>
      </c>
      <c r="AS62" s="114">
        <v>0</v>
      </c>
      <c r="AT62" s="37" t="s">
        <v>262</v>
      </c>
      <c r="AU62" s="37" t="s">
        <v>262</v>
      </c>
      <c r="AV62" s="37">
        <v>4.9863141559999997E-2</v>
      </c>
      <c r="AW62" s="114" t="s">
        <v>262</v>
      </c>
      <c r="AX62" s="37"/>
      <c r="AY62" s="271">
        <v>441</v>
      </c>
      <c r="AZ62" s="37" t="s">
        <v>262</v>
      </c>
      <c r="BA62" s="37" t="s">
        <v>262</v>
      </c>
      <c r="BB62" s="77" t="s">
        <v>262</v>
      </c>
      <c r="BC62" s="37">
        <v>5.1062299999999998E-3</v>
      </c>
      <c r="BD62" s="37">
        <v>9.2771700000000012E-3</v>
      </c>
      <c r="BE62" s="114">
        <v>1.3245420000000001E-2</v>
      </c>
      <c r="BF62" s="77" t="s">
        <v>262</v>
      </c>
      <c r="BG62" s="77" t="s">
        <v>262</v>
      </c>
      <c r="BH62" s="77">
        <v>1.8988999999999999E-2</v>
      </c>
      <c r="BI62" s="76">
        <v>3.3283300000000002E-2</v>
      </c>
    </row>
    <row r="63" spans="1:61">
      <c r="A63" s="274"/>
      <c r="B63" s="16" t="s">
        <v>230</v>
      </c>
      <c r="C63" s="6">
        <v>442</v>
      </c>
      <c r="D63" s="6" t="s">
        <v>39</v>
      </c>
      <c r="E63" s="72">
        <v>-15</v>
      </c>
      <c r="F63" s="73">
        <v>0.3</v>
      </c>
      <c r="G63" s="72" t="s">
        <v>248</v>
      </c>
      <c r="H63" s="6" t="s">
        <v>18</v>
      </c>
      <c r="I63" s="104">
        <v>0.5</v>
      </c>
      <c r="J63" s="107">
        <v>0.15</v>
      </c>
      <c r="K63" s="79">
        <v>2.1560000000000001</v>
      </c>
      <c r="L63" s="108">
        <v>1001.855287569573</v>
      </c>
      <c r="M63" s="26"/>
      <c r="N63" s="271">
        <v>442</v>
      </c>
      <c r="O63" s="79">
        <v>0.14263999999999999</v>
      </c>
      <c r="P63" s="73">
        <v>1.6577</v>
      </c>
      <c r="Q63" s="73">
        <v>1.5448999999999999</v>
      </c>
      <c r="R63" s="73">
        <v>2.1333000000000002</v>
      </c>
      <c r="S63" s="79">
        <v>0.245</v>
      </c>
      <c r="T63" s="79">
        <v>0.28617999999999999</v>
      </c>
      <c r="U63" s="112">
        <v>1.5472000000000001</v>
      </c>
      <c r="V63" s="79">
        <v>0.15773000000000001</v>
      </c>
      <c r="W63" s="73">
        <v>1.7296</v>
      </c>
      <c r="X63" s="73">
        <v>1.6244000000000001</v>
      </c>
      <c r="Y63" s="73">
        <v>2.1333000000000002</v>
      </c>
      <c r="Z63" s="79">
        <v>0.17899999999999999</v>
      </c>
      <c r="AA63" s="79">
        <v>0.28785999999999995</v>
      </c>
      <c r="AB63" s="112">
        <v>1.6759999999999997</v>
      </c>
      <c r="AC63" s="79">
        <v>0.13789000000000001</v>
      </c>
      <c r="AD63" s="73">
        <v>1.6688000000000001</v>
      </c>
      <c r="AE63" s="73">
        <v>1.5610999999999999</v>
      </c>
      <c r="AF63" s="73">
        <v>2.1333000000000002</v>
      </c>
      <c r="AG63" s="79">
        <v>0.23699999999999999</v>
      </c>
      <c r="AH63" s="79">
        <v>0.25629999999999997</v>
      </c>
      <c r="AI63" s="112">
        <v>1.5695999999999999</v>
      </c>
      <c r="AJ63" s="19">
        <v>1309</v>
      </c>
      <c r="AL63" s="271">
        <v>442</v>
      </c>
      <c r="AM63" s="37">
        <v>0.16151633689999997</v>
      </c>
      <c r="AN63" s="73">
        <v>0.30557677616501144</v>
      </c>
      <c r="AO63" s="112">
        <v>48.739495798319325</v>
      </c>
      <c r="AP63" s="77">
        <v>3.2800000000000003E-2</v>
      </c>
      <c r="AQ63" s="77">
        <v>3.3799999999999997E-2</v>
      </c>
      <c r="AR63" s="77">
        <v>2.1204999999999998</v>
      </c>
      <c r="AS63" s="76">
        <v>1.0155000000000001</v>
      </c>
      <c r="AT63" s="77" t="s">
        <v>262</v>
      </c>
      <c r="AU63" s="77">
        <v>4.7078477819999999E-2</v>
      </c>
      <c r="AV63" s="77">
        <v>1.0540001480000001</v>
      </c>
      <c r="AW63" s="76">
        <v>0.66865174999999999</v>
      </c>
      <c r="AX63" s="77"/>
      <c r="AY63" s="271">
        <v>442</v>
      </c>
      <c r="AZ63" s="77">
        <v>6.2368700000000003E-3</v>
      </c>
      <c r="BA63" s="77">
        <v>3.4090400000000003E-3</v>
      </c>
      <c r="BB63" s="77">
        <v>1.7074499999999999E-2</v>
      </c>
      <c r="BC63" s="77">
        <v>2.2705699999999999E-2</v>
      </c>
      <c r="BD63" s="77">
        <v>3.9301599999999999E-2</v>
      </c>
      <c r="BE63" s="76">
        <v>4.5499399999999995E-2</v>
      </c>
      <c r="BF63" s="77">
        <v>6.3724050000000003E-3</v>
      </c>
      <c r="BG63" s="77">
        <v>4.330698E-3</v>
      </c>
      <c r="BH63" s="77">
        <v>2.5500599999999998E-2</v>
      </c>
      <c r="BI63" s="76">
        <v>3.6306499999999998E-2</v>
      </c>
    </row>
    <row r="64" spans="1:61">
      <c r="A64" s="274"/>
      <c r="B64" s="115" t="s">
        <v>230</v>
      </c>
      <c r="C64" s="116">
        <v>443</v>
      </c>
      <c r="D64" s="116" t="s">
        <v>40</v>
      </c>
      <c r="E64" s="117">
        <v>-15</v>
      </c>
      <c r="F64" s="118">
        <v>0.3</v>
      </c>
      <c r="G64" s="117" t="s">
        <v>248</v>
      </c>
      <c r="H64" s="116" t="s">
        <v>19</v>
      </c>
      <c r="I64" s="120">
        <v>0.5</v>
      </c>
      <c r="J64" s="121">
        <v>0.15</v>
      </c>
      <c r="K64" s="122">
        <v>1.5289999999999999</v>
      </c>
      <c r="L64" s="123">
        <v>1027.4094773767761</v>
      </c>
      <c r="M64" s="26"/>
      <c r="N64" s="278">
        <v>443</v>
      </c>
      <c r="O64" s="122">
        <v>0.15554000000000001</v>
      </c>
      <c r="P64" s="118">
        <v>1.3293999999999999</v>
      </c>
      <c r="Q64" s="118">
        <v>1.2718</v>
      </c>
      <c r="R64" s="118">
        <v>1.5059</v>
      </c>
      <c r="S64" s="122">
        <v>0.19500000000000001</v>
      </c>
      <c r="T64" s="122">
        <v>0.30268</v>
      </c>
      <c r="U64" s="124">
        <v>1.2942</v>
      </c>
      <c r="V64" s="122">
        <v>0.15382999999999999</v>
      </c>
      <c r="W64" s="118">
        <v>1.3777999999999999</v>
      </c>
      <c r="X64" s="118">
        <v>1.321</v>
      </c>
      <c r="Y64" s="118">
        <v>1.5059</v>
      </c>
      <c r="Z64" s="122">
        <v>0.182</v>
      </c>
      <c r="AA64" s="122">
        <v>0.27466000000000002</v>
      </c>
      <c r="AB64" s="124">
        <v>1.3442000000000001</v>
      </c>
      <c r="AC64" s="122">
        <v>0.14365</v>
      </c>
      <c r="AD64" s="118">
        <v>1.359</v>
      </c>
      <c r="AE64" s="118">
        <v>1.3004</v>
      </c>
      <c r="AF64" s="118">
        <v>1.5059</v>
      </c>
      <c r="AG64" s="122">
        <v>0.19900000000000001</v>
      </c>
      <c r="AH64" s="122">
        <v>0.25014000000000003</v>
      </c>
      <c r="AI64" s="124">
        <v>1.3146</v>
      </c>
      <c r="AJ64" s="125">
        <v>1131</v>
      </c>
      <c r="AL64" s="278">
        <v>443</v>
      </c>
      <c r="AM64" s="128">
        <v>0.11070075849999997</v>
      </c>
      <c r="AN64" s="118" t="s">
        <v>262</v>
      </c>
      <c r="AO64" s="124">
        <v>3.4482758620689653</v>
      </c>
      <c r="AP64" s="126">
        <v>0</v>
      </c>
      <c r="AQ64" s="126">
        <v>0</v>
      </c>
      <c r="AR64" s="126">
        <v>0.27460000000000001</v>
      </c>
      <c r="AS64" s="129">
        <v>0.19400000000000001</v>
      </c>
      <c r="AT64" s="128" t="s">
        <v>262</v>
      </c>
      <c r="AU64" s="128" t="s">
        <v>262</v>
      </c>
      <c r="AV64" s="128">
        <v>0.59778324700000007</v>
      </c>
      <c r="AW64" s="129">
        <v>0.3511906125</v>
      </c>
      <c r="AX64" s="37"/>
      <c r="AY64" s="278">
        <v>443</v>
      </c>
      <c r="AZ64" s="128" t="s">
        <v>262</v>
      </c>
      <c r="BA64" s="128" t="s">
        <v>262</v>
      </c>
      <c r="BB64" s="126" t="s">
        <v>262</v>
      </c>
      <c r="BC64" s="128">
        <v>1.34188E-2</v>
      </c>
      <c r="BD64" s="128">
        <v>2.4705700000000001E-2</v>
      </c>
      <c r="BE64" s="129">
        <v>2.8835199999999998E-2</v>
      </c>
      <c r="BF64" s="126">
        <v>4.3724050000000002E-3</v>
      </c>
      <c r="BG64" s="126">
        <v>99.000330697999999</v>
      </c>
      <c r="BH64" s="126">
        <v>2.0500600000000001E-2</v>
      </c>
      <c r="BI64" s="127">
        <v>3.5283300000000004E-2</v>
      </c>
    </row>
    <row r="65" spans="1:61">
      <c r="A65" s="274"/>
      <c r="B65" s="16" t="s">
        <v>231</v>
      </c>
      <c r="C65" s="6">
        <v>444</v>
      </c>
      <c r="D65" s="6" t="s">
        <v>41</v>
      </c>
      <c r="E65" s="72">
        <v>15</v>
      </c>
      <c r="F65" s="73">
        <v>0</v>
      </c>
      <c r="G65" s="72" t="s">
        <v>248</v>
      </c>
      <c r="H65" s="6" t="s">
        <v>14</v>
      </c>
      <c r="I65" s="104">
        <v>0.55000000000000004</v>
      </c>
      <c r="J65" s="107">
        <v>0.09</v>
      </c>
      <c r="K65" s="79">
        <v>1.6703187875358823</v>
      </c>
      <c r="L65" s="108">
        <v>1097.2320292409461</v>
      </c>
      <c r="M65" s="26"/>
      <c r="N65" s="271">
        <v>444</v>
      </c>
      <c r="O65" s="79">
        <v>8.8845999999999994E-2</v>
      </c>
      <c r="P65" s="73">
        <v>1.3971</v>
      </c>
      <c r="Q65" s="73">
        <v>1.3203</v>
      </c>
      <c r="R65" s="73">
        <v>1.6</v>
      </c>
      <c r="S65" s="79">
        <v>0.21199999999999999</v>
      </c>
      <c r="T65" s="79">
        <v>0.16799999999999998</v>
      </c>
      <c r="U65" s="112">
        <v>1.2955999999999999</v>
      </c>
      <c r="V65" s="79">
        <v>7.9364000000000004E-2</v>
      </c>
      <c r="W65" s="73">
        <v>1.3794999999999999</v>
      </c>
      <c r="X65" s="73">
        <v>1.3030999999999999</v>
      </c>
      <c r="Y65" s="73">
        <v>1.6</v>
      </c>
      <c r="Z65" s="79">
        <v>0.219</v>
      </c>
      <c r="AA65" s="79">
        <v>0.15754000000000001</v>
      </c>
      <c r="AB65" s="112">
        <v>1.2657999999999998</v>
      </c>
      <c r="AC65" s="79">
        <v>8.8513999999999995E-2</v>
      </c>
      <c r="AD65" s="73">
        <v>1.4275</v>
      </c>
      <c r="AE65" s="73">
        <v>1.3516999999999999</v>
      </c>
      <c r="AF65" s="73">
        <v>1.7067000000000001</v>
      </c>
      <c r="AG65" s="79">
        <v>0.21099999999999999</v>
      </c>
      <c r="AH65" s="79">
        <v>0.16850000000000001</v>
      </c>
      <c r="AI65" s="112">
        <v>1.3111999999999999</v>
      </c>
      <c r="AJ65" s="19">
        <v>1342</v>
      </c>
      <c r="AL65" s="271">
        <v>444</v>
      </c>
      <c r="AM65" s="37">
        <v>0.12602450000000004</v>
      </c>
      <c r="AN65" s="73" t="s">
        <v>262</v>
      </c>
      <c r="AO65" s="112">
        <v>19.001490312965721</v>
      </c>
      <c r="AP65" s="77">
        <v>0</v>
      </c>
      <c r="AQ65" s="77">
        <v>0</v>
      </c>
      <c r="AR65" s="77">
        <v>0.66069999999999995</v>
      </c>
      <c r="AS65" s="114">
        <v>0.86529999999999996</v>
      </c>
      <c r="AT65" s="37" t="s">
        <v>262</v>
      </c>
      <c r="AU65" s="37" t="s">
        <v>262</v>
      </c>
      <c r="AV65" s="37">
        <v>0.78233255099999999</v>
      </c>
      <c r="AW65" s="114">
        <v>0.45912750000000002</v>
      </c>
      <c r="AX65" s="37"/>
      <c r="AY65" s="271">
        <v>444</v>
      </c>
      <c r="AZ65" s="37" t="s">
        <v>262</v>
      </c>
      <c r="BA65" s="37" t="s">
        <v>262</v>
      </c>
      <c r="BB65" s="77" t="s">
        <v>262</v>
      </c>
      <c r="BC65" s="37">
        <v>1.4825399999999999E-2</v>
      </c>
      <c r="BD65" s="37">
        <v>2.65665E-2</v>
      </c>
      <c r="BE65" s="114">
        <v>3.5233199999999999E-2</v>
      </c>
      <c r="BF65" s="77" t="s">
        <v>262</v>
      </c>
      <c r="BG65" s="77">
        <v>99.000330697999999</v>
      </c>
      <c r="BH65" s="77">
        <v>1.8500599999999999E-2</v>
      </c>
      <c r="BI65" s="76">
        <v>3.6306499999999998E-2</v>
      </c>
    </row>
    <row r="66" spans="1:61">
      <c r="A66" s="274"/>
      <c r="B66" s="16" t="s">
        <v>231</v>
      </c>
      <c r="C66" s="6">
        <v>445</v>
      </c>
      <c r="D66" s="6" t="s">
        <v>42</v>
      </c>
      <c r="E66" s="72">
        <v>15</v>
      </c>
      <c r="F66" s="73">
        <v>0</v>
      </c>
      <c r="G66" s="72" t="s">
        <v>248</v>
      </c>
      <c r="H66" s="6" t="s">
        <v>15</v>
      </c>
      <c r="I66" s="104">
        <v>0.55000000000000004</v>
      </c>
      <c r="J66" s="107">
        <v>0.09</v>
      </c>
      <c r="K66" s="79">
        <v>1.1810937414099143</v>
      </c>
      <c r="L66" s="108">
        <v>1108.3717263019273</v>
      </c>
      <c r="M66" s="26"/>
      <c r="N66" s="271">
        <v>445</v>
      </c>
      <c r="O66" s="79">
        <v>8.6871000000000004E-2</v>
      </c>
      <c r="P66" s="73">
        <v>1.0617000000000001</v>
      </c>
      <c r="Q66" s="73">
        <v>1.0297000000000001</v>
      </c>
      <c r="R66" s="73">
        <v>1.1636</v>
      </c>
      <c r="S66" s="79">
        <v>0.17</v>
      </c>
      <c r="T66" s="79">
        <v>0.16850000000000004</v>
      </c>
      <c r="U66" s="112">
        <v>1.0147999999999999</v>
      </c>
      <c r="V66" s="79">
        <v>8.3734000000000003E-2</v>
      </c>
      <c r="W66" s="73">
        <v>1.0665</v>
      </c>
      <c r="X66" s="73">
        <v>1.0361</v>
      </c>
      <c r="Y66" s="73">
        <v>1.2190000000000001</v>
      </c>
      <c r="Z66" s="79">
        <v>0.16900000000000001</v>
      </c>
      <c r="AA66" s="79">
        <v>0.16517999999999999</v>
      </c>
      <c r="AB66" s="112">
        <v>1.0406</v>
      </c>
      <c r="AC66" s="79">
        <v>8.2447000000000006E-2</v>
      </c>
      <c r="AD66" s="73">
        <v>1.0688</v>
      </c>
      <c r="AE66" s="73">
        <v>1.0370999999999999</v>
      </c>
      <c r="AF66" s="73">
        <v>1.2190000000000001</v>
      </c>
      <c r="AG66" s="79">
        <v>0.17799999999999999</v>
      </c>
      <c r="AH66" s="79">
        <v>0.15884000000000001</v>
      </c>
      <c r="AI66" s="112">
        <v>1.0210000000000001</v>
      </c>
      <c r="AJ66" s="19">
        <v>1204</v>
      </c>
      <c r="AL66" s="271">
        <v>445</v>
      </c>
      <c r="AM66" s="37">
        <v>0.1038829</v>
      </c>
      <c r="AN66" s="73" t="s">
        <v>262</v>
      </c>
      <c r="AO66" s="112">
        <v>8.471760797342192</v>
      </c>
      <c r="AP66" s="77">
        <v>0</v>
      </c>
      <c r="AQ66" s="77">
        <v>0</v>
      </c>
      <c r="AR66" s="77">
        <v>0.1066</v>
      </c>
      <c r="AS66" s="114">
        <v>7.3499999999999996E-2</v>
      </c>
      <c r="AT66" s="37" t="s">
        <v>262</v>
      </c>
      <c r="AU66" s="37" t="s">
        <v>262</v>
      </c>
      <c r="AV66" s="37">
        <v>0.37884335200000002</v>
      </c>
      <c r="AW66" s="114">
        <v>0.16468269999999999</v>
      </c>
      <c r="AX66" s="37"/>
      <c r="AY66" s="271">
        <v>445</v>
      </c>
      <c r="AZ66" s="37" t="s">
        <v>262</v>
      </c>
      <c r="BA66" s="37" t="s">
        <v>262</v>
      </c>
      <c r="BB66" s="77" t="s">
        <v>262</v>
      </c>
      <c r="BC66" s="37">
        <v>1.0498170000000001E-2</v>
      </c>
      <c r="BD66" s="37">
        <v>1.71673E-2</v>
      </c>
      <c r="BE66" s="114">
        <v>2.5909600000000001E-2</v>
      </c>
      <c r="BF66" s="77" t="s">
        <v>262</v>
      </c>
      <c r="BG66" s="77" t="s">
        <v>262</v>
      </c>
      <c r="BH66" s="77">
        <v>1.95006E-2</v>
      </c>
      <c r="BI66" s="76">
        <v>3.4283300000000003E-2</v>
      </c>
    </row>
    <row r="67" spans="1:61">
      <c r="A67" s="274"/>
      <c r="B67" s="16" t="s">
        <v>231</v>
      </c>
      <c r="C67" s="6">
        <v>447</v>
      </c>
      <c r="D67" s="6" t="s">
        <v>43</v>
      </c>
      <c r="E67" s="72">
        <v>15</v>
      </c>
      <c r="F67" s="73">
        <v>0</v>
      </c>
      <c r="G67" s="72" t="s">
        <v>248</v>
      </c>
      <c r="H67" s="6" t="s">
        <v>16</v>
      </c>
      <c r="I67" s="104">
        <v>0.55000000000000004</v>
      </c>
      <c r="J67" s="107">
        <v>0.12</v>
      </c>
      <c r="K67" s="79">
        <v>1.9287180032326616</v>
      </c>
      <c r="L67" s="108">
        <v>1119.9148845915752</v>
      </c>
      <c r="M67" s="26"/>
      <c r="N67" s="271">
        <v>447</v>
      </c>
      <c r="O67" s="79">
        <v>0.11613</v>
      </c>
      <c r="P67" s="73">
        <v>1.5767</v>
      </c>
      <c r="Q67" s="73">
        <v>1.4669000000000001</v>
      </c>
      <c r="R67" s="73">
        <v>1.9692000000000001</v>
      </c>
      <c r="S67" s="79">
        <v>0.23100000000000001</v>
      </c>
      <c r="T67" s="79">
        <v>0.23972000000000002</v>
      </c>
      <c r="U67" s="112">
        <v>1.4632000000000001</v>
      </c>
      <c r="V67" s="79">
        <v>0.10600999999999999</v>
      </c>
      <c r="W67" s="73">
        <v>1.5767</v>
      </c>
      <c r="X67" s="73">
        <v>1.4681</v>
      </c>
      <c r="Y67" s="73">
        <v>1.9692000000000001</v>
      </c>
      <c r="Z67" s="79">
        <v>0.22700000000000001</v>
      </c>
      <c r="AA67" s="79">
        <v>0.20934</v>
      </c>
      <c r="AB67" s="112">
        <v>1.4494</v>
      </c>
      <c r="AC67" s="79">
        <v>0.11438</v>
      </c>
      <c r="AD67" s="73">
        <v>1.5944</v>
      </c>
      <c r="AE67" s="73">
        <v>1.4937</v>
      </c>
      <c r="AF67" s="73">
        <v>1.9692000000000001</v>
      </c>
      <c r="AG67" s="79">
        <v>0.23200000000000001</v>
      </c>
      <c r="AH67" s="79">
        <v>0.22503999999999999</v>
      </c>
      <c r="AI67" s="112">
        <v>1.4436000000000002</v>
      </c>
      <c r="AJ67" s="19">
        <v>1405</v>
      </c>
      <c r="AL67" s="271">
        <v>447</v>
      </c>
      <c r="AM67" s="37">
        <v>0.18535290000000004</v>
      </c>
      <c r="AN67" s="73">
        <v>0.92526690391459065</v>
      </c>
      <c r="AO67" s="112">
        <v>0</v>
      </c>
      <c r="AP67" s="77">
        <v>4.7100000000000003E-2</v>
      </c>
      <c r="AQ67" s="77">
        <v>0.05</v>
      </c>
      <c r="AR67" s="77">
        <v>1.7282999999999999</v>
      </c>
      <c r="AS67" s="114">
        <v>3.1175000000000002</v>
      </c>
      <c r="AT67" s="37">
        <v>0.14767184040000003</v>
      </c>
      <c r="AU67" s="37">
        <v>3.5957625E-2</v>
      </c>
      <c r="AV67" s="37">
        <v>1.192700807</v>
      </c>
      <c r="AW67" s="114">
        <v>0.7535710000000001</v>
      </c>
      <c r="AX67" s="37"/>
      <c r="AY67" s="271">
        <v>447</v>
      </c>
      <c r="AZ67" s="37">
        <v>1.0124540000000001E-2</v>
      </c>
      <c r="BA67" s="37">
        <v>1.571171E-2</v>
      </c>
      <c r="BB67" s="77">
        <v>1.8979200000000002E-2</v>
      </c>
      <c r="BC67" s="37">
        <v>2.4656900000000002E-2</v>
      </c>
      <c r="BD67" s="37">
        <v>4.1413899999999997E-2</v>
      </c>
      <c r="BE67" s="114">
        <v>5.2769200000000002E-2</v>
      </c>
      <c r="BF67" s="84">
        <v>1.5372404999999999E-2</v>
      </c>
      <c r="BG67" s="77">
        <v>5.330698E-3</v>
      </c>
      <c r="BH67" s="77">
        <v>2.35006E-2</v>
      </c>
      <c r="BI67" s="76">
        <v>3.6306499999999998E-2</v>
      </c>
    </row>
    <row r="68" spans="1:61">
      <c r="A68" s="274"/>
      <c r="B68" s="16" t="s">
        <v>231</v>
      </c>
      <c r="C68" s="6">
        <v>448</v>
      </c>
      <c r="D68" s="6" t="s">
        <v>44</v>
      </c>
      <c r="E68" s="72">
        <v>15</v>
      </c>
      <c r="F68" s="73">
        <v>0</v>
      </c>
      <c r="G68" s="72" t="s">
        <v>248</v>
      </c>
      <c r="H68" s="6" t="s">
        <v>17</v>
      </c>
      <c r="I68" s="104">
        <v>0.55000000000000004</v>
      </c>
      <c r="J68" s="107">
        <v>0.12</v>
      </c>
      <c r="K68" s="79">
        <v>1.3638095790823928</v>
      </c>
      <c r="L68" s="108">
        <v>1103.8597825859642</v>
      </c>
      <c r="M68" s="26"/>
      <c r="N68" s="271">
        <v>448</v>
      </c>
      <c r="O68" s="79">
        <v>0.11667</v>
      </c>
      <c r="P68" s="73">
        <v>1.1968000000000001</v>
      </c>
      <c r="Q68" s="73">
        <v>1.1524000000000001</v>
      </c>
      <c r="R68" s="73">
        <v>1.3473999999999999</v>
      </c>
      <c r="S68" s="79">
        <v>0.186</v>
      </c>
      <c r="T68" s="79">
        <v>0.22553999999999999</v>
      </c>
      <c r="U68" s="112">
        <v>1.1435999999999999</v>
      </c>
      <c r="V68" s="79">
        <v>0.10899</v>
      </c>
      <c r="W68" s="73">
        <v>1.1850000000000001</v>
      </c>
      <c r="X68" s="73">
        <v>1.143</v>
      </c>
      <c r="Y68" s="73">
        <v>1.3473999999999999</v>
      </c>
      <c r="Z68" s="79">
        <v>0.185</v>
      </c>
      <c r="AA68" s="79">
        <v>0.21615999999999999</v>
      </c>
      <c r="AB68" s="112">
        <v>1.1422000000000001</v>
      </c>
      <c r="AC68" s="79">
        <v>0.10882</v>
      </c>
      <c r="AD68" s="73">
        <v>1.2053</v>
      </c>
      <c r="AE68" s="73">
        <v>1.1601999999999999</v>
      </c>
      <c r="AF68" s="73">
        <v>1.28</v>
      </c>
      <c r="AG68" s="79">
        <v>0.191</v>
      </c>
      <c r="AH68" s="79">
        <v>0.21429999999999999</v>
      </c>
      <c r="AI68" s="112">
        <v>1.1634</v>
      </c>
      <c r="AJ68" s="19">
        <v>1235</v>
      </c>
      <c r="AL68" s="271">
        <v>448</v>
      </c>
      <c r="AM68" s="37">
        <v>0.13646650000000002</v>
      </c>
      <c r="AN68" s="73">
        <v>8.0971659919028341E-2</v>
      </c>
      <c r="AO68" s="112">
        <v>81.781376518218636</v>
      </c>
      <c r="AP68" s="77">
        <v>0</v>
      </c>
      <c r="AQ68" s="77">
        <v>0</v>
      </c>
      <c r="AR68" s="77">
        <v>0.51080000000000003</v>
      </c>
      <c r="AS68" s="114">
        <v>0.4919</v>
      </c>
      <c r="AT68" s="37" t="s">
        <v>262</v>
      </c>
      <c r="AU68" s="37" t="s">
        <v>262</v>
      </c>
      <c r="AV68" s="37">
        <v>0.7353362229999999</v>
      </c>
      <c r="AW68" s="114">
        <v>0.42341325000000002</v>
      </c>
      <c r="AX68" s="37"/>
      <c r="AY68" s="271">
        <v>448</v>
      </c>
      <c r="AZ68" s="37" t="s">
        <v>262</v>
      </c>
      <c r="BA68" s="37" t="s">
        <v>262</v>
      </c>
      <c r="BB68" s="77" t="s">
        <v>262</v>
      </c>
      <c r="BC68" s="37">
        <v>1.4363859999999999E-2</v>
      </c>
      <c r="BD68" s="37">
        <v>2.4786300000000001E-2</v>
      </c>
      <c r="BE68" s="114">
        <v>3.6573899999999999E-2</v>
      </c>
      <c r="BF68" s="77" t="s">
        <v>262</v>
      </c>
      <c r="BG68" s="77" t="s">
        <v>262</v>
      </c>
      <c r="BH68" s="77">
        <v>2.1500600000000002E-2</v>
      </c>
      <c r="BI68" s="76">
        <v>3.2794900000000002E-2</v>
      </c>
    </row>
    <row r="69" spans="1:61">
      <c r="A69" s="274"/>
      <c r="B69" s="16" t="s">
        <v>231</v>
      </c>
      <c r="C69" s="6">
        <v>449</v>
      </c>
      <c r="D69" s="6" t="s">
        <v>45</v>
      </c>
      <c r="E69" s="72">
        <v>15</v>
      </c>
      <c r="F69" s="73">
        <v>0</v>
      </c>
      <c r="G69" s="72" t="s">
        <v>248</v>
      </c>
      <c r="H69" s="6" t="s">
        <v>18</v>
      </c>
      <c r="I69" s="104">
        <v>0.55000000000000004</v>
      </c>
      <c r="J69" s="107">
        <v>0.15</v>
      </c>
      <c r="K69" s="79">
        <v>2.1563722823279452</v>
      </c>
      <c r="L69" s="108">
        <v>1092.7443538737139</v>
      </c>
      <c r="M69" s="26"/>
      <c r="N69" s="271">
        <v>449</v>
      </c>
      <c r="O69" s="79">
        <v>0.15273</v>
      </c>
      <c r="P69" s="73">
        <v>1.7668999999999999</v>
      </c>
      <c r="Q69" s="73">
        <v>1.6323000000000001</v>
      </c>
      <c r="R69" s="73">
        <v>2.1333000000000002</v>
      </c>
      <c r="S69" s="79">
        <v>0.23599999999999999</v>
      </c>
      <c r="T69" s="79">
        <v>0.35069999999999996</v>
      </c>
      <c r="U69" s="112">
        <v>1.6702000000000001</v>
      </c>
      <c r="V69" s="79">
        <v>0.13918</v>
      </c>
      <c r="W69" s="73">
        <v>1.7483</v>
      </c>
      <c r="X69" s="73">
        <v>1.6157999999999999</v>
      </c>
      <c r="Y69" s="73">
        <v>2.1333000000000002</v>
      </c>
      <c r="Z69" s="79">
        <v>0.223</v>
      </c>
      <c r="AA69" s="79">
        <v>0.28999999999999998</v>
      </c>
      <c r="AB69" s="112">
        <v>1.7004000000000001</v>
      </c>
      <c r="AC69" s="79">
        <v>0.14076</v>
      </c>
      <c r="AD69" s="73">
        <v>1.7058</v>
      </c>
      <c r="AE69" s="73">
        <v>1.5838000000000001</v>
      </c>
      <c r="AF69" s="73">
        <v>2.1333000000000002</v>
      </c>
      <c r="AG69" s="79">
        <v>0.22500000000000001</v>
      </c>
      <c r="AH69" s="79">
        <v>0.28111999999999993</v>
      </c>
      <c r="AI69" s="112">
        <v>1.6006</v>
      </c>
      <c r="AJ69" s="19">
        <v>1362</v>
      </c>
      <c r="AL69" s="271">
        <v>449</v>
      </c>
      <c r="AM69" s="77">
        <v>0.23526259999999999</v>
      </c>
      <c r="AN69" s="73">
        <v>7.415565345080763</v>
      </c>
      <c r="AO69" s="112">
        <v>0</v>
      </c>
      <c r="AP69" s="77">
        <v>0.38269999999999998</v>
      </c>
      <c r="AQ69" s="77">
        <v>0.40789999999999998</v>
      </c>
      <c r="AR69" s="77">
        <v>4.1429999999999998</v>
      </c>
      <c r="AS69" s="76">
        <v>7.0727000000000002</v>
      </c>
      <c r="AT69" s="77">
        <v>0.60908811600000001</v>
      </c>
      <c r="AU69" s="77">
        <v>0.43111958999999994</v>
      </c>
      <c r="AV69" s="77">
        <v>1.5411692850000001</v>
      </c>
      <c r="AW69" s="76">
        <v>0.95198349999999987</v>
      </c>
      <c r="AX69" s="77"/>
      <c r="AY69" s="271">
        <v>449</v>
      </c>
      <c r="AZ69" s="77">
        <v>2.08694E-2</v>
      </c>
      <c r="BA69" s="77">
        <v>3.0085300000000002E-2</v>
      </c>
      <c r="BB69" s="77">
        <v>3.4134299999999999E-2</v>
      </c>
      <c r="BC69" s="77">
        <v>3.6324799999999997E-2</v>
      </c>
      <c r="BD69" s="77">
        <v>5.5540899999999997E-2</v>
      </c>
      <c r="BE69" s="76">
        <v>7.2261300000000001E-2</v>
      </c>
      <c r="BF69" s="77">
        <v>1.5372404999999999E-2</v>
      </c>
      <c r="BG69" s="77">
        <v>1.0330698000000001E-2</v>
      </c>
      <c r="BH69" s="77">
        <v>2.35006E-2</v>
      </c>
      <c r="BI69" s="76">
        <v>3.6306499999999998E-2</v>
      </c>
    </row>
    <row r="70" spans="1:61">
      <c r="A70" s="274"/>
      <c r="B70" s="115" t="s">
        <v>231</v>
      </c>
      <c r="C70" s="116">
        <v>450</v>
      </c>
      <c r="D70" s="116" t="s">
        <v>46</v>
      </c>
      <c r="E70" s="117">
        <v>15</v>
      </c>
      <c r="F70" s="118">
        <v>0</v>
      </c>
      <c r="G70" s="117" t="s">
        <v>248</v>
      </c>
      <c r="H70" s="116" t="s">
        <v>19</v>
      </c>
      <c r="I70" s="120">
        <v>0.55000000000000004</v>
      </c>
      <c r="J70" s="121">
        <v>0.15</v>
      </c>
      <c r="K70" s="122">
        <v>1.5247854635968026</v>
      </c>
      <c r="L70" s="123">
        <v>1116.1033617173778</v>
      </c>
      <c r="M70" s="26"/>
      <c r="N70" s="278">
        <v>450</v>
      </c>
      <c r="O70" s="122">
        <v>0.14710000000000001</v>
      </c>
      <c r="P70" s="118">
        <v>1.3141</v>
      </c>
      <c r="Q70" s="118">
        <v>1.2565</v>
      </c>
      <c r="R70" s="118">
        <v>1.5059</v>
      </c>
      <c r="S70" s="122">
        <v>0.19700000000000001</v>
      </c>
      <c r="T70" s="122">
        <v>0.30174000000000001</v>
      </c>
      <c r="U70" s="124">
        <v>1.2690000000000001</v>
      </c>
      <c r="V70" s="122">
        <v>0.13025999999999999</v>
      </c>
      <c r="W70" s="118">
        <v>1.3019000000000001</v>
      </c>
      <c r="X70" s="118">
        <v>1.2448999999999999</v>
      </c>
      <c r="Y70" s="118">
        <v>1.5059</v>
      </c>
      <c r="Z70" s="122">
        <v>0.19500000000000001</v>
      </c>
      <c r="AA70" s="122">
        <v>0.24018</v>
      </c>
      <c r="AB70" s="124">
        <v>1.2612000000000001</v>
      </c>
      <c r="AC70" s="122">
        <v>0.1396</v>
      </c>
      <c r="AD70" s="118">
        <v>1.3460000000000001</v>
      </c>
      <c r="AE70" s="118">
        <v>1.2877000000000001</v>
      </c>
      <c r="AF70" s="118">
        <v>1.5059</v>
      </c>
      <c r="AG70" s="122">
        <v>0.20200000000000001</v>
      </c>
      <c r="AH70" s="122">
        <v>0.25553999999999999</v>
      </c>
      <c r="AI70" s="124">
        <v>1.2928000000000002</v>
      </c>
      <c r="AJ70" s="125">
        <v>1246</v>
      </c>
      <c r="AL70" s="278">
        <v>450</v>
      </c>
      <c r="AM70" s="128">
        <v>0.16930529999999999</v>
      </c>
      <c r="AN70" s="118">
        <v>0.32102728731942215</v>
      </c>
      <c r="AO70" s="124">
        <v>0</v>
      </c>
      <c r="AP70" s="126">
        <v>0</v>
      </c>
      <c r="AQ70" s="126">
        <v>0</v>
      </c>
      <c r="AR70" s="126">
        <v>2.0613999999999999</v>
      </c>
      <c r="AS70" s="129">
        <v>2.0973000000000002</v>
      </c>
      <c r="AT70" s="128" t="s">
        <v>262</v>
      </c>
      <c r="AU70" s="128" t="s">
        <v>262</v>
      </c>
      <c r="AV70" s="128">
        <v>0.95542145399999978</v>
      </c>
      <c r="AW70" s="129">
        <v>0.62817462499999999</v>
      </c>
      <c r="AX70" s="37"/>
      <c r="AY70" s="278">
        <v>450</v>
      </c>
      <c r="AZ70" s="128">
        <v>5.2747260000000004E-3</v>
      </c>
      <c r="BA70" s="128">
        <v>1.008528E-2</v>
      </c>
      <c r="BB70" s="126">
        <v>1.30452E-2</v>
      </c>
      <c r="BC70" s="128">
        <v>1.9802199999999999E-2</v>
      </c>
      <c r="BD70" s="128">
        <v>3.4127000000000005E-2</v>
      </c>
      <c r="BE70" s="129">
        <v>4.8149000000000004E-2</v>
      </c>
      <c r="BF70" s="126">
        <v>1.0372404999999999E-2</v>
      </c>
      <c r="BG70" s="126">
        <v>4.330698E-3</v>
      </c>
      <c r="BH70" s="126">
        <v>2.35006E-2</v>
      </c>
      <c r="BI70" s="127">
        <v>3.6794899999999998E-2</v>
      </c>
    </row>
    <row r="71" spans="1:61">
      <c r="A71" s="274"/>
      <c r="B71" s="16" t="s">
        <v>232</v>
      </c>
      <c r="C71" s="6">
        <v>476</v>
      </c>
      <c r="D71" s="6" t="s">
        <v>304</v>
      </c>
      <c r="E71" s="72">
        <v>0</v>
      </c>
      <c r="F71" s="73">
        <v>0.15</v>
      </c>
      <c r="G71" s="72" t="s">
        <v>248</v>
      </c>
      <c r="H71" s="6" t="s">
        <v>14</v>
      </c>
      <c r="I71" s="104">
        <v>0.55000000000000004</v>
      </c>
      <c r="J71" s="107">
        <v>0.09</v>
      </c>
      <c r="K71" s="79">
        <v>1.6703187875358823</v>
      </c>
      <c r="L71" s="108">
        <v>1097.2320292409461</v>
      </c>
      <c r="M71" s="26"/>
      <c r="N71" s="271">
        <v>476</v>
      </c>
      <c r="O71" s="79">
        <v>6.9545999999999997E-2</v>
      </c>
      <c r="P71" s="73">
        <v>1.2121999999999999</v>
      </c>
      <c r="Q71" s="73">
        <v>1.135</v>
      </c>
      <c r="R71" s="73">
        <v>1.5059</v>
      </c>
      <c r="S71" s="79">
        <v>0.20599999999999999</v>
      </c>
      <c r="T71" s="79">
        <v>0.13167999999999999</v>
      </c>
      <c r="U71" s="112">
        <v>1.1140000000000001</v>
      </c>
      <c r="V71" s="79">
        <v>6.4311999999999994E-2</v>
      </c>
      <c r="W71" s="73">
        <v>1.2255</v>
      </c>
      <c r="X71" s="73">
        <v>1.1472</v>
      </c>
      <c r="Y71" s="73">
        <v>1.5059</v>
      </c>
      <c r="Z71" s="79">
        <v>0.19900000000000001</v>
      </c>
      <c r="AA71" s="79">
        <v>0.11885999999999999</v>
      </c>
      <c r="AB71" s="112">
        <v>1.1306</v>
      </c>
      <c r="AC71" s="79">
        <v>6.8498000000000003E-2</v>
      </c>
      <c r="AD71" s="73">
        <v>1.2295</v>
      </c>
      <c r="AE71" s="73">
        <v>1.157</v>
      </c>
      <c r="AF71" s="73">
        <v>1.4221999999999999</v>
      </c>
      <c r="AG71" s="79">
        <v>0.215</v>
      </c>
      <c r="AH71" s="79">
        <v>0.12766</v>
      </c>
      <c r="AI71" s="112">
        <v>1.1374</v>
      </c>
      <c r="AJ71" s="19">
        <v>1271</v>
      </c>
      <c r="AL71" s="271">
        <v>476</v>
      </c>
      <c r="AM71" s="18">
        <v>0.10043959999999999</v>
      </c>
      <c r="AN71" s="73" t="s">
        <v>262</v>
      </c>
      <c r="AO71" s="112">
        <v>6.136900078678206</v>
      </c>
      <c r="AP71" s="77">
        <v>0</v>
      </c>
      <c r="AQ71" s="77">
        <v>0</v>
      </c>
      <c r="AR71" s="77">
        <v>0.27239999999999998</v>
      </c>
      <c r="AS71" s="114">
        <v>0.31719999999999998</v>
      </c>
      <c r="AT71" s="37" t="s">
        <v>262</v>
      </c>
      <c r="AU71" s="37" t="s">
        <v>262</v>
      </c>
      <c r="AV71" s="37">
        <v>0.53817648799999995</v>
      </c>
      <c r="AW71" s="114">
        <v>0.35198426249999998</v>
      </c>
      <c r="AX71" s="37"/>
      <c r="AY71" s="271">
        <v>476</v>
      </c>
      <c r="AZ71" s="37" t="s">
        <v>262</v>
      </c>
      <c r="BA71" s="37" t="s">
        <v>262</v>
      </c>
      <c r="BB71" s="77" t="s">
        <v>262</v>
      </c>
      <c r="BC71" s="37">
        <v>1.573627E-2</v>
      </c>
      <c r="BD71" s="37">
        <v>2.28352E-2</v>
      </c>
      <c r="BE71" s="114">
        <v>3.3460299999999998E-2</v>
      </c>
      <c r="BF71" s="77" t="s">
        <v>262</v>
      </c>
      <c r="BG71" s="77" t="s">
        <v>262</v>
      </c>
      <c r="BH71" s="77">
        <v>2.1500600000000002E-2</v>
      </c>
      <c r="BI71" s="76" t="s">
        <v>262</v>
      </c>
    </row>
    <row r="72" spans="1:61" ht="12.75" customHeight="1">
      <c r="A72" s="274"/>
      <c r="B72" s="115" t="s">
        <v>232</v>
      </c>
      <c r="C72" s="116">
        <v>477</v>
      </c>
      <c r="D72" s="116" t="s">
        <v>304</v>
      </c>
      <c r="E72" s="117">
        <v>0</v>
      </c>
      <c r="F72" s="118">
        <v>0.15</v>
      </c>
      <c r="G72" s="117" t="s">
        <v>248</v>
      </c>
      <c r="H72" s="116" t="s">
        <v>15</v>
      </c>
      <c r="I72" s="120">
        <v>0.55000000000000004</v>
      </c>
      <c r="J72" s="121">
        <v>0.09</v>
      </c>
      <c r="K72" s="122">
        <v>1.1810937414099143</v>
      </c>
      <c r="L72" s="123">
        <v>1108.3717263019273</v>
      </c>
      <c r="M72" s="26"/>
      <c r="N72" s="278">
        <v>477</v>
      </c>
      <c r="O72" s="122">
        <v>6.9622000000000003E-2</v>
      </c>
      <c r="P72" s="118">
        <v>0.91054999999999997</v>
      </c>
      <c r="Q72" s="118">
        <v>0.87494000000000005</v>
      </c>
      <c r="R72" s="118">
        <v>1.024</v>
      </c>
      <c r="S72" s="122">
        <v>0.18099999999999999</v>
      </c>
      <c r="T72" s="122">
        <v>0.12618000000000001</v>
      </c>
      <c r="U72" s="124">
        <v>0.88651999999999997</v>
      </c>
      <c r="V72" s="122">
        <v>6.5165000000000001E-2</v>
      </c>
      <c r="W72" s="118">
        <v>0.91857</v>
      </c>
      <c r="X72" s="118">
        <v>0.88509000000000004</v>
      </c>
      <c r="Y72" s="118">
        <v>1.024</v>
      </c>
      <c r="Z72" s="122">
        <v>0.17399999999999999</v>
      </c>
      <c r="AA72" s="122">
        <v>0.12689999999999999</v>
      </c>
      <c r="AB72" s="124">
        <v>0.89510000000000001</v>
      </c>
      <c r="AC72" s="122">
        <v>6.5877000000000005E-2</v>
      </c>
      <c r="AD72" s="118">
        <v>0.92235999999999996</v>
      </c>
      <c r="AE72" s="118">
        <v>0.88846000000000003</v>
      </c>
      <c r="AF72" s="118">
        <v>1.024</v>
      </c>
      <c r="AG72" s="122">
        <v>0.18</v>
      </c>
      <c r="AH72" s="122">
        <v>0.12454000000000001</v>
      </c>
      <c r="AI72" s="124">
        <v>0.89337999999999995</v>
      </c>
      <c r="AJ72" s="125">
        <v>1106</v>
      </c>
      <c r="AL72" s="278">
        <v>477</v>
      </c>
      <c r="AM72" s="145">
        <v>7.2158800000000009E-2</v>
      </c>
      <c r="AN72" s="118" t="s">
        <v>262</v>
      </c>
      <c r="AO72" s="124">
        <v>9.0415913200723327E-2</v>
      </c>
      <c r="AP72" s="126">
        <v>0</v>
      </c>
      <c r="AQ72" s="126">
        <v>0</v>
      </c>
      <c r="AR72" s="126">
        <v>3.4099999999999998E-2</v>
      </c>
      <c r="AS72" s="129">
        <v>4.1200000000000001E-2</v>
      </c>
      <c r="AT72" s="128" t="s">
        <v>262</v>
      </c>
      <c r="AU72" s="128" t="s">
        <v>262</v>
      </c>
      <c r="AV72" s="128">
        <v>0.18741616449999998</v>
      </c>
      <c r="AW72" s="129">
        <v>9.2460387500000005E-2</v>
      </c>
      <c r="AX72" s="37"/>
      <c r="AY72" s="278">
        <v>477</v>
      </c>
      <c r="AZ72" s="128" t="s">
        <v>262</v>
      </c>
      <c r="BA72" s="128" t="s">
        <v>262</v>
      </c>
      <c r="BB72" s="126" t="s">
        <v>262</v>
      </c>
      <c r="BC72" s="128">
        <v>7.5042700000000004E-3</v>
      </c>
      <c r="BD72" s="128">
        <v>1.3311360000000001E-2</v>
      </c>
      <c r="BE72" s="129">
        <v>2.1242999999999998E-2</v>
      </c>
      <c r="BF72" s="126" t="s">
        <v>262</v>
      </c>
      <c r="BG72" s="126" t="s">
        <v>262</v>
      </c>
      <c r="BH72" s="126">
        <v>1.8988999999999999E-2</v>
      </c>
      <c r="BI72" s="127">
        <v>3.4783300000000003E-2</v>
      </c>
    </row>
    <row r="73" spans="1:61" ht="12" customHeight="1">
      <c r="A73" s="274"/>
      <c r="B73" s="16" t="s">
        <v>233</v>
      </c>
      <c r="C73" s="6">
        <v>486</v>
      </c>
      <c r="D73" s="6" t="s">
        <v>305</v>
      </c>
      <c r="E73" s="72">
        <v>0</v>
      </c>
      <c r="F73" s="73">
        <v>0.4</v>
      </c>
      <c r="G73" s="72" t="s">
        <v>248</v>
      </c>
      <c r="H73" s="6" t="s">
        <v>14</v>
      </c>
      <c r="I73" s="104">
        <v>0.55000000000000004</v>
      </c>
      <c r="J73" s="107">
        <v>0.15</v>
      </c>
      <c r="K73" s="79">
        <v>1.5247854635968026</v>
      </c>
      <c r="L73" s="108">
        <v>1116.1033617173778</v>
      </c>
      <c r="M73" s="26"/>
      <c r="N73" s="271">
        <v>486</v>
      </c>
      <c r="O73" s="79">
        <v>7.2454000000000005E-2</v>
      </c>
      <c r="P73" s="73">
        <v>1.2434000000000001</v>
      </c>
      <c r="Q73" s="73">
        <v>1.1794</v>
      </c>
      <c r="R73" s="73">
        <v>1.4221999999999999</v>
      </c>
      <c r="S73" s="79">
        <v>0.19</v>
      </c>
      <c r="T73" s="79">
        <v>0.13009999999999999</v>
      </c>
      <c r="U73" s="112">
        <v>1.1581999999999999</v>
      </c>
      <c r="V73" s="79">
        <v>6.4159999999999995E-2</v>
      </c>
      <c r="W73" s="73">
        <v>1.2235</v>
      </c>
      <c r="X73" s="73">
        <v>1.1603000000000001</v>
      </c>
      <c r="Y73" s="73">
        <v>1.4221999999999999</v>
      </c>
      <c r="Z73" s="79">
        <v>0.21</v>
      </c>
      <c r="AA73" s="79">
        <v>0.11686000000000001</v>
      </c>
      <c r="AB73" s="112">
        <v>1.119</v>
      </c>
      <c r="AC73" s="79">
        <v>6.8156999999999995E-2</v>
      </c>
      <c r="AD73" s="73">
        <v>1.2375</v>
      </c>
      <c r="AE73" s="73">
        <v>1.1747000000000001</v>
      </c>
      <c r="AF73" s="73">
        <v>1.5059</v>
      </c>
      <c r="AG73" s="79">
        <v>0.20100000000000001</v>
      </c>
      <c r="AH73" s="79">
        <v>0.12804000000000001</v>
      </c>
      <c r="AI73" s="112">
        <v>1.0992000000000002</v>
      </c>
      <c r="AJ73" s="19">
        <v>1345</v>
      </c>
      <c r="AL73" s="271">
        <v>486</v>
      </c>
      <c r="AM73" s="18">
        <v>0.1065556</v>
      </c>
      <c r="AN73" s="73" t="s">
        <v>262</v>
      </c>
      <c r="AO73" s="112">
        <v>4.5353159851301115</v>
      </c>
      <c r="AP73" s="77">
        <v>0</v>
      </c>
      <c r="AQ73" s="77">
        <v>0</v>
      </c>
      <c r="AR73" s="77">
        <v>0.26240000000000002</v>
      </c>
      <c r="AS73" s="114">
        <v>0.2702</v>
      </c>
      <c r="AT73" s="37" t="s">
        <v>262</v>
      </c>
      <c r="AU73" s="37" t="s">
        <v>262</v>
      </c>
      <c r="AV73" s="37">
        <v>0.49461828029999994</v>
      </c>
      <c r="AW73" s="114">
        <v>0.29007939999999999</v>
      </c>
      <c r="AX73" s="37"/>
      <c r="AY73" s="271">
        <v>486</v>
      </c>
      <c r="AZ73" s="37" t="s">
        <v>262</v>
      </c>
      <c r="BA73" s="37" t="s">
        <v>262</v>
      </c>
      <c r="BB73" s="77" t="s">
        <v>262</v>
      </c>
      <c r="BC73" s="37">
        <v>1.2803419999999999E-2</v>
      </c>
      <c r="BD73" s="37">
        <v>4.3340699999999996E-2</v>
      </c>
      <c r="BE73" s="114">
        <v>2.2378510000000001E-2</v>
      </c>
      <c r="BF73" s="77" t="s">
        <v>262</v>
      </c>
      <c r="BG73" s="77" t="s">
        <v>262</v>
      </c>
      <c r="BH73" s="77">
        <v>2.4500599999999997E-2</v>
      </c>
      <c r="BI73" s="76">
        <v>4.0306500000000002E-2</v>
      </c>
    </row>
    <row r="74" spans="1:61" ht="12.75" customHeight="1" thickBot="1">
      <c r="A74" s="274"/>
      <c r="B74" s="21" t="s">
        <v>233</v>
      </c>
      <c r="C74" s="149">
        <v>487</v>
      </c>
      <c r="D74" s="149" t="s">
        <v>305</v>
      </c>
      <c r="E74" s="150">
        <v>0</v>
      </c>
      <c r="F74" s="95">
        <v>0.4</v>
      </c>
      <c r="G74" s="150" t="s">
        <v>248</v>
      </c>
      <c r="H74" s="149" t="s">
        <v>15</v>
      </c>
      <c r="I74" s="103">
        <v>0.55000000000000004</v>
      </c>
      <c r="J74" s="109">
        <v>0.09</v>
      </c>
      <c r="K74" s="97">
        <v>1.1810937414099143</v>
      </c>
      <c r="L74" s="110">
        <v>1108.3717263019273</v>
      </c>
      <c r="M74" s="26"/>
      <c r="N74" s="272">
        <v>487</v>
      </c>
      <c r="O74" s="97">
        <v>6.9592000000000001E-2</v>
      </c>
      <c r="P74" s="95">
        <v>0.92279999999999995</v>
      </c>
      <c r="Q74" s="95">
        <v>0.89015999999999995</v>
      </c>
      <c r="R74" s="95">
        <v>1.024</v>
      </c>
      <c r="S74" s="97">
        <v>0.17699999999999999</v>
      </c>
      <c r="T74" s="97">
        <v>0.12835999999999997</v>
      </c>
      <c r="U74" s="113">
        <v>0.88536000000000004</v>
      </c>
      <c r="V74" s="97">
        <v>6.4965999999999996E-2</v>
      </c>
      <c r="W74" s="95">
        <v>0.93633999999999995</v>
      </c>
      <c r="X74" s="95">
        <v>0.90615000000000001</v>
      </c>
      <c r="Y74" s="95">
        <v>1.024</v>
      </c>
      <c r="Z74" s="97">
        <v>0.18</v>
      </c>
      <c r="AA74" s="97">
        <v>0.12256</v>
      </c>
      <c r="AB74" s="113">
        <v>0.89455999999999991</v>
      </c>
      <c r="AC74" s="97">
        <v>6.7015000000000005E-2</v>
      </c>
      <c r="AD74" s="95">
        <v>0.93620000000000003</v>
      </c>
      <c r="AE74" s="95">
        <v>0.90676000000000001</v>
      </c>
      <c r="AF74" s="95">
        <v>1.024</v>
      </c>
      <c r="AG74" s="97">
        <v>0.192</v>
      </c>
      <c r="AH74" s="97">
        <v>0.13477999999999998</v>
      </c>
      <c r="AI74" s="113">
        <v>0.88090000000000013</v>
      </c>
      <c r="AJ74" s="22">
        <v>1144</v>
      </c>
      <c r="AL74" s="272">
        <v>487</v>
      </c>
      <c r="AM74" s="94">
        <v>7.0437200000000005E-2</v>
      </c>
      <c r="AN74" s="95" t="s">
        <v>262</v>
      </c>
      <c r="AO74" s="113">
        <v>0.17482517482517482</v>
      </c>
      <c r="AP74" s="151">
        <v>0</v>
      </c>
      <c r="AQ74" s="151">
        <v>0</v>
      </c>
      <c r="AR74" s="151">
        <v>4.2000000000000003E-2</v>
      </c>
      <c r="AS74" s="152">
        <v>2.5999999999999999E-2</v>
      </c>
      <c r="AT74" s="153" t="s">
        <v>262</v>
      </c>
      <c r="AU74" s="153" t="s">
        <v>262</v>
      </c>
      <c r="AV74" s="153" t="s">
        <v>262</v>
      </c>
      <c r="AW74" s="152" t="s">
        <v>262</v>
      </c>
      <c r="AX74" s="37"/>
      <c r="AY74" s="272">
        <v>487</v>
      </c>
      <c r="AZ74" s="153" t="s">
        <v>262</v>
      </c>
      <c r="BA74" s="153" t="s">
        <v>262</v>
      </c>
      <c r="BB74" s="151" t="s">
        <v>262</v>
      </c>
      <c r="BC74" s="153">
        <v>7.5408999999999997E-3</v>
      </c>
      <c r="BD74" s="153">
        <v>2.5645899999999999E-2</v>
      </c>
      <c r="BE74" s="152">
        <v>1.698413E-2</v>
      </c>
      <c r="BF74" s="151" t="s">
        <v>262</v>
      </c>
      <c r="BG74" s="151" t="s">
        <v>262</v>
      </c>
      <c r="BH74" s="151">
        <v>1.95006E-2</v>
      </c>
      <c r="BI74" s="154">
        <v>3.5283300000000004E-2</v>
      </c>
    </row>
    <row r="75" spans="1:61" ht="12.75" customHeight="1" thickBot="1">
      <c r="A75" s="274"/>
      <c r="C75" s="6"/>
      <c r="D75" s="6"/>
      <c r="E75" s="72"/>
      <c r="F75" s="73"/>
      <c r="G75" s="72"/>
      <c r="H75" s="6"/>
      <c r="K75" s="79"/>
      <c r="L75" s="26"/>
      <c r="M75" s="26"/>
      <c r="N75" s="6"/>
      <c r="AL75" s="6"/>
      <c r="AM75" s="18"/>
      <c r="AP75" s="77"/>
      <c r="AQ75" s="77"/>
      <c r="AR75" s="77"/>
      <c r="AS75" s="37"/>
      <c r="AT75" s="37"/>
      <c r="AU75" s="37"/>
      <c r="AV75" s="37"/>
      <c r="AW75" s="37"/>
      <c r="AX75" s="37"/>
      <c r="AY75" s="6"/>
      <c r="AZ75" s="37"/>
      <c r="BA75" s="37"/>
      <c r="BB75" s="77"/>
      <c r="BC75" s="37"/>
      <c r="BD75" s="37"/>
      <c r="BE75" s="37"/>
      <c r="BF75" s="77"/>
      <c r="BG75" s="77"/>
      <c r="BH75" s="77"/>
      <c r="BI75" s="77"/>
    </row>
    <row r="76" spans="1:61" s="14" customFormat="1">
      <c r="B76" s="88"/>
      <c r="C76" s="11"/>
      <c r="D76" s="89"/>
      <c r="E76" s="11"/>
      <c r="F76" s="11"/>
      <c r="G76" s="11"/>
      <c r="H76" s="11"/>
      <c r="I76" s="100"/>
      <c r="J76" s="105" t="s">
        <v>169</v>
      </c>
      <c r="K76" s="11"/>
      <c r="L76" s="12"/>
      <c r="N76" s="88"/>
      <c r="O76" s="90" t="s">
        <v>201</v>
      </c>
      <c r="P76" s="91"/>
      <c r="Q76" s="91"/>
      <c r="R76" s="91"/>
      <c r="S76" s="90"/>
      <c r="T76" s="90"/>
      <c r="U76" s="111"/>
      <c r="V76" s="43"/>
      <c r="W76" s="91"/>
      <c r="X76" s="91"/>
      <c r="Y76" s="91"/>
      <c r="Z76" s="90"/>
      <c r="AA76" s="90"/>
      <c r="AB76" s="111"/>
      <c r="AC76" s="43"/>
      <c r="AD76" s="91"/>
      <c r="AE76" s="91"/>
      <c r="AF76" s="91"/>
      <c r="AG76" s="90"/>
      <c r="AH76" s="90"/>
      <c r="AI76" s="111"/>
      <c r="AJ76" s="49"/>
      <c r="AK76" s="275"/>
      <c r="AL76" s="88"/>
      <c r="AM76" s="43"/>
      <c r="AN76" s="91"/>
      <c r="AO76" s="111"/>
      <c r="AP76" s="4"/>
      <c r="AQ76" s="4"/>
      <c r="AR76" s="4"/>
      <c r="AS76" s="5"/>
      <c r="AT76" s="43"/>
      <c r="AU76" s="43"/>
      <c r="AV76" s="43"/>
      <c r="AW76" s="55"/>
      <c r="AX76" s="7"/>
      <c r="AY76" s="88"/>
      <c r="AZ76" s="44"/>
      <c r="BA76" s="44"/>
      <c r="BB76" s="44"/>
      <c r="BC76" s="44"/>
      <c r="BD76" s="44"/>
      <c r="BE76" s="59"/>
      <c r="BF76" s="11"/>
      <c r="BG76" s="11"/>
      <c r="BH76" s="11"/>
      <c r="BI76" s="12"/>
    </row>
    <row r="77" spans="1:61">
      <c r="A77" s="81"/>
      <c r="B77" s="92" t="s">
        <v>163</v>
      </c>
      <c r="C77" s="10" t="s">
        <v>303</v>
      </c>
      <c r="D77" s="86" t="s">
        <v>4</v>
      </c>
      <c r="E77" s="81" t="s">
        <v>165</v>
      </c>
      <c r="F77" s="81" t="s">
        <v>2</v>
      </c>
      <c r="G77" s="81" t="s">
        <v>5</v>
      </c>
      <c r="H77" s="81" t="s">
        <v>167</v>
      </c>
      <c r="I77" s="101" t="s">
        <v>170</v>
      </c>
      <c r="J77" s="106" t="s">
        <v>0</v>
      </c>
      <c r="K77" s="10" t="s">
        <v>1</v>
      </c>
      <c r="L77" s="25" t="s">
        <v>10</v>
      </c>
      <c r="M77" s="10"/>
      <c r="N77" s="93" t="s">
        <v>303</v>
      </c>
      <c r="O77" s="87" t="s">
        <v>197</v>
      </c>
      <c r="S77" s="87"/>
      <c r="T77" s="87"/>
      <c r="U77" s="112"/>
      <c r="V77" s="39" t="s">
        <v>198</v>
      </c>
      <c r="Z77" s="87"/>
      <c r="AA77" s="87"/>
      <c r="AB77" s="112"/>
      <c r="AC77" s="39" t="s">
        <v>199</v>
      </c>
      <c r="AG77" s="87"/>
      <c r="AH77" s="87"/>
      <c r="AI77" s="112"/>
      <c r="AJ77" s="50"/>
      <c r="AK77" s="275"/>
      <c r="AL77" s="93" t="s">
        <v>303</v>
      </c>
      <c r="AM77" s="39" t="s">
        <v>172</v>
      </c>
      <c r="AO77" s="112"/>
      <c r="AP77" s="8" t="s">
        <v>173</v>
      </c>
      <c r="AQ77" s="1"/>
      <c r="AR77" s="1"/>
      <c r="AS77" s="2"/>
      <c r="AT77" s="39" t="s">
        <v>174</v>
      </c>
      <c r="AU77" s="7"/>
      <c r="AV77" s="7"/>
      <c r="AW77" s="56"/>
      <c r="AX77" s="7"/>
      <c r="AY77" s="93" t="s">
        <v>303</v>
      </c>
      <c r="AZ77" s="41" t="s">
        <v>175</v>
      </c>
      <c r="BA77" s="38"/>
      <c r="BB77" s="38"/>
      <c r="BC77" s="38"/>
      <c r="BD77" s="38"/>
      <c r="BE77" s="60"/>
      <c r="BF77" s="9" t="s">
        <v>200</v>
      </c>
      <c r="BI77" s="19"/>
    </row>
    <row r="78" spans="1:61">
      <c r="B78" s="93" t="s">
        <v>164</v>
      </c>
      <c r="C78" s="10" t="s">
        <v>302</v>
      </c>
      <c r="E78" s="10" t="s">
        <v>166</v>
      </c>
      <c r="G78" s="17" t="s">
        <v>6</v>
      </c>
      <c r="H78" s="10" t="s">
        <v>168</v>
      </c>
      <c r="I78" s="102" t="s">
        <v>171</v>
      </c>
      <c r="J78" s="107" t="s">
        <v>8</v>
      </c>
      <c r="K78" s="17" t="s">
        <v>9</v>
      </c>
      <c r="L78" s="19" t="s">
        <v>11</v>
      </c>
      <c r="N78" s="93" t="s">
        <v>302</v>
      </c>
      <c r="O78" s="37" t="s">
        <v>176</v>
      </c>
      <c r="P78" s="73" t="s">
        <v>177</v>
      </c>
      <c r="Q78" s="73" t="s">
        <v>178</v>
      </c>
      <c r="R78" s="73" t="s">
        <v>1</v>
      </c>
      <c r="S78" s="37" t="s">
        <v>179</v>
      </c>
      <c r="T78" s="37" t="s">
        <v>180</v>
      </c>
      <c r="U78" s="112" t="s">
        <v>181</v>
      </c>
      <c r="V78" s="37" t="s">
        <v>176</v>
      </c>
      <c r="W78" s="73" t="s">
        <v>177</v>
      </c>
      <c r="X78" s="73" t="s">
        <v>178</v>
      </c>
      <c r="Y78" s="73" t="s">
        <v>1</v>
      </c>
      <c r="Z78" s="37" t="s">
        <v>179</v>
      </c>
      <c r="AA78" s="37" t="s">
        <v>180</v>
      </c>
      <c r="AB78" s="112" t="s">
        <v>181</v>
      </c>
      <c r="AC78" s="37" t="s">
        <v>176</v>
      </c>
      <c r="AD78" s="73" t="s">
        <v>177</v>
      </c>
      <c r="AE78" s="73" t="s">
        <v>178</v>
      </c>
      <c r="AF78" s="73" t="s">
        <v>1</v>
      </c>
      <c r="AG78" s="37" t="s">
        <v>179</v>
      </c>
      <c r="AH78" s="37" t="s">
        <v>180</v>
      </c>
      <c r="AI78" s="112" t="s">
        <v>181</v>
      </c>
      <c r="AJ78" s="51" t="s">
        <v>182</v>
      </c>
      <c r="AK78" s="276"/>
      <c r="AL78" s="93" t="s">
        <v>302</v>
      </c>
      <c r="AM78" s="36" t="s">
        <v>183</v>
      </c>
      <c r="AN78" s="73" t="s">
        <v>184</v>
      </c>
      <c r="AO78" s="112" t="s">
        <v>185</v>
      </c>
      <c r="AP78" s="1" t="s">
        <v>186</v>
      </c>
      <c r="AQ78" s="1" t="s">
        <v>187</v>
      </c>
      <c r="AR78" s="1" t="s">
        <v>188</v>
      </c>
      <c r="AS78" s="53" t="s">
        <v>189</v>
      </c>
      <c r="AT78" s="36" t="s">
        <v>190</v>
      </c>
      <c r="AU78" s="36" t="s">
        <v>191</v>
      </c>
      <c r="AV78" s="36" t="s">
        <v>192</v>
      </c>
      <c r="AW78" s="57" t="s">
        <v>193</v>
      </c>
      <c r="AX78" s="36"/>
      <c r="AY78" s="93" t="s">
        <v>302</v>
      </c>
      <c r="AZ78" s="75" t="s">
        <v>254</v>
      </c>
      <c r="BA78" s="75" t="s">
        <v>255</v>
      </c>
      <c r="BB78" s="77" t="s">
        <v>263</v>
      </c>
      <c r="BC78" s="75" t="s">
        <v>256</v>
      </c>
      <c r="BD78" s="75" t="s">
        <v>257</v>
      </c>
      <c r="BE78" s="76" t="s">
        <v>264</v>
      </c>
      <c r="BF78" s="7" t="s">
        <v>258</v>
      </c>
      <c r="BG78" s="7" t="s">
        <v>259</v>
      </c>
      <c r="BH78" s="7" t="s">
        <v>260</v>
      </c>
      <c r="BI78" s="56" t="s">
        <v>261</v>
      </c>
    </row>
    <row r="79" spans="1:61" ht="13.5" thickBot="1">
      <c r="A79" s="80"/>
      <c r="B79" s="21"/>
      <c r="C79" s="20"/>
      <c r="D79" s="94"/>
      <c r="E79" s="20" t="s">
        <v>12</v>
      </c>
      <c r="F79" s="20" t="s">
        <v>13</v>
      </c>
      <c r="G79" s="20" t="s">
        <v>7</v>
      </c>
      <c r="H79" s="20"/>
      <c r="I79" s="103" t="s">
        <v>8</v>
      </c>
      <c r="J79" s="21"/>
      <c r="K79" s="20"/>
      <c r="L79" s="22"/>
      <c r="N79" s="21"/>
      <c r="O79" s="45" t="s">
        <v>8</v>
      </c>
      <c r="P79" s="95" t="s">
        <v>9</v>
      </c>
      <c r="Q79" s="95" t="s">
        <v>9</v>
      </c>
      <c r="R79" s="95" t="s">
        <v>9</v>
      </c>
      <c r="S79" s="45" t="s">
        <v>159</v>
      </c>
      <c r="T79" s="45" t="s">
        <v>8</v>
      </c>
      <c r="U79" s="113" t="s">
        <v>9</v>
      </c>
      <c r="V79" s="45" t="s">
        <v>8</v>
      </c>
      <c r="W79" s="95" t="s">
        <v>9</v>
      </c>
      <c r="X79" s="95" t="s">
        <v>9</v>
      </c>
      <c r="Y79" s="95" t="s">
        <v>9</v>
      </c>
      <c r="Z79" s="45" t="s">
        <v>159</v>
      </c>
      <c r="AA79" s="45" t="s">
        <v>8</v>
      </c>
      <c r="AB79" s="113" t="s">
        <v>9</v>
      </c>
      <c r="AC79" s="45" t="s">
        <v>8</v>
      </c>
      <c r="AD79" s="95" t="s">
        <v>9</v>
      </c>
      <c r="AE79" s="95" t="s">
        <v>9</v>
      </c>
      <c r="AF79" s="95" t="s">
        <v>9</v>
      </c>
      <c r="AG79" s="45" t="s">
        <v>159</v>
      </c>
      <c r="AH79" s="45" t="s">
        <v>8</v>
      </c>
      <c r="AI79" s="113" t="s">
        <v>9</v>
      </c>
      <c r="AJ79" s="52" t="s">
        <v>159</v>
      </c>
      <c r="AK79" s="277"/>
      <c r="AL79" s="21"/>
      <c r="AM79" s="45" t="s">
        <v>8</v>
      </c>
      <c r="AN79" s="95" t="s">
        <v>8</v>
      </c>
      <c r="AO79" s="113" t="s">
        <v>8</v>
      </c>
      <c r="AP79" s="3" t="s">
        <v>194</v>
      </c>
      <c r="AQ79" s="3" t="s">
        <v>194</v>
      </c>
      <c r="AR79" s="3" t="s">
        <v>194</v>
      </c>
      <c r="AS79" s="54" t="s">
        <v>194</v>
      </c>
      <c r="AT79" s="45" t="s">
        <v>195</v>
      </c>
      <c r="AU79" s="45" t="s">
        <v>195</v>
      </c>
      <c r="AV79" s="45" t="s">
        <v>195</v>
      </c>
      <c r="AW79" s="58" t="s">
        <v>195</v>
      </c>
      <c r="AX79" s="36"/>
      <c r="AY79" s="21"/>
      <c r="AZ79" s="48" t="s">
        <v>196</v>
      </c>
      <c r="BA79" s="48" t="s">
        <v>196</v>
      </c>
      <c r="BB79" s="47" t="s">
        <v>196</v>
      </c>
      <c r="BC79" s="48" t="s">
        <v>196</v>
      </c>
      <c r="BD79" s="47" t="s">
        <v>196</v>
      </c>
      <c r="BE79" s="61" t="s">
        <v>196</v>
      </c>
      <c r="BF79" s="47" t="s">
        <v>196</v>
      </c>
      <c r="BG79" s="48" t="s">
        <v>196</v>
      </c>
      <c r="BH79" s="47" t="s">
        <v>196</v>
      </c>
      <c r="BI79" s="61" t="s">
        <v>196</v>
      </c>
    </row>
    <row r="80" spans="1:61" ht="12.75" customHeight="1">
      <c r="A80" s="274"/>
      <c r="B80" s="99" t="s">
        <v>162</v>
      </c>
      <c r="C80" s="6"/>
      <c r="D80" s="6" t="s">
        <v>211</v>
      </c>
      <c r="E80" s="6"/>
      <c r="F80" s="73"/>
      <c r="G80" s="72"/>
      <c r="H80" s="6"/>
      <c r="I80" s="104"/>
      <c r="J80" s="107"/>
      <c r="K80" s="79"/>
      <c r="L80" s="108"/>
      <c r="M80" s="26"/>
      <c r="N80" s="271"/>
      <c r="U80" s="112"/>
      <c r="AB80" s="112"/>
      <c r="AI80" s="112"/>
      <c r="AJ80" s="19"/>
      <c r="AL80" s="271"/>
      <c r="AM80" s="77"/>
      <c r="AO80" s="112"/>
      <c r="AP80" s="77"/>
      <c r="AQ80" s="77"/>
      <c r="AR80" s="77"/>
      <c r="AS80" s="76"/>
      <c r="AT80" s="77"/>
      <c r="AU80" s="77"/>
      <c r="AV80" s="77"/>
      <c r="AW80" s="76"/>
      <c r="AX80" s="77"/>
      <c r="AY80" s="271"/>
      <c r="AZ80" s="77"/>
      <c r="BA80" s="77"/>
      <c r="BB80" s="77"/>
      <c r="BC80" s="77"/>
      <c r="BD80" s="77"/>
      <c r="BE80" s="76"/>
      <c r="BF80" s="77"/>
      <c r="BG80" s="77"/>
      <c r="BH80" s="77"/>
      <c r="BI80" s="76"/>
    </row>
    <row r="81" spans="1:61">
      <c r="A81" s="274"/>
      <c r="B81" s="16" t="s">
        <v>234</v>
      </c>
      <c r="C81" s="6">
        <v>511</v>
      </c>
      <c r="D81" s="6" t="s">
        <v>56</v>
      </c>
      <c r="E81" s="6">
        <v>30</v>
      </c>
      <c r="F81" s="73">
        <v>0</v>
      </c>
      <c r="G81" s="72" t="s">
        <v>248</v>
      </c>
      <c r="H81" s="6" t="s">
        <v>14</v>
      </c>
      <c r="I81" s="104">
        <v>0.55000000000000004</v>
      </c>
      <c r="J81" s="107">
        <v>0.09</v>
      </c>
      <c r="K81" s="79">
        <v>1.6703187875358823</v>
      </c>
      <c r="L81" s="108">
        <v>1097.2320292409461</v>
      </c>
      <c r="M81" s="26"/>
      <c r="N81" s="271">
        <v>511</v>
      </c>
      <c r="O81" s="79">
        <v>8.7521000000000002E-2</v>
      </c>
      <c r="P81" s="73">
        <v>1.4559</v>
      </c>
      <c r="Q81" s="73">
        <v>1.3866000000000001</v>
      </c>
      <c r="R81" s="73">
        <v>1.7067000000000001</v>
      </c>
      <c r="S81" s="79">
        <v>0.23599999999999999</v>
      </c>
      <c r="T81" s="79">
        <v>0.17018</v>
      </c>
      <c r="U81" s="112">
        <v>1.3524</v>
      </c>
      <c r="V81" s="79">
        <v>8.5150000000000003E-2</v>
      </c>
      <c r="W81" s="73">
        <v>1.4574</v>
      </c>
      <c r="X81" s="73">
        <v>1.389</v>
      </c>
      <c r="Y81" s="73">
        <v>1.7067000000000001</v>
      </c>
      <c r="Z81" s="79">
        <v>0.24</v>
      </c>
      <c r="AA81" s="79">
        <v>0.17005999999999999</v>
      </c>
      <c r="AB81" s="112">
        <v>1.3922000000000001</v>
      </c>
      <c r="AC81" s="79">
        <v>7.9882999999999996E-2</v>
      </c>
      <c r="AD81" s="73">
        <v>1.4330000000000001</v>
      </c>
      <c r="AE81" s="73">
        <v>1.3593</v>
      </c>
      <c r="AF81" s="73">
        <v>1.7067000000000001</v>
      </c>
      <c r="AG81" s="79">
        <v>0.218</v>
      </c>
      <c r="AH81" s="79">
        <v>0.15443999999999999</v>
      </c>
      <c r="AI81" s="112">
        <v>1.3109999999999999</v>
      </c>
      <c r="AJ81" s="19">
        <v>1317</v>
      </c>
      <c r="AL81" s="271">
        <v>511</v>
      </c>
      <c r="AM81" s="37">
        <v>0.1357669</v>
      </c>
      <c r="AN81" s="73" t="s">
        <v>262</v>
      </c>
      <c r="AO81" s="112">
        <v>43.280182232346242</v>
      </c>
      <c r="AP81" s="77">
        <v>0</v>
      </c>
      <c r="AQ81" s="77">
        <v>0</v>
      </c>
      <c r="AR81" s="77">
        <v>0.4516</v>
      </c>
      <c r="AS81" s="114">
        <v>0.35149999999999998</v>
      </c>
      <c r="AT81" s="37" t="s">
        <v>262</v>
      </c>
      <c r="AU81" s="37" t="s">
        <v>262</v>
      </c>
      <c r="AV81" s="37">
        <v>0.89008332100000009</v>
      </c>
      <c r="AW81" s="114">
        <v>0.52103187500000003</v>
      </c>
      <c r="AX81" s="37"/>
      <c r="AY81" s="271">
        <v>511</v>
      </c>
      <c r="AZ81" s="37" t="s">
        <v>262</v>
      </c>
      <c r="BA81" s="37" t="s">
        <v>262</v>
      </c>
      <c r="BB81" s="77" t="s">
        <v>262</v>
      </c>
      <c r="BC81" s="37">
        <v>1.55678E-2</v>
      </c>
      <c r="BD81" s="37">
        <v>2.39048E-2</v>
      </c>
      <c r="BE81" s="114">
        <v>3.5094E-2</v>
      </c>
      <c r="BF81" s="77" t="s">
        <v>262</v>
      </c>
      <c r="BG81" s="77" t="s">
        <v>262</v>
      </c>
      <c r="BH81" s="77">
        <v>1.95006E-2</v>
      </c>
      <c r="BI81" s="76">
        <v>3.2306500000000002E-2</v>
      </c>
    </row>
    <row r="82" spans="1:61">
      <c r="A82" s="274"/>
      <c r="B82" s="16" t="s">
        <v>234</v>
      </c>
      <c r="C82" s="6">
        <v>512</v>
      </c>
      <c r="D82" s="6" t="s">
        <v>57</v>
      </c>
      <c r="E82" s="6">
        <v>30</v>
      </c>
      <c r="F82" s="73">
        <v>0</v>
      </c>
      <c r="G82" s="72" t="s">
        <v>248</v>
      </c>
      <c r="H82" s="6" t="s">
        <v>15</v>
      </c>
      <c r="I82" s="104">
        <v>0.55000000000000004</v>
      </c>
      <c r="J82" s="107">
        <v>0.09</v>
      </c>
      <c r="K82" s="79">
        <v>1.1810937414099143</v>
      </c>
      <c r="L82" s="108">
        <v>1108.3717263019273</v>
      </c>
      <c r="M82" s="26"/>
      <c r="N82" s="271">
        <v>512</v>
      </c>
      <c r="O82" s="79">
        <v>7.8972000000000001E-2</v>
      </c>
      <c r="P82" s="73">
        <v>1.0952</v>
      </c>
      <c r="Q82" s="73">
        <v>1.0691999999999999</v>
      </c>
      <c r="R82" s="73">
        <v>1.1636</v>
      </c>
      <c r="S82" s="79">
        <v>0.16400000000000001</v>
      </c>
      <c r="T82" s="79">
        <v>0.15482000000000001</v>
      </c>
      <c r="U82" s="112">
        <v>1.0528</v>
      </c>
      <c r="V82" s="79">
        <v>7.3639999999999997E-2</v>
      </c>
      <c r="W82" s="73">
        <v>1.0948</v>
      </c>
      <c r="X82" s="73">
        <v>1.0659000000000001</v>
      </c>
      <c r="Y82" s="73">
        <v>1.1636</v>
      </c>
      <c r="Z82" s="79">
        <v>0.16600000000000001</v>
      </c>
      <c r="AA82" s="79">
        <v>0.13557999999999998</v>
      </c>
      <c r="AB82" s="112">
        <v>1.0569999999999999</v>
      </c>
      <c r="AC82" s="79">
        <v>7.9127000000000003E-2</v>
      </c>
      <c r="AD82" s="73">
        <v>1.1012999999999999</v>
      </c>
      <c r="AE82" s="73">
        <v>1.0770999999999999</v>
      </c>
      <c r="AF82" s="73">
        <v>1.1636</v>
      </c>
      <c r="AG82" s="79">
        <v>0.158</v>
      </c>
      <c r="AH82" s="79">
        <v>0.15743999999999997</v>
      </c>
      <c r="AI82" s="112">
        <v>1.0555999999999999</v>
      </c>
      <c r="AJ82" s="19">
        <v>1169</v>
      </c>
      <c r="AL82" s="271">
        <v>512</v>
      </c>
      <c r="AM82" s="37">
        <v>9.1322400000000012E-2</v>
      </c>
      <c r="AN82" s="73" t="s">
        <v>262</v>
      </c>
      <c r="AO82" s="112">
        <v>0.85543199315654406</v>
      </c>
      <c r="AP82" s="77">
        <v>0</v>
      </c>
      <c r="AQ82" s="77">
        <v>0</v>
      </c>
      <c r="AR82" s="77">
        <v>3.7699999999999997E-2</v>
      </c>
      <c r="AS82" s="114">
        <v>5.4600000000000003E-2</v>
      </c>
      <c r="AT82" s="37" t="s">
        <v>262</v>
      </c>
      <c r="AU82" s="37" t="s">
        <v>262</v>
      </c>
      <c r="AV82" s="37">
        <v>0.43271873699999996</v>
      </c>
      <c r="AW82" s="114">
        <v>0.16865094999999999</v>
      </c>
      <c r="AX82" s="37"/>
      <c r="AY82" s="271">
        <v>512</v>
      </c>
      <c r="AZ82" s="37" t="s">
        <v>262</v>
      </c>
      <c r="BA82" s="37" t="s">
        <v>262</v>
      </c>
      <c r="BB82" s="77" t="s">
        <v>262</v>
      </c>
      <c r="BC82" s="37">
        <v>8.8766799999999996E-3</v>
      </c>
      <c r="BD82" s="37">
        <v>1.0493280000000001E-2</v>
      </c>
      <c r="BE82" s="114">
        <v>2.44738E-2</v>
      </c>
      <c r="BF82" s="77" t="s">
        <v>262</v>
      </c>
      <c r="BG82" s="77" t="s">
        <v>262</v>
      </c>
      <c r="BH82" s="77">
        <v>1.55006E-2</v>
      </c>
      <c r="BI82" s="76">
        <v>2.9283299999999998E-2</v>
      </c>
    </row>
    <row r="83" spans="1:61">
      <c r="A83" s="274"/>
      <c r="B83" s="16" t="s">
        <v>234</v>
      </c>
      <c r="C83" s="6">
        <v>513</v>
      </c>
      <c r="D83" s="6" t="s">
        <v>58</v>
      </c>
      <c r="E83" s="6">
        <v>30</v>
      </c>
      <c r="F83" s="73">
        <v>0</v>
      </c>
      <c r="G83" s="72" t="s">
        <v>248</v>
      </c>
      <c r="H83" s="6" t="s">
        <v>16</v>
      </c>
      <c r="I83" s="104">
        <v>0.55000000000000004</v>
      </c>
      <c r="J83" s="107">
        <v>0.12</v>
      </c>
      <c r="K83" s="79">
        <v>1.9287180032326616</v>
      </c>
      <c r="L83" s="108">
        <v>1119.9148845915752</v>
      </c>
      <c r="M83" s="26"/>
      <c r="N83" s="271">
        <v>513</v>
      </c>
      <c r="O83" s="79">
        <v>0.11701</v>
      </c>
      <c r="P83" s="73">
        <v>1.6095999999999999</v>
      </c>
      <c r="Q83" s="73">
        <v>1.5172000000000001</v>
      </c>
      <c r="R83" s="73">
        <v>1.9692000000000001</v>
      </c>
      <c r="S83" s="79">
        <v>0.251</v>
      </c>
      <c r="T83" s="79">
        <v>0.23648000000000002</v>
      </c>
      <c r="U83" s="112">
        <v>1.4967999999999999</v>
      </c>
      <c r="V83" s="79">
        <v>0.10746</v>
      </c>
      <c r="W83" s="73">
        <v>1.6</v>
      </c>
      <c r="X83" s="73">
        <v>1.51</v>
      </c>
      <c r="Y83" s="73">
        <v>1.9692000000000001</v>
      </c>
      <c r="Z83" s="79">
        <v>0.25900000000000001</v>
      </c>
      <c r="AA83" s="79">
        <v>0.20335999999999999</v>
      </c>
      <c r="AB83" s="112">
        <v>1.4896</v>
      </c>
      <c r="AC83" s="79">
        <v>0.11659</v>
      </c>
      <c r="AD83" s="73">
        <v>1.6613</v>
      </c>
      <c r="AE83" s="73">
        <v>1.5660000000000001</v>
      </c>
      <c r="AF83" s="73">
        <v>1.9692000000000001</v>
      </c>
      <c r="AG83" s="79">
        <v>0.19700000000000001</v>
      </c>
      <c r="AH83" s="79">
        <v>0.23433999999999999</v>
      </c>
      <c r="AI83" s="112">
        <v>1.5436000000000001</v>
      </c>
      <c r="AJ83" s="19">
        <v>1363</v>
      </c>
      <c r="AL83" s="271">
        <v>513</v>
      </c>
      <c r="AM83" s="37">
        <v>0.17476930000000002</v>
      </c>
      <c r="AN83" s="73">
        <v>0.51357300073367573</v>
      </c>
      <c r="AO83" s="112">
        <v>183.41892883345562</v>
      </c>
      <c r="AP83" s="77">
        <v>0</v>
      </c>
      <c r="AQ83" s="77">
        <v>2.5399999999999999E-2</v>
      </c>
      <c r="AR83" s="77">
        <v>2.3626999999999998</v>
      </c>
      <c r="AS83" s="114">
        <v>1.3202</v>
      </c>
      <c r="AT83" s="37">
        <v>0.13634877480000002</v>
      </c>
      <c r="AU83" s="37" t="s">
        <v>262</v>
      </c>
      <c r="AV83" s="37">
        <v>1.355472298</v>
      </c>
      <c r="AW83" s="114">
        <v>0.91785687500000013</v>
      </c>
      <c r="AX83" s="37"/>
      <c r="AY83" s="271">
        <v>513</v>
      </c>
      <c r="AZ83" s="37">
        <v>9.7777799999999998E-3</v>
      </c>
      <c r="BA83" s="37">
        <v>6.3101300000000006E-3</v>
      </c>
      <c r="BB83" s="77">
        <v>1.7225900000000002E-2</v>
      </c>
      <c r="BC83" s="37">
        <v>2.1338200000000002E-2</v>
      </c>
      <c r="BD83" s="37">
        <v>3.1011E-2</v>
      </c>
      <c r="BE83" s="114">
        <v>4.9206400000000004E-2</v>
      </c>
      <c r="BF83" s="84">
        <v>1.0372404999999999E-2</v>
      </c>
      <c r="BG83" s="77">
        <v>6.3306980000000001E-3</v>
      </c>
      <c r="BH83" s="77">
        <v>1.8500599999999999E-2</v>
      </c>
      <c r="BI83" s="76">
        <v>3.03065E-2</v>
      </c>
    </row>
    <row r="84" spans="1:61">
      <c r="A84" s="274"/>
      <c r="B84" s="16" t="s">
        <v>234</v>
      </c>
      <c r="C84" s="6">
        <v>514</v>
      </c>
      <c r="D84" s="6" t="s">
        <v>59</v>
      </c>
      <c r="E84" s="6">
        <v>30</v>
      </c>
      <c r="F84" s="73">
        <v>0</v>
      </c>
      <c r="G84" s="72" t="s">
        <v>248</v>
      </c>
      <c r="H84" s="6" t="s">
        <v>17</v>
      </c>
      <c r="I84" s="104">
        <v>0.55000000000000004</v>
      </c>
      <c r="J84" s="107">
        <v>0.12</v>
      </c>
      <c r="K84" s="79">
        <v>1.3638095790823928</v>
      </c>
      <c r="L84" s="108">
        <v>1103.8597825859642</v>
      </c>
      <c r="M84" s="26"/>
      <c r="N84" s="271">
        <v>514</v>
      </c>
      <c r="O84" s="79">
        <v>0.10487</v>
      </c>
      <c r="P84" s="73">
        <v>1.2295</v>
      </c>
      <c r="Q84" s="73">
        <v>1.1909000000000001</v>
      </c>
      <c r="R84" s="73">
        <v>1.3473999999999999</v>
      </c>
      <c r="S84" s="79">
        <v>0.17699999999999999</v>
      </c>
      <c r="T84" s="79">
        <v>0.19907999999999998</v>
      </c>
      <c r="U84" s="112">
        <v>1.1747999999999998</v>
      </c>
      <c r="V84" s="79">
        <v>0.10289</v>
      </c>
      <c r="W84" s="73">
        <v>1.2441</v>
      </c>
      <c r="X84" s="73">
        <v>1.2029000000000001</v>
      </c>
      <c r="Y84" s="73">
        <v>1.4221999999999999</v>
      </c>
      <c r="Z84" s="79">
        <v>0.17</v>
      </c>
      <c r="AA84" s="79">
        <v>0.19213999999999998</v>
      </c>
      <c r="AB84" s="112">
        <v>1.2212000000000001</v>
      </c>
      <c r="AC84" s="79">
        <v>0.10134</v>
      </c>
      <c r="AD84" s="73">
        <v>1.2205999999999999</v>
      </c>
      <c r="AE84" s="73">
        <v>1.1838</v>
      </c>
      <c r="AF84" s="73">
        <v>1.3473999999999999</v>
      </c>
      <c r="AG84" s="79">
        <v>0.17299999999999999</v>
      </c>
      <c r="AH84" s="79">
        <v>0.18187999999999999</v>
      </c>
      <c r="AI84" s="112">
        <v>1.1761999999999999</v>
      </c>
      <c r="AJ84" s="19">
        <v>1211</v>
      </c>
      <c r="AL84" s="271">
        <v>514</v>
      </c>
      <c r="AM84" s="37">
        <v>0.12934680000000001</v>
      </c>
      <c r="AN84" s="73" t="s">
        <v>262</v>
      </c>
      <c r="AO84" s="112">
        <v>80.099091659785302</v>
      </c>
      <c r="AP84" s="77">
        <v>0</v>
      </c>
      <c r="AQ84" s="77">
        <v>0</v>
      </c>
      <c r="AR84" s="77">
        <v>0.36480000000000001</v>
      </c>
      <c r="AS84" s="114">
        <v>0.46</v>
      </c>
      <c r="AT84" s="37" t="s">
        <v>262</v>
      </c>
      <c r="AU84" s="37" t="s">
        <v>262</v>
      </c>
      <c r="AV84" s="37">
        <v>0.83964629099999999</v>
      </c>
      <c r="AW84" s="114">
        <v>0.45833287500000003</v>
      </c>
      <c r="AX84" s="37"/>
      <c r="AY84" s="271">
        <v>514</v>
      </c>
      <c r="AZ84" s="37" t="s">
        <v>262</v>
      </c>
      <c r="BA84" s="37" t="s">
        <v>262</v>
      </c>
      <c r="BB84" s="77" t="s">
        <v>262</v>
      </c>
      <c r="BC84" s="37">
        <v>1.3684979999999999E-2</v>
      </c>
      <c r="BD84" s="37">
        <v>2.4236900000000002E-2</v>
      </c>
      <c r="BE84" s="114">
        <v>3.5960900000000004E-2</v>
      </c>
      <c r="BF84" s="84" t="s">
        <v>262</v>
      </c>
      <c r="BG84" s="77" t="s">
        <v>262</v>
      </c>
      <c r="BH84" s="77">
        <v>2.0500600000000001E-2</v>
      </c>
      <c r="BI84" s="76">
        <v>3.3283300000000002E-2</v>
      </c>
    </row>
    <row r="85" spans="1:61">
      <c r="A85" s="274"/>
      <c r="B85" s="16" t="s">
        <v>234</v>
      </c>
      <c r="C85" s="6">
        <v>515</v>
      </c>
      <c r="D85" s="6" t="s">
        <v>60</v>
      </c>
      <c r="E85" s="6">
        <v>30</v>
      </c>
      <c r="F85" s="73">
        <v>0</v>
      </c>
      <c r="G85" s="72" t="s">
        <v>248</v>
      </c>
      <c r="H85" s="6" t="s">
        <v>18</v>
      </c>
      <c r="I85" s="104">
        <v>0.55000000000000004</v>
      </c>
      <c r="J85" s="107">
        <v>0.15</v>
      </c>
      <c r="K85" s="79">
        <v>2.1563722823279452</v>
      </c>
      <c r="L85" s="108">
        <v>1092.7443538737139</v>
      </c>
      <c r="M85" s="26"/>
      <c r="N85" s="271">
        <v>515</v>
      </c>
      <c r="O85" s="79">
        <v>0.13608999999999999</v>
      </c>
      <c r="P85" s="73">
        <v>1.7387999999999999</v>
      </c>
      <c r="Q85" s="73">
        <v>1.6206</v>
      </c>
      <c r="R85" s="73">
        <v>2.1333000000000002</v>
      </c>
      <c r="S85" s="79">
        <v>0.23599999999999999</v>
      </c>
      <c r="T85" s="79">
        <v>0.28471999999999997</v>
      </c>
      <c r="U85" s="112">
        <v>1.6153999999999999</v>
      </c>
      <c r="V85" s="79">
        <v>0.12292</v>
      </c>
      <c r="W85" s="73">
        <v>1.6786000000000001</v>
      </c>
      <c r="X85" s="73">
        <v>1.5681</v>
      </c>
      <c r="Y85" s="73">
        <v>2.1333000000000002</v>
      </c>
      <c r="Z85" s="79">
        <v>0.26100000000000001</v>
      </c>
      <c r="AA85" s="79">
        <v>0.25963999999999998</v>
      </c>
      <c r="AB85" s="112">
        <v>1.6118000000000001</v>
      </c>
      <c r="AC85" s="79">
        <v>0.14585000000000001</v>
      </c>
      <c r="AD85" s="73">
        <v>1.7788999999999999</v>
      </c>
      <c r="AE85" s="73">
        <v>1.6641999999999999</v>
      </c>
      <c r="AF85" s="73">
        <v>2.1333000000000002</v>
      </c>
      <c r="AG85" s="79">
        <v>0.20100000000000001</v>
      </c>
      <c r="AH85" s="79">
        <v>0.32020000000000004</v>
      </c>
      <c r="AI85" s="112">
        <v>1.7541999999999998</v>
      </c>
      <c r="AJ85" s="19">
        <v>1379</v>
      </c>
      <c r="AL85" s="271">
        <v>515</v>
      </c>
      <c r="AM85" s="37">
        <v>0.2333529</v>
      </c>
      <c r="AN85" s="73">
        <v>5.511240029006526</v>
      </c>
      <c r="AO85" s="112" t="s">
        <v>262</v>
      </c>
      <c r="AP85" s="77">
        <v>0.18029999999999999</v>
      </c>
      <c r="AQ85" s="77">
        <v>0.20180000000000001</v>
      </c>
      <c r="AR85" s="77">
        <v>5.3019999999999996</v>
      </c>
      <c r="AS85" s="114">
        <v>3.8738999999999999</v>
      </c>
      <c r="AT85" s="37">
        <v>0.75911757599999996</v>
      </c>
      <c r="AU85" s="37">
        <v>0.40813706999999999</v>
      </c>
      <c r="AV85" s="37">
        <v>1.8839040419999997</v>
      </c>
      <c r="AW85" s="114">
        <v>1.199602625</v>
      </c>
      <c r="AX85" s="37"/>
      <c r="AY85" s="271">
        <v>515</v>
      </c>
      <c r="AZ85" s="37">
        <v>2.1023199999999999E-2</v>
      </c>
      <c r="BA85" s="37">
        <v>9.8168500000000002E-3</v>
      </c>
      <c r="BB85" s="77">
        <v>3.2705700000000004E-2</v>
      </c>
      <c r="BC85" s="37">
        <v>3.2717999999999997E-2</v>
      </c>
      <c r="BD85" s="37">
        <v>4.2844899999999998E-2</v>
      </c>
      <c r="BE85" s="114">
        <v>6.0732599999999998E-2</v>
      </c>
      <c r="BF85" s="84">
        <v>1.4372405E-2</v>
      </c>
      <c r="BG85" s="77">
        <v>8.330698000000001E-3</v>
      </c>
      <c r="BH85" s="77">
        <v>2.5500599999999998E-2</v>
      </c>
      <c r="BI85" s="76">
        <v>3.4306500000000004E-2</v>
      </c>
    </row>
    <row r="86" spans="1:61">
      <c r="A86" s="274"/>
      <c r="B86" s="115" t="s">
        <v>234</v>
      </c>
      <c r="C86" s="116">
        <v>516</v>
      </c>
      <c r="D86" s="116" t="s">
        <v>61</v>
      </c>
      <c r="E86" s="116">
        <v>30</v>
      </c>
      <c r="F86" s="118">
        <v>0</v>
      </c>
      <c r="G86" s="117" t="s">
        <v>248</v>
      </c>
      <c r="H86" s="116" t="s">
        <v>19</v>
      </c>
      <c r="I86" s="120">
        <v>0.55000000000000004</v>
      </c>
      <c r="J86" s="121">
        <v>0.15</v>
      </c>
      <c r="K86" s="122">
        <v>1.5247854635968026</v>
      </c>
      <c r="L86" s="123">
        <v>1116.1033617173778</v>
      </c>
      <c r="M86" s="26"/>
      <c r="N86" s="278">
        <v>516</v>
      </c>
      <c r="O86" s="122">
        <v>0.13367000000000001</v>
      </c>
      <c r="P86" s="118">
        <v>1.3559000000000001</v>
      </c>
      <c r="Q86" s="118">
        <v>1.3029999999999999</v>
      </c>
      <c r="R86" s="118">
        <v>1.5059</v>
      </c>
      <c r="S86" s="122">
        <v>0.189</v>
      </c>
      <c r="T86" s="122">
        <v>0.26911999999999997</v>
      </c>
      <c r="U86" s="124">
        <v>1.3108</v>
      </c>
      <c r="V86" s="122">
        <v>0.13527</v>
      </c>
      <c r="W86" s="118">
        <v>1.3718999999999999</v>
      </c>
      <c r="X86" s="118">
        <v>1.3209</v>
      </c>
      <c r="Y86" s="118">
        <v>1.5059</v>
      </c>
      <c r="Z86" s="122">
        <v>0.182</v>
      </c>
      <c r="AA86" s="122">
        <v>0.25162000000000001</v>
      </c>
      <c r="AB86" s="124">
        <v>1.3416000000000001</v>
      </c>
      <c r="AC86" s="122">
        <v>0.126</v>
      </c>
      <c r="AD86" s="118">
        <v>1.3511</v>
      </c>
      <c r="AE86" s="118">
        <v>1.2984</v>
      </c>
      <c r="AF86" s="118">
        <v>1.5059</v>
      </c>
      <c r="AG86" s="122">
        <v>0.17199999999999999</v>
      </c>
      <c r="AH86" s="122">
        <v>0.24576000000000003</v>
      </c>
      <c r="AI86" s="124">
        <v>1.3068000000000002</v>
      </c>
      <c r="AJ86" s="125">
        <v>1217</v>
      </c>
      <c r="AL86" s="278">
        <v>516</v>
      </c>
      <c r="AM86" s="126">
        <v>0.16430290000000003</v>
      </c>
      <c r="AN86" s="118">
        <v>8.2169268693508629E-2</v>
      </c>
      <c r="AO86" s="124">
        <v>0</v>
      </c>
      <c r="AP86" s="126">
        <v>0</v>
      </c>
      <c r="AQ86" s="126">
        <v>0</v>
      </c>
      <c r="AR86" s="126">
        <v>1.43</v>
      </c>
      <c r="AS86" s="127">
        <v>1.3974</v>
      </c>
      <c r="AT86" s="126" t="s">
        <v>262</v>
      </c>
      <c r="AU86" s="126" t="s">
        <v>262</v>
      </c>
      <c r="AV86" s="126">
        <v>1.3256677450000001</v>
      </c>
      <c r="AW86" s="127" t="s">
        <v>262</v>
      </c>
      <c r="AX86" s="77"/>
      <c r="AY86" s="278">
        <v>516</v>
      </c>
      <c r="AZ86" s="126" t="s">
        <v>262</v>
      </c>
      <c r="BA86" s="126" t="s">
        <v>262</v>
      </c>
      <c r="BB86" s="126">
        <v>1.1191699999999999E-2</v>
      </c>
      <c r="BC86" s="126">
        <v>2.0161200000000001E-2</v>
      </c>
      <c r="BD86" s="126">
        <v>3.6051300000000001E-2</v>
      </c>
      <c r="BE86" s="127">
        <v>4.6493300000000001E-2</v>
      </c>
      <c r="BF86" s="146" t="s">
        <v>262</v>
      </c>
      <c r="BG86" s="126">
        <v>3.330698E-3</v>
      </c>
      <c r="BH86" s="126">
        <v>2.1500600000000002E-2</v>
      </c>
      <c r="BI86" s="127">
        <v>3.7283299999999998E-2</v>
      </c>
    </row>
    <row r="87" spans="1:61" ht="12.75" customHeight="1">
      <c r="A87" s="274"/>
      <c r="B87" s="16" t="s">
        <v>235</v>
      </c>
      <c r="C87" s="6">
        <v>536</v>
      </c>
      <c r="D87" s="6" t="s">
        <v>62</v>
      </c>
      <c r="E87" s="6">
        <v>30</v>
      </c>
      <c r="F87" s="73">
        <v>0</v>
      </c>
      <c r="G87" s="72" t="s">
        <v>253</v>
      </c>
      <c r="H87" s="6" t="s">
        <v>14</v>
      </c>
      <c r="I87" s="104">
        <v>0.55000000000000004</v>
      </c>
      <c r="J87" s="107">
        <v>0.09</v>
      </c>
      <c r="K87" s="79">
        <v>1.6703187875358823</v>
      </c>
      <c r="L87" s="108">
        <v>1097.2320292409461</v>
      </c>
      <c r="M87" s="26"/>
      <c r="N87" s="271">
        <v>536</v>
      </c>
      <c r="O87" s="79">
        <v>8.4788000000000002E-2</v>
      </c>
      <c r="P87" s="73">
        <v>1.4723999999999999</v>
      </c>
      <c r="Q87" s="73">
        <v>1.4171</v>
      </c>
      <c r="R87" s="73">
        <v>1.7067000000000001</v>
      </c>
      <c r="S87" s="79">
        <v>0.214</v>
      </c>
      <c r="T87" s="79">
        <v>0.16048000000000001</v>
      </c>
      <c r="U87" s="112">
        <v>1.4332</v>
      </c>
      <c r="V87" s="79">
        <v>8.2128000000000007E-2</v>
      </c>
      <c r="W87" s="73">
        <v>1.4752000000000001</v>
      </c>
      <c r="X87" s="73">
        <v>1.4218999999999999</v>
      </c>
      <c r="Y87" s="73">
        <v>1.7067000000000001</v>
      </c>
      <c r="Z87" s="79">
        <v>0.20300000000000001</v>
      </c>
      <c r="AA87" s="79">
        <v>0.15884000000000004</v>
      </c>
      <c r="AB87" s="112">
        <v>1.4354000000000002</v>
      </c>
      <c r="AC87" s="79">
        <v>7.7741000000000005E-2</v>
      </c>
      <c r="AD87" s="73">
        <v>1.4478</v>
      </c>
      <c r="AE87" s="73">
        <v>1.3837999999999999</v>
      </c>
      <c r="AF87" s="73">
        <v>1.7067000000000001</v>
      </c>
      <c r="AG87" s="79">
        <v>0.19900000000000001</v>
      </c>
      <c r="AH87" s="79">
        <v>0.14994000000000002</v>
      </c>
      <c r="AI87" s="112">
        <v>1.3674000000000002</v>
      </c>
      <c r="AJ87" s="19">
        <v>1254</v>
      </c>
      <c r="AL87" s="271">
        <v>536</v>
      </c>
      <c r="AM87" s="37">
        <v>7.6649897999999966E-2</v>
      </c>
      <c r="AN87" s="73" t="s">
        <v>262</v>
      </c>
      <c r="AO87" s="112">
        <v>0.23923444976076555</v>
      </c>
      <c r="AP87" s="77">
        <v>0</v>
      </c>
      <c r="AQ87" s="77">
        <v>0</v>
      </c>
      <c r="AR87" s="77">
        <v>0.49480000000000002</v>
      </c>
      <c r="AS87" s="114">
        <v>0.33429999999999999</v>
      </c>
      <c r="AT87" s="37" t="s">
        <v>262</v>
      </c>
      <c r="AU87" s="37">
        <v>5.0044042620000007E-2</v>
      </c>
      <c r="AV87" s="37">
        <v>0.9004007329999999</v>
      </c>
      <c r="AW87" s="114">
        <v>0.53849217500000002</v>
      </c>
      <c r="AX87" s="37"/>
      <c r="AY87" s="271">
        <v>536</v>
      </c>
      <c r="AZ87" s="37" t="s">
        <v>262</v>
      </c>
      <c r="BA87" s="37" t="s">
        <v>262</v>
      </c>
      <c r="BB87" s="77" t="s">
        <v>262</v>
      </c>
      <c r="BC87" s="37">
        <v>1.4871799999999999E-2</v>
      </c>
      <c r="BD87" s="37">
        <v>2.8217300000000001E-2</v>
      </c>
      <c r="BE87" s="114">
        <v>3.62759E-2</v>
      </c>
      <c r="BF87" s="84" t="s">
        <v>262</v>
      </c>
      <c r="BG87" s="77" t="s">
        <v>262</v>
      </c>
      <c r="BH87" s="77">
        <v>2.5500599999999998E-2</v>
      </c>
      <c r="BI87" s="76">
        <v>3.9794900000000001E-2</v>
      </c>
    </row>
    <row r="88" spans="1:61" ht="12.75" customHeight="1">
      <c r="A88" s="274"/>
      <c r="B88" s="16" t="s">
        <v>235</v>
      </c>
      <c r="C88" s="6">
        <v>537</v>
      </c>
      <c r="D88" s="6" t="s">
        <v>63</v>
      </c>
      <c r="E88" s="6">
        <v>30</v>
      </c>
      <c r="F88" s="73">
        <v>0</v>
      </c>
      <c r="G88" s="72" t="s">
        <v>253</v>
      </c>
      <c r="H88" s="6" t="s">
        <v>16</v>
      </c>
      <c r="I88" s="104">
        <v>0.55000000000000004</v>
      </c>
      <c r="J88" s="107">
        <v>0.12</v>
      </c>
      <c r="K88" s="79">
        <v>1.9287180032326616</v>
      </c>
      <c r="L88" s="108">
        <v>1119.9148845915752</v>
      </c>
      <c r="M88" s="26"/>
      <c r="N88" s="271">
        <v>537</v>
      </c>
      <c r="O88" s="79">
        <v>0.11545</v>
      </c>
      <c r="P88" s="73">
        <v>1.6361000000000001</v>
      </c>
      <c r="Q88" s="73">
        <v>1.5580000000000001</v>
      </c>
      <c r="R88" s="73">
        <v>1.9692000000000001</v>
      </c>
      <c r="S88" s="79">
        <v>0.23300000000000001</v>
      </c>
      <c r="T88" s="79">
        <v>0.22212000000000001</v>
      </c>
      <c r="U88" s="112">
        <v>1.5778000000000001</v>
      </c>
      <c r="V88" s="79">
        <v>0.10431</v>
      </c>
      <c r="W88" s="73">
        <v>1.6231</v>
      </c>
      <c r="X88" s="73">
        <v>1.5484</v>
      </c>
      <c r="Y88" s="73">
        <v>1.9692000000000001</v>
      </c>
      <c r="Z88" s="79">
        <v>0.23300000000000001</v>
      </c>
      <c r="AA88" s="79">
        <v>0.19104000000000002</v>
      </c>
      <c r="AB88" s="112">
        <v>1.5573999999999999</v>
      </c>
      <c r="AC88" s="79">
        <v>0.11298</v>
      </c>
      <c r="AD88" s="73">
        <v>1.6769000000000001</v>
      </c>
      <c r="AE88" s="73">
        <v>1.5921000000000001</v>
      </c>
      <c r="AF88" s="73">
        <v>1.9692000000000001</v>
      </c>
      <c r="AG88" s="79">
        <v>0.187</v>
      </c>
      <c r="AH88" s="79">
        <v>0.22244000000000003</v>
      </c>
      <c r="AI88" s="112">
        <v>1.6133999999999999</v>
      </c>
      <c r="AJ88" s="19">
        <v>1295</v>
      </c>
      <c r="AL88" s="271">
        <v>537</v>
      </c>
      <c r="AM88" s="37">
        <v>0.12805898369999999</v>
      </c>
      <c r="AN88" s="73">
        <v>7.7220077220077218E-2</v>
      </c>
      <c r="AO88" s="112">
        <v>29.806949806949806</v>
      </c>
      <c r="AP88" s="77">
        <v>2.5499999999999998E-2</v>
      </c>
      <c r="AQ88" s="77">
        <v>4.02E-2</v>
      </c>
      <c r="AR88" s="77">
        <v>2.4106000000000001</v>
      </c>
      <c r="AS88" s="114">
        <v>1.2857000000000001</v>
      </c>
      <c r="AT88" s="37" t="s">
        <v>262</v>
      </c>
      <c r="AU88" s="37" t="s">
        <v>262</v>
      </c>
      <c r="AV88" s="37">
        <v>1.4437359270000001</v>
      </c>
      <c r="AW88" s="114">
        <v>0.95992</v>
      </c>
      <c r="AX88" s="37"/>
      <c r="AY88" s="271">
        <v>537</v>
      </c>
      <c r="AZ88" s="37">
        <v>1.1245422E-2</v>
      </c>
      <c r="BA88" s="37" t="s">
        <v>262</v>
      </c>
      <c r="BB88" s="77">
        <v>1.7340660000000001E-2</v>
      </c>
      <c r="BC88" s="37">
        <v>2.1487180000000002E-2</v>
      </c>
      <c r="BD88" s="37">
        <v>3.6676399999999998E-2</v>
      </c>
      <c r="BE88" s="114">
        <v>5.0141599999999995E-2</v>
      </c>
      <c r="BF88" s="84">
        <v>1.4372405E-2</v>
      </c>
      <c r="BG88" s="77" t="s">
        <v>262</v>
      </c>
      <c r="BH88" s="77">
        <v>3.1500599999999997E-2</v>
      </c>
      <c r="BI88" s="76">
        <v>4.63065E-2</v>
      </c>
    </row>
    <row r="89" spans="1:61" ht="12.75" customHeight="1">
      <c r="A89" s="274"/>
      <c r="B89" s="115" t="s">
        <v>235</v>
      </c>
      <c r="C89" s="116">
        <v>538</v>
      </c>
      <c r="D89" s="116" t="s">
        <v>64</v>
      </c>
      <c r="E89" s="116">
        <v>30</v>
      </c>
      <c r="F89" s="118">
        <v>0</v>
      </c>
      <c r="G89" s="117" t="s">
        <v>253</v>
      </c>
      <c r="H89" s="116" t="s">
        <v>18</v>
      </c>
      <c r="I89" s="120">
        <v>0.55000000000000004</v>
      </c>
      <c r="J89" s="121">
        <v>0.15</v>
      </c>
      <c r="K89" s="122">
        <v>2.1563722823279452</v>
      </c>
      <c r="L89" s="123">
        <v>1092.7443538737139</v>
      </c>
      <c r="M89" s="26"/>
      <c r="N89" s="278">
        <v>538</v>
      </c>
      <c r="O89" s="122">
        <v>0.13678999999999999</v>
      </c>
      <c r="P89" s="118">
        <v>1.7537</v>
      </c>
      <c r="Q89" s="118">
        <v>1.6479999999999999</v>
      </c>
      <c r="R89" s="118">
        <v>2.1333000000000002</v>
      </c>
      <c r="S89" s="122">
        <v>0.22</v>
      </c>
      <c r="T89" s="122">
        <v>0.28690000000000004</v>
      </c>
      <c r="U89" s="124">
        <v>1.6936</v>
      </c>
      <c r="V89" s="122">
        <v>0.12257999999999999</v>
      </c>
      <c r="W89" s="118">
        <v>1.696</v>
      </c>
      <c r="X89" s="118">
        <v>1.5958000000000001</v>
      </c>
      <c r="Y89" s="118">
        <v>2.1333000000000002</v>
      </c>
      <c r="Z89" s="122">
        <v>0.24399999999999999</v>
      </c>
      <c r="AA89" s="122">
        <v>0.25534000000000001</v>
      </c>
      <c r="AB89" s="124">
        <v>1.6704000000000001</v>
      </c>
      <c r="AC89" s="122">
        <v>0.14532</v>
      </c>
      <c r="AD89" s="118">
        <v>1.7845</v>
      </c>
      <c r="AE89" s="118">
        <v>1.6777</v>
      </c>
      <c r="AF89" s="118">
        <v>2.1333000000000002</v>
      </c>
      <c r="AG89" s="122">
        <v>0.189</v>
      </c>
      <c r="AH89" s="122">
        <v>0.30720000000000003</v>
      </c>
      <c r="AI89" s="124">
        <v>1.8051999999999999</v>
      </c>
      <c r="AJ89" s="125">
        <v>1306</v>
      </c>
      <c r="AL89" s="278">
        <v>538</v>
      </c>
      <c r="AM89" s="128">
        <v>0.16996980849999999</v>
      </c>
      <c r="AN89" s="118">
        <v>0.6891271056661562</v>
      </c>
      <c r="AO89" s="124">
        <v>0</v>
      </c>
      <c r="AP89" s="126">
        <v>0.20960000000000001</v>
      </c>
      <c r="AQ89" s="126">
        <v>0.2208</v>
      </c>
      <c r="AR89" s="126">
        <v>5.4362000000000004</v>
      </c>
      <c r="AS89" s="129">
        <v>3.5623999999999998</v>
      </c>
      <c r="AT89" s="128" t="s">
        <v>262</v>
      </c>
      <c r="AU89" s="128">
        <v>0.41258480999999997</v>
      </c>
      <c r="AV89" s="128">
        <v>1.9618526059999997</v>
      </c>
      <c r="AW89" s="129">
        <v>1.234939875</v>
      </c>
      <c r="AX89" s="37"/>
      <c r="AY89" s="278">
        <v>538</v>
      </c>
      <c r="AZ89" s="128">
        <v>2.053236E-2</v>
      </c>
      <c r="BA89" s="128">
        <v>1.0268619999999999E-2</v>
      </c>
      <c r="BB89" s="126">
        <v>2.8090400000000001E-2</v>
      </c>
      <c r="BC89" s="128">
        <v>2.97387E-2</v>
      </c>
      <c r="BD89" s="128">
        <v>4.6398099999999998E-2</v>
      </c>
      <c r="BE89" s="129">
        <v>6.7179500000000003E-2</v>
      </c>
      <c r="BF89" s="146">
        <v>1.8372404999999998E-2</v>
      </c>
      <c r="BG89" s="126">
        <v>1.1330698E-2</v>
      </c>
      <c r="BH89" s="126">
        <v>3.8500600000000003E-2</v>
      </c>
      <c r="BI89" s="127">
        <v>5.3306500000000007E-2</v>
      </c>
    </row>
    <row r="90" spans="1:61">
      <c r="A90" s="274"/>
      <c r="B90" s="16" t="s">
        <v>236</v>
      </c>
      <c r="C90" s="6">
        <v>501</v>
      </c>
      <c r="D90" s="6" t="s">
        <v>138</v>
      </c>
      <c r="E90" s="6">
        <v>30</v>
      </c>
      <c r="F90" s="73">
        <v>0.4</v>
      </c>
      <c r="G90" s="72" t="s">
        <v>248</v>
      </c>
      <c r="H90" s="6" t="s">
        <v>14</v>
      </c>
      <c r="I90" s="104">
        <v>0.55000000000000004</v>
      </c>
      <c r="J90" s="107">
        <v>0.09</v>
      </c>
      <c r="K90" s="79">
        <v>1.6703187875358823</v>
      </c>
      <c r="L90" s="108">
        <v>1097.2320292409461</v>
      </c>
      <c r="M90" s="26"/>
      <c r="N90" s="271">
        <v>501</v>
      </c>
      <c r="O90" s="79">
        <v>7.3719000000000007E-2</v>
      </c>
      <c r="P90" s="73">
        <v>1.4248000000000001</v>
      </c>
      <c r="Q90" s="73">
        <v>1.3772</v>
      </c>
      <c r="R90" s="73">
        <v>1.6</v>
      </c>
      <c r="S90" s="79">
        <v>0.23400000000000001</v>
      </c>
      <c r="T90" s="79">
        <v>0.15189999999999998</v>
      </c>
      <c r="U90" s="112">
        <v>1.3422000000000001</v>
      </c>
      <c r="V90" s="79">
        <v>7.0254999999999998E-2</v>
      </c>
      <c r="W90" s="73">
        <v>1.4825999999999999</v>
      </c>
      <c r="X90" s="73">
        <v>1.4253</v>
      </c>
      <c r="Y90" s="73">
        <v>1.7067000000000001</v>
      </c>
      <c r="Z90" s="79">
        <v>0.23599999999999999</v>
      </c>
      <c r="AA90" s="79">
        <v>0.13032000000000002</v>
      </c>
      <c r="AB90" s="112">
        <v>1.3438000000000001</v>
      </c>
      <c r="AC90" s="79">
        <v>8.4601999999999997E-2</v>
      </c>
      <c r="AD90" s="73">
        <v>1.5142</v>
      </c>
      <c r="AE90" s="73">
        <v>1.4715</v>
      </c>
      <c r="AF90" s="73">
        <v>1.7067000000000001</v>
      </c>
      <c r="AG90" s="79">
        <v>0.22700000000000001</v>
      </c>
      <c r="AH90" s="79">
        <v>0.15794000000000002</v>
      </c>
      <c r="AI90" s="112">
        <v>1.4443999999999999</v>
      </c>
      <c r="AJ90" s="19">
        <v>1292</v>
      </c>
      <c r="AL90" s="271">
        <v>501</v>
      </c>
      <c r="AM90" s="37">
        <v>5.1551267599999964E-2</v>
      </c>
      <c r="AN90" s="73" t="s">
        <v>262</v>
      </c>
      <c r="AO90" s="112">
        <v>7.7399380804953566E-2</v>
      </c>
      <c r="AP90" s="77">
        <v>0</v>
      </c>
      <c r="AQ90" s="77">
        <v>0</v>
      </c>
      <c r="AR90" s="77">
        <v>0.46329999999999999</v>
      </c>
      <c r="AS90" s="114">
        <v>0.5302</v>
      </c>
      <c r="AT90" s="37" t="s">
        <v>262</v>
      </c>
      <c r="AU90" s="37" t="s">
        <v>262</v>
      </c>
      <c r="AV90" s="37">
        <v>0.99897942699999998</v>
      </c>
      <c r="AW90" s="114">
        <v>0.61627003749999998</v>
      </c>
      <c r="AX90" s="37"/>
      <c r="AY90" s="271">
        <v>501</v>
      </c>
      <c r="AZ90" s="37" t="s">
        <v>262</v>
      </c>
      <c r="BA90" s="37" t="s">
        <v>262</v>
      </c>
      <c r="BB90" s="77" t="s">
        <v>262</v>
      </c>
      <c r="BC90" s="37">
        <v>1.5101340000000001E-2</v>
      </c>
      <c r="BD90" s="37">
        <v>2.37851E-2</v>
      </c>
      <c r="BE90" s="114">
        <v>3.55971E-2</v>
      </c>
      <c r="BF90" s="84" t="s">
        <v>262</v>
      </c>
      <c r="BG90" s="77" t="s">
        <v>262</v>
      </c>
      <c r="BH90" s="77">
        <v>2.35006E-2</v>
      </c>
      <c r="BI90" s="76">
        <v>3.2306500000000002E-2</v>
      </c>
    </row>
    <row r="91" spans="1:61" ht="12.75" customHeight="1">
      <c r="A91" s="274"/>
      <c r="B91" s="16" t="s">
        <v>236</v>
      </c>
      <c r="C91" s="6">
        <v>502</v>
      </c>
      <c r="D91" s="6" t="s">
        <v>139</v>
      </c>
      <c r="E91" s="6">
        <v>30</v>
      </c>
      <c r="F91" s="73">
        <v>0.4</v>
      </c>
      <c r="G91" s="72" t="s">
        <v>248</v>
      </c>
      <c r="H91" s="6" t="s">
        <v>15</v>
      </c>
      <c r="I91" s="104">
        <v>0.55000000000000004</v>
      </c>
      <c r="J91" s="107">
        <v>0.09</v>
      </c>
      <c r="K91" s="79">
        <v>1.1810937414099143</v>
      </c>
      <c r="L91" s="108">
        <v>1108.3717263019273</v>
      </c>
      <c r="M91" s="26"/>
      <c r="N91" s="271">
        <v>502</v>
      </c>
      <c r="O91" s="79">
        <v>7.8203999999999996E-2</v>
      </c>
      <c r="P91" s="73">
        <v>1.1382000000000001</v>
      </c>
      <c r="Q91" s="73">
        <v>1.1214</v>
      </c>
      <c r="R91" s="73">
        <v>1.1636</v>
      </c>
      <c r="S91" s="79">
        <v>0.24399999999999999</v>
      </c>
      <c r="T91" s="79">
        <v>0.15884000000000001</v>
      </c>
      <c r="U91" s="112">
        <v>1.085</v>
      </c>
      <c r="V91" s="79">
        <v>6.8017999999999995E-2</v>
      </c>
      <c r="W91" s="73">
        <v>1.1258999999999999</v>
      </c>
      <c r="X91" s="73">
        <v>1.1075999999999999</v>
      </c>
      <c r="Y91" s="73">
        <v>1.1636</v>
      </c>
      <c r="Z91" s="79">
        <v>0.22</v>
      </c>
      <c r="AA91" s="79">
        <v>0.13353999999999999</v>
      </c>
      <c r="AB91" s="112">
        <v>1.06</v>
      </c>
      <c r="AC91" s="79">
        <v>7.1292999999999995E-2</v>
      </c>
      <c r="AD91" s="73">
        <v>1.1292</v>
      </c>
      <c r="AE91" s="73">
        <v>1.1107</v>
      </c>
      <c r="AF91" s="73">
        <v>1.1636</v>
      </c>
      <c r="AG91" s="79">
        <v>0.217</v>
      </c>
      <c r="AH91" s="79">
        <v>0.14301999999999998</v>
      </c>
      <c r="AI91" s="112">
        <v>1.0666</v>
      </c>
      <c r="AJ91" s="19">
        <v>1165</v>
      </c>
      <c r="AL91" s="271">
        <v>502</v>
      </c>
      <c r="AM91" s="37">
        <v>2.9372288799999979E-2</v>
      </c>
      <c r="AN91" s="73" t="s">
        <v>262</v>
      </c>
      <c r="AO91" s="112" t="s">
        <v>262</v>
      </c>
      <c r="AP91" s="77">
        <v>0</v>
      </c>
      <c r="AQ91" s="77">
        <v>0</v>
      </c>
      <c r="AR91" s="77">
        <v>4.41E-2</v>
      </c>
      <c r="AS91" s="114">
        <v>7.5399999999999995E-2</v>
      </c>
      <c r="AT91" s="37" t="s">
        <v>262</v>
      </c>
      <c r="AU91" s="37" t="s">
        <v>262</v>
      </c>
      <c r="AV91" s="37">
        <v>0.50034988899999999</v>
      </c>
      <c r="AW91" s="114">
        <v>0.22896834999999999</v>
      </c>
      <c r="AX91" s="37"/>
      <c r="AY91" s="271">
        <v>502</v>
      </c>
      <c r="AZ91" s="37" t="s">
        <v>262</v>
      </c>
      <c r="BA91" s="37" t="s">
        <v>262</v>
      </c>
      <c r="BB91" s="77" t="s">
        <v>262</v>
      </c>
      <c r="BC91" s="37">
        <v>1.019048E-2</v>
      </c>
      <c r="BD91" s="37">
        <v>1.4173379999999999E-2</v>
      </c>
      <c r="BE91" s="114">
        <v>2.4417600000000001E-2</v>
      </c>
      <c r="BF91" s="84" t="s">
        <v>262</v>
      </c>
      <c r="BG91" s="77" t="s">
        <v>262</v>
      </c>
      <c r="BH91" s="77">
        <v>2.1500600000000002E-2</v>
      </c>
      <c r="BI91" s="76">
        <v>3.2283300000000001E-2</v>
      </c>
    </row>
    <row r="92" spans="1:61" ht="12.75" customHeight="1">
      <c r="A92" s="274"/>
      <c r="B92" s="16" t="s">
        <v>236</v>
      </c>
      <c r="C92" s="6">
        <v>503</v>
      </c>
      <c r="D92" s="6" t="s">
        <v>140</v>
      </c>
      <c r="E92" s="6">
        <v>30</v>
      </c>
      <c r="F92" s="73">
        <v>0.4</v>
      </c>
      <c r="G92" s="72" t="s">
        <v>248</v>
      </c>
      <c r="H92" s="6" t="s">
        <v>16</v>
      </c>
      <c r="I92" s="104">
        <v>0.55000000000000004</v>
      </c>
      <c r="J92" s="107">
        <v>0.12</v>
      </c>
      <c r="K92" s="79">
        <v>1.9287180032326616</v>
      </c>
      <c r="L92" s="108">
        <v>1119.9148845915752</v>
      </c>
      <c r="M92" s="26"/>
      <c r="N92" s="271">
        <v>503</v>
      </c>
      <c r="O92" s="79">
        <v>0.10162</v>
      </c>
      <c r="P92" s="73">
        <v>1.6154999999999999</v>
      </c>
      <c r="Q92" s="73">
        <v>1.5382</v>
      </c>
      <c r="R92" s="73">
        <v>1.9692000000000001</v>
      </c>
      <c r="S92" s="79">
        <v>0.23599999999999999</v>
      </c>
      <c r="T92" s="79">
        <v>0.20815999999999998</v>
      </c>
      <c r="U92" s="112">
        <v>1.534</v>
      </c>
      <c r="V92" s="79">
        <v>0.10349999999999999</v>
      </c>
      <c r="W92" s="73">
        <v>1.677</v>
      </c>
      <c r="X92" s="73">
        <v>1.5994999999999999</v>
      </c>
      <c r="Y92" s="73">
        <v>1.9692000000000001</v>
      </c>
      <c r="Z92" s="79">
        <v>0.24199999999999999</v>
      </c>
      <c r="AA92" s="79">
        <v>0.23004000000000002</v>
      </c>
      <c r="AB92" s="112">
        <v>1.5985999999999998</v>
      </c>
      <c r="AC92" s="79">
        <v>0.11620999999999999</v>
      </c>
      <c r="AD92" s="73">
        <v>1.6718</v>
      </c>
      <c r="AE92" s="73">
        <v>1.6055999999999999</v>
      </c>
      <c r="AF92" s="73">
        <v>1.9692000000000001</v>
      </c>
      <c r="AG92" s="79">
        <v>0.214</v>
      </c>
      <c r="AH92" s="79">
        <v>0.23404000000000003</v>
      </c>
      <c r="AI92" s="112">
        <v>1.6384000000000001</v>
      </c>
      <c r="AJ92" s="19">
        <v>1348</v>
      </c>
      <c r="AL92" s="271">
        <v>503</v>
      </c>
      <c r="AM92" s="77">
        <v>0.11295716849999995</v>
      </c>
      <c r="AN92" s="73" t="s">
        <v>262</v>
      </c>
      <c r="AO92" s="112">
        <v>4.3026706231454011</v>
      </c>
      <c r="AP92" s="77">
        <v>0</v>
      </c>
      <c r="AQ92" s="77">
        <v>0</v>
      </c>
      <c r="AR92" s="77">
        <v>1.7565999999999999</v>
      </c>
      <c r="AS92" s="76">
        <v>2.6476999999999999</v>
      </c>
      <c r="AT92" s="77" t="s">
        <v>262</v>
      </c>
      <c r="AU92" s="77" t="s">
        <v>262</v>
      </c>
      <c r="AV92" s="77">
        <v>1.3761047749999999</v>
      </c>
      <c r="AW92" s="76">
        <v>0.90753974999999998</v>
      </c>
      <c r="AX92" s="77"/>
      <c r="AY92" s="271">
        <v>503</v>
      </c>
      <c r="AZ92" s="77" t="s">
        <v>262</v>
      </c>
      <c r="BA92" s="77">
        <v>2.405983E-3</v>
      </c>
      <c r="BB92" s="77">
        <v>1.3352869999999999E-2</v>
      </c>
      <c r="BC92" s="77">
        <v>2.3321130000000002E-2</v>
      </c>
      <c r="BD92" s="77">
        <v>3.2962199999999997E-2</v>
      </c>
      <c r="BE92" s="76">
        <v>5.3247900000000001E-2</v>
      </c>
      <c r="BF92" s="84">
        <v>7.3724050000000003E-3</v>
      </c>
      <c r="BG92" s="77">
        <v>2.330698E-3</v>
      </c>
      <c r="BH92" s="77">
        <v>2.5500599999999998E-2</v>
      </c>
      <c r="BI92" s="76">
        <v>3.83065E-2</v>
      </c>
    </row>
    <row r="93" spans="1:61" ht="13.5" customHeight="1">
      <c r="A93" s="274"/>
      <c r="B93" s="16" t="s">
        <v>236</v>
      </c>
      <c r="C93" s="6">
        <v>504</v>
      </c>
      <c r="D93" s="6" t="s">
        <v>141</v>
      </c>
      <c r="E93" s="6">
        <v>30</v>
      </c>
      <c r="F93" s="73">
        <v>0.4</v>
      </c>
      <c r="G93" s="72" t="s">
        <v>248</v>
      </c>
      <c r="H93" s="6" t="s">
        <v>17</v>
      </c>
      <c r="I93" s="104">
        <v>0.55000000000000004</v>
      </c>
      <c r="J93" s="107">
        <v>0.12</v>
      </c>
      <c r="K93" s="79">
        <v>1.3638095790823928</v>
      </c>
      <c r="L93" s="108">
        <v>1103.8597825859642</v>
      </c>
      <c r="M93" s="26"/>
      <c r="N93" s="271">
        <v>504</v>
      </c>
      <c r="O93" s="79">
        <v>0.10549</v>
      </c>
      <c r="P93" s="73">
        <v>1.2476</v>
      </c>
      <c r="Q93" s="73">
        <v>1.2222</v>
      </c>
      <c r="R93" s="73">
        <v>1.3473999999999999</v>
      </c>
      <c r="S93" s="79">
        <v>0.23499999999999999</v>
      </c>
      <c r="T93" s="79">
        <v>0.19927999999999998</v>
      </c>
      <c r="U93" s="112">
        <v>1.1831999999999998</v>
      </c>
      <c r="V93" s="79">
        <v>9.2177999999999996E-2</v>
      </c>
      <c r="W93" s="73">
        <v>1.2484999999999999</v>
      </c>
      <c r="X93" s="73">
        <v>1.2183999999999999</v>
      </c>
      <c r="Y93" s="73">
        <v>1.3473999999999999</v>
      </c>
      <c r="Z93" s="79">
        <v>0.20200000000000001</v>
      </c>
      <c r="AA93" s="79">
        <v>0.18062</v>
      </c>
      <c r="AB93" s="112">
        <v>1.1585999999999999</v>
      </c>
      <c r="AC93" s="79">
        <v>0.10377</v>
      </c>
      <c r="AD93" s="73">
        <v>1.2778</v>
      </c>
      <c r="AE93" s="73">
        <v>1.2502</v>
      </c>
      <c r="AF93" s="73">
        <v>1.3473999999999999</v>
      </c>
      <c r="AG93" s="79">
        <v>0.22</v>
      </c>
      <c r="AH93" s="79">
        <v>0.22467999999999999</v>
      </c>
      <c r="AI93" s="112">
        <v>1.2156</v>
      </c>
      <c r="AJ93" s="19">
        <v>1204</v>
      </c>
      <c r="AL93" s="271">
        <v>504</v>
      </c>
      <c r="AM93" s="37">
        <v>6.6107051999999972E-2</v>
      </c>
      <c r="AN93" s="73" t="s">
        <v>262</v>
      </c>
      <c r="AO93" s="112">
        <v>8.3056478405315617E-2</v>
      </c>
      <c r="AP93" s="77">
        <v>0</v>
      </c>
      <c r="AQ93" s="77">
        <v>0</v>
      </c>
      <c r="AR93" s="77">
        <v>0.67220000000000002</v>
      </c>
      <c r="AS93" s="114">
        <v>0.5282</v>
      </c>
      <c r="AT93" s="37" t="s">
        <v>262</v>
      </c>
      <c r="AU93" s="37" t="s">
        <v>262</v>
      </c>
      <c r="AV93" s="37">
        <v>1.0173212319999998</v>
      </c>
      <c r="AW93" s="114">
        <v>0.61547687500000003</v>
      </c>
      <c r="AX93" s="37"/>
      <c r="AY93" s="271">
        <v>504</v>
      </c>
      <c r="AZ93" s="37" t="s">
        <v>262</v>
      </c>
      <c r="BA93" s="37" t="s">
        <v>262</v>
      </c>
      <c r="BB93" s="77" t="s">
        <v>262</v>
      </c>
      <c r="BC93" s="37">
        <v>1.4566550000000001E-2</v>
      </c>
      <c r="BD93" s="37">
        <v>2.2451800000000001E-2</v>
      </c>
      <c r="BE93" s="114">
        <v>3.4703299999999999E-2</v>
      </c>
      <c r="BF93" s="84" t="s">
        <v>262</v>
      </c>
      <c r="BG93" s="77" t="s">
        <v>262</v>
      </c>
      <c r="BH93" s="77">
        <v>2.35006E-2</v>
      </c>
      <c r="BI93" s="76">
        <v>3.5283300000000004E-2</v>
      </c>
    </row>
    <row r="94" spans="1:61" ht="12" customHeight="1">
      <c r="A94" s="274"/>
      <c r="B94" s="16" t="s">
        <v>236</v>
      </c>
      <c r="C94" s="6">
        <v>505</v>
      </c>
      <c r="D94" s="6" t="s">
        <v>142</v>
      </c>
      <c r="E94" s="6">
        <v>30</v>
      </c>
      <c r="F94" s="73">
        <v>0.4</v>
      </c>
      <c r="G94" s="72" t="s">
        <v>248</v>
      </c>
      <c r="H94" s="6" t="s">
        <v>18</v>
      </c>
      <c r="I94" s="104">
        <v>0.55000000000000004</v>
      </c>
      <c r="J94" s="107">
        <v>0.15</v>
      </c>
      <c r="K94" s="79">
        <v>2.1563722823279452</v>
      </c>
      <c r="L94" s="108">
        <v>1092.7443538737139</v>
      </c>
      <c r="M94" s="26"/>
      <c r="N94" s="271">
        <v>505</v>
      </c>
      <c r="O94" s="79">
        <v>0.12631000000000001</v>
      </c>
      <c r="P94" s="73">
        <v>1.7696000000000001</v>
      </c>
      <c r="Q94" s="73">
        <v>1.6637</v>
      </c>
      <c r="R94" s="73">
        <v>2.1333000000000002</v>
      </c>
      <c r="S94" s="79">
        <v>0.23</v>
      </c>
      <c r="T94" s="79">
        <v>0.28592000000000006</v>
      </c>
      <c r="U94" s="112">
        <v>1.7201999999999997</v>
      </c>
      <c r="V94" s="79">
        <v>0.12765000000000001</v>
      </c>
      <c r="W94" s="73">
        <v>1.7744</v>
      </c>
      <c r="X94" s="73">
        <v>1.6735</v>
      </c>
      <c r="Y94" s="73">
        <v>2.1333000000000002</v>
      </c>
      <c r="Z94" s="79">
        <v>0.26800000000000002</v>
      </c>
      <c r="AA94" s="79">
        <v>0.32019999999999998</v>
      </c>
      <c r="AB94" s="112">
        <v>1.7759999999999998</v>
      </c>
      <c r="AC94" s="79">
        <v>0.14360999999999999</v>
      </c>
      <c r="AD94" s="73">
        <v>1.7341</v>
      </c>
      <c r="AE94" s="73">
        <v>1.6368</v>
      </c>
      <c r="AF94" s="73">
        <v>2.1333000000000002</v>
      </c>
      <c r="AG94" s="79">
        <v>0.24099999999999999</v>
      </c>
      <c r="AH94" s="79">
        <v>0.307</v>
      </c>
      <c r="AI94" s="112">
        <v>1.8094000000000001</v>
      </c>
      <c r="AJ94" s="19">
        <v>1285</v>
      </c>
      <c r="AL94" s="271">
        <v>505</v>
      </c>
      <c r="AM94" s="37">
        <v>0.15332464969999995</v>
      </c>
      <c r="AN94" s="73" t="s">
        <v>262</v>
      </c>
      <c r="AO94" s="112">
        <v>87.003891050583661</v>
      </c>
      <c r="AP94" s="77">
        <v>6.3799999999999996E-2</v>
      </c>
      <c r="AQ94" s="77">
        <v>0.12180000000000001</v>
      </c>
      <c r="AR94" s="77">
        <v>3.9073000000000002</v>
      </c>
      <c r="AS94" s="114">
        <v>5.3335999999999997</v>
      </c>
      <c r="AT94" s="37">
        <v>0.48547682400000003</v>
      </c>
      <c r="AU94" s="37">
        <v>0.17830488719999998</v>
      </c>
      <c r="AV94" s="37">
        <v>1.9160016139999998</v>
      </c>
      <c r="AW94" s="114">
        <v>1.178968375</v>
      </c>
      <c r="AX94" s="37"/>
      <c r="AY94" s="271">
        <v>505</v>
      </c>
      <c r="AZ94" s="37">
        <v>1.75873E-2</v>
      </c>
      <c r="BA94" s="37">
        <v>9.760689999999999E-3</v>
      </c>
      <c r="BB94" s="77">
        <v>2.4527500000000001E-2</v>
      </c>
      <c r="BC94" s="37">
        <v>3.65568E-2</v>
      </c>
      <c r="BD94" s="37">
        <v>4.1924299999999998E-2</v>
      </c>
      <c r="BE94" s="114">
        <v>6.4551899999999995E-2</v>
      </c>
      <c r="BF94" s="84">
        <v>1.0372404999999999E-2</v>
      </c>
      <c r="BG94" s="77">
        <v>6.3306980000000001E-3</v>
      </c>
      <c r="BH94" s="77">
        <v>2.9500600000000002E-2</v>
      </c>
      <c r="BI94" s="76">
        <v>4.63065E-2</v>
      </c>
    </row>
    <row r="95" spans="1:61">
      <c r="A95" s="274"/>
      <c r="B95" s="115" t="s">
        <v>236</v>
      </c>
      <c r="C95" s="116">
        <v>506</v>
      </c>
      <c r="D95" s="116" t="s">
        <v>143</v>
      </c>
      <c r="E95" s="116">
        <v>30</v>
      </c>
      <c r="F95" s="118">
        <v>0.4</v>
      </c>
      <c r="G95" s="117" t="s">
        <v>248</v>
      </c>
      <c r="H95" s="116" t="s">
        <v>19</v>
      </c>
      <c r="I95" s="120">
        <v>0.55000000000000004</v>
      </c>
      <c r="J95" s="121">
        <v>0.15</v>
      </c>
      <c r="K95" s="122">
        <v>1.5247854635968026</v>
      </c>
      <c r="L95" s="123">
        <v>1116.1033617173778</v>
      </c>
      <c r="M95" s="26"/>
      <c r="N95" s="278">
        <v>506</v>
      </c>
      <c r="O95" s="122">
        <v>0.12626999999999999</v>
      </c>
      <c r="P95" s="118">
        <v>1.3307</v>
      </c>
      <c r="Q95" s="118">
        <v>1.2887999999999999</v>
      </c>
      <c r="R95" s="118">
        <v>1.5059</v>
      </c>
      <c r="S95" s="122">
        <v>0.219</v>
      </c>
      <c r="T95" s="122">
        <v>0.25660000000000005</v>
      </c>
      <c r="U95" s="124">
        <v>1.2643999999999997</v>
      </c>
      <c r="V95" s="122">
        <v>0.11197</v>
      </c>
      <c r="W95" s="118">
        <v>1.369</v>
      </c>
      <c r="X95" s="118">
        <v>1.3232999999999999</v>
      </c>
      <c r="Y95" s="118">
        <v>1.6</v>
      </c>
      <c r="Z95" s="122">
        <v>0.217</v>
      </c>
      <c r="AA95" s="122">
        <v>0.23891999999999997</v>
      </c>
      <c r="AB95" s="124">
        <v>1.2562</v>
      </c>
      <c r="AC95" s="122">
        <v>0.13514999999999999</v>
      </c>
      <c r="AD95" s="118">
        <v>1.4080999999999999</v>
      </c>
      <c r="AE95" s="118">
        <v>1.3693</v>
      </c>
      <c r="AF95" s="118">
        <v>1.5059</v>
      </c>
      <c r="AG95" s="122">
        <v>0.221</v>
      </c>
      <c r="AH95" s="122">
        <v>0.24548</v>
      </c>
      <c r="AI95" s="124">
        <v>1.3382000000000001</v>
      </c>
      <c r="AJ95" s="125">
        <v>1282</v>
      </c>
      <c r="AL95" s="278">
        <v>506</v>
      </c>
      <c r="AM95" s="128">
        <v>9.3675379299999972E-2</v>
      </c>
      <c r="AN95" s="118" t="s">
        <v>262</v>
      </c>
      <c r="AO95" s="124">
        <v>1.1700468018720749</v>
      </c>
      <c r="AP95" s="126">
        <v>0</v>
      </c>
      <c r="AQ95" s="126">
        <v>0</v>
      </c>
      <c r="AR95" s="126">
        <v>1.5639000000000001</v>
      </c>
      <c r="AS95" s="129">
        <v>1.5999000000000001</v>
      </c>
      <c r="AT95" s="128" t="s">
        <v>262</v>
      </c>
      <c r="AU95" s="128" t="s">
        <v>262</v>
      </c>
      <c r="AV95" s="128">
        <v>1.356617634</v>
      </c>
      <c r="AW95" s="129">
        <v>0.89484199999999992</v>
      </c>
      <c r="AX95" s="37"/>
      <c r="AY95" s="278">
        <v>506</v>
      </c>
      <c r="AZ95" s="128" t="s">
        <v>262</v>
      </c>
      <c r="BA95" s="128">
        <v>2.3931619999999999E-3</v>
      </c>
      <c r="BB95" s="126">
        <v>9.3919400000000014E-3</v>
      </c>
      <c r="BC95" s="128">
        <v>2.0954800000000003E-2</v>
      </c>
      <c r="BD95" s="128">
        <v>3.0232000000000002E-2</v>
      </c>
      <c r="BE95" s="129">
        <v>4.6537200000000001E-2</v>
      </c>
      <c r="BF95" s="146" t="s">
        <v>262</v>
      </c>
      <c r="BG95" s="126" t="s">
        <v>262</v>
      </c>
      <c r="BH95" s="126">
        <v>2.5500599999999998E-2</v>
      </c>
      <c r="BI95" s="127">
        <v>4.1306499999999996E-2</v>
      </c>
    </row>
    <row r="96" spans="1:61">
      <c r="A96" s="274"/>
      <c r="B96" s="16" t="s">
        <v>237</v>
      </c>
      <c r="C96" s="6">
        <v>508</v>
      </c>
      <c r="D96" s="6" t="s">
        <v>144</v>
      </c>
      <c r="E96" s="6">
        <v>30</v>
      </c>
      <c r="F96" s="73">
        <v>0.4</v>
      </c>
      <c r="G96" s="72" t="s">
        <v>253</v>
      </c>
      <c r="H96" s="6" t="s">
        <v>14</v>
      </c>
      <c r="I96" s="104">
        <v>0.55000000000000004</v>
      </c>
      <c r="J96" s="107">
        <v>0.09</v>
      </c>
      <c r="K96" s="79">
        <v>1.6703187875358823</v>
      </c>
      <c r="L96" s="108">
        <v>1097.2320292409461</v>
      </c>
      <c r="M96" s="26"/>
      <c r="N96" s="271">
        <v>508</v>
      </c>
      <c r="O96" s="79">
        <v>7.4602000000000002E-2</v>
      </c>
      <c r="P96" s="73">
        <v>1.4272</v>
      </c>
      <c r="Q96" s="73">
        <v>1.3807</v>
      </c>
      <c r="R96" s="73">
        <v>1.6</v>
      </c>
      <c r="S96" s="79">
        <v>0.22800000000000001</v>
      </c>
      <c r="T96" s="79">
        <v>0.15139999999999998</v>
      </c>
      <c r="U96" s="112">
        <v>1.3614000000000002</v>
      </c>
      <c r="V96" s="79">
        <v>7.0377999999999996E-2</v>
      </c>
      <c r="W96" s="73">
        <v>1.4956</v>
      </c>
      <c r="X96" s="73">
        <v>1.4454</v>
      </c>
      <c r="Y96" s="73">
        <v>1.7067000000000001</v>
      </c>
      <c r="Z96" s="79">
        <v>0.21299999999999999</v>
      </c>
      <c r="AA96" s="79">
        <v>0.13443999999999998</v>
      </c>
      <c r="AB96" s="112">
        <v>1.3983999999999999</v>
      </c>
      <c r="AC96" s="79">
        <v>8.5544999999999996E-2</v>
      </c>
      <c r="AD96" s="73">
        <v>1.5161</v>
      </c>
      <c r="AE96" s="73">
        <v>1.4738</v>
      </c>
      <c r="AF96" s="73">
        <v>1.7067000000000001</v>
      </c>
      <c r="AG96" s="79">
        <v>0.224</v>
      </c>
      <c r="AH96" s="79">
        <v>0.15952</v>
      </c>
      <c r="AI96" s="112">
        <v>1.4434</v>
      </c>
      <c r="AJ96" s="19">
        <v>1258</v>
      </c>
      <c r="AL96" s="271">
        <v>508</v>
      </c>
      <c r="AM96" s="37">
        <v>5.5136611199999977E-2</v>
      </c>
      <c r="AN96" s="73" t="s">
        <v>262</v>
      </c>
      <c r="AO96" s="112">
        <v>7.9491255961844198E-2</v>
      </c>
      <c r="AP96" s="77">
        <v>0</v>
      </c>
      <c r="AQ96" s="77">
        <v>0</v>
      </c>
      <c r="AR96" s="77">
        <v>0.59209999999999996</v>
      </c>
      <c r="AS96" s="114">
        <v>0.44690000000000002</v>
      </c>
      <c r="AT96" s="37" t="s">
        <v>262</v>
      </c>
      <c r="AU96" s="37" t="s">
        <v>262</v>
      </c>
      <c r="AV96" s="37">
        <v>1.019611904</v>
      </c>
      <c r="AW96" s="114">
        <v>0.63055573750000005</v>
      </c>
      <c r="AX96" s="37"/>
      <c r="AY96" s="271">
        <v>508</v>
      </c>
      <c r="AZ96" s="37" t="s">
        <v>262</v>
      </c>
      <c r="BA96" s="37" t="s">
        <v>262</v>
      </c>
      <c r="BB96" s="77" t="s">
        <v>262</v>
      </c>
      <c r="BC96" s="37">
        <v>1.403663E-2</v>
      </c>
      <c r="BD96" s="37">
        <v>2.3037849999999999E-2</v>
      </c>
      <c r="BE96" s="114">
        <v>3.5365099999999997E-2</v>
      </c>
      <c r="BF96" s="84" t="s">
        <v>262</v>
      </c>
      <c r="BG96" s="77" t="s">
        <v>262</v>
      </c>
      <c r="BH96" s="77">
        <v>2.2500599999999999E-2</v>
      </c>
      <c r="BI96" s="76">
        <v>4.1794899999999996E-2</v>
      </c>
    </row>
    <row r="97" spans="1:61" ht="12.75" customHeight="1">
      <c r="A97" s="274"/>
      <c r="B97" s="16" t="s">
        <v>237</v>
      </c>
      <c r="C97" s="6">
        <v>509</v>
      </c>
      <c r="D97" s="6" t="s">
        <v>145</v>
      </c>
      <c r="E97" s="6">
        <v>30</v>
      </c>
      <c r="F97" s="73">
        <v>0.4</v>
      </c>
      <c r="G97" s="72" t="s">
        <v>253</v>
      </c>
      <c r="H97" s="6" t="s">
        <v>16</v>
      </c>
      <c r="I97" s="104">
        <v>0.55000000000000004</v>
      </c>
      <c r="J97" s="107">
        <v>0.12</v>
      </c>
      <c r="K97" s="79">
        <v>1.9287180032326616</v>
      </c>
      <c r="L97" s="108">
        <v>1119.9148845915752</v>
      </c>
      <c r="M97" s="26"/>
      <c r="N97" s="271">
        <v>509</v>
      </c>
      <c r="O97" s="79">
        <v>0.10266</v>
      </c>
      <c r="P97" s="73">
        <v>1.6183000000000001</v>
      </c>
      <c r="Q97" s="73">
        <v>1.5428999999999999</v>
      </c>
      <c r="R97" s="73">
        <v>1.9692000000000001</v>
      </c>
      <c r="S97" s="79">
        <v>0.23200000000000001</v>
      </c>
      <c r="T97" s="79">
        <v>0.21352000000000002</v>
      </c>
      <c r="U97" s="112">
        <v>1.5370000000000001</v>
      </c>
      <c r="V97" s="79">
        <v>0.10294</v>
      </c>
      <c r="W97" s="73">
        <v>1.6836</v>
      </c>
      <c r="X97" s="73">
        <v>1.6134999999999999</v>
      </c>
      <c r="Y97" s="73">
        <v>1.9692000000000001</v>
      </c>
      <c r="Z97" s="79">
        <v>0.23599999999999999</v>
      </c>
      <c r="AA97" s="79">
        <v>0.23766000000000004</v>
      </c>
      <c r="AB97" s="112">
        <v>1.6472000000000002</v>
      </c>
      <c r="AC97" s="79">
        <v>0.11705</v>
      </c>
      <c r="AD97" s="73">
        <v>1.6762999999999999</v>
      </c>
      <c r="AE97" s="73">
        <v>1.6116999999999999</v>
      </c>
      <c r="AF97" s="73">
        <v>1.9692000000000001</v>
      </c>
      <c r="AG97" s="79">
        <v>0.20899999999999999</v>
      </c>
      <c r="AH97" s="79">
        <v>0.23200000000000004</v>
      </c>
      <c r="AI97" s="112">
        <v>1.6368000000000003</v>
      </c>
      <c r="AJ97" s="19">
        <v>1342</v>
      </c>
      <c r="AL97" s="271">
        <v>509</v>
      </c>
      <c r="AM97" s="37">
        <v>0.10640357369999998</v>
      </c>
      <c r="AN97" s="73" t="s">
        <v>262</v>
      </c>
      <c r="AO97" s="112">
        <v>5.5886736214605071</v>
      </c>
      <c r="AP97" s="77">
        <v>0</v>
      </c>
      <c r="AQ97" s="77">
        <v>0</v>
      </c>
      <c r="AR97" s="77">
        <v>2.3456000000000001</v>
      </c>
      <c r="AS97" s="114">
        <v>2.2694999999999999</v>
      </c>
      <c r="AT97" s="37" t="s">
        <v>262</v>
      </c>
      <c r="AU97" s="37" t="s">
        <v>262</v>
      </c>
      <c r="AV97" s="37">
        <v>1.4666614229999999</v>
      </c>
      <c r="AW97" s="114">
        <v>0.94404700000000008</v>
      </c>
      <c r="AX97" s="37"/>
      <c r="AY97" s="271">
        <v>509</v>
      </c>
      <c r="AZ97" s="37" t="s">
        <v>262</v>
      </c>
      <c r="BA97" s="37" t="s">
        <v>262</v>
      </c>
      <c r="BB97" s="77">
        <v>1.2192919999999999E-2</v>
      </c>
      <c r="BC97" s="37">
        <v>2.3475000000000003E-2</v>
      </c>
      <c r="BD97" s="37">
        <v>3.3631300000000003E-2</v>
      </c>
      <c r="BE97" s="114">
        <v>5.25177E-2</v>
      </c>
      <c r="BF97" s="84">
        <v>8.3724049999999994E-3</v>
      </c>
      <c r="BG97" s="77" t="s">
        <v>262</v>
      </c>
      <c r="BH97" s="77">
        <v>2.5500599999999998E-2</v>
      </c>
      <c r="BI97" s="76">
        <v>4.63065E-2</v>
      </c>
    </row>
    <row r="98" spans="1:61" ht="12.75" customHeight="1">
      <c r="A98" s="274"/>
      <c r="B98" s="115" t="s">
        <v>237</v>
      </c>
      <c r="C98" s="116">
        <v>510</v>
      </c>
      <c r="D98" s="116" t="s">
        <v>146</v>
      </c>
      <c r="E98" s="116">
        <v>30</v>
      </c>
      <c r="F98" s="118">
        <v>0.4</v>
      </c>
      <c r="G98" s="117" t="s">
        <v>253</v>
      </c>
      <c r="H98" s="116" t="s">
        <v>18</v>
      </c>
      <c r="I98" s="120">
        <v>0.55000000000000004</v>
      </c>
      <c r="J98" s="121">
        <v>0.15</v>
      </c>
      <c r="K98" s="122">
        <v>2.1563722823279452</v>
      </c>
      <c r="L98" s="123">
        <v>1092.7443538737139</v>
      </c>
      <c r="M98" s="26"/>
      <c r="N98" s="278">
        <v>510</v>
      </c>
      <c r="O98" s="122">
        <v>0.12806999999999999</v>
      </c>
      <c r="P98" s="118">
        <v>1.7761</v>
      </c>
      <c r="Q98" s="118">
        <v>1.6725000000000001</v>
      </c>
      <c r="R98" s="118">
        <v>2.1333000000000002</v>
      </c>
      <c r="S98" s="122">
        <v>0.22600000000000001</v>
      </c>
      <c r="T98" s="122">
        <v>0.28589999999999999</v>
      </c>
      <c r="U98" s="124">
        <v>1.736</v>
      </c>
      <c r="V98" s="122">
        <v>0.12712000000000001</v>
      </c>
      <c r="W98" s="118">
        <v>1.7827999999999999</v>
      </c>
      <c r="X98" s="118">
        <v>1.6886000000000001</v>
      </c>
      <c r="Y98" s="118">
        <v>2.1333000000000002</v>
      </c>
      <c r="Z98" s="122">
        <v>0.27100000000000002</v>
      </c>
      <c r="AA98" s="122">
        <v>0.31345999999999996</v>
      </c>
      <c r="AB98" s="124">
        <v>1.8180000000000001</v>
      </c>
      <c r="AC98" s="122">
        <v>0.14463000000000001</v>
      </c>
      <c r="AD98" s="118">
        <v>1.7343</v>
      </c>
      <c r="AE98" s="118">
        <v>1.6394</v>
      </c>
      <c r="AF98" s="118">
        <v>2.1333000000000002</v>
      </c>
      <c r="AG98" s="122">
        <v>0.23599999999999999</v>
      </c>
      <c r="AH98" s="122">
        <v>0.30448000000000003</v>
      </c>
      <c r="AI98" s="124">
        <v>1.8120000000000001</v>
      </c>
      <c r="AJ98" s="125">
        <v>1290</v>
      </c>
      <c r="AL98" s="278">
        <v>510</v>
      </c>
      <c r="AM98" s="128">
        <v>0.14978668049999994</v>
      </c>
      <c r="AN98" s="118" t="s">
        <v>262</v>
      </c>
      <c r="AO98" s="124">
        <v>20.387596899224807</v>
      </c>
      <c r="AP98" s="126">
        <v>0.1197</v>
      </c>
      <c r="AQ98" s="126">
        <v>0.1951</v>
      </c>
      <c r="AR98" s="126">
        <v>4.5065999999999997</v>
      </c>
      <c r="AS98" s="129">
        <v>5.5439999999999996</v>
      </c>
      <c r="AT98" s="128" t="s">
        <v>262</v>
      </c>
      <c r="AU98" s="128" t="s">
        <v>262</v>
      </c>
      <c r="AV98" s="128">
        <v>2.0168733269999999</v>
      </c>
      <c r="AW98" s="129">
        <v>1.2464286250000001</v>
      </c>
      <c r="AX98" s="37"/>
      <c r="AY98" s="278">
        <v>510</v>
      </c>
      <c r="AZ98" s="128">
        <v>1.7592190000000001E-2</v>
      </c>
      <c r="BA98" s="128">
        <v>8.5714299999999997E-3</v>
      </c>
      <c r="BB98" s="126">
        <v>2.3938950000000001E-2</v>
      </c>
      <c r="BC98" s="128">
        <v>3.5609299999999997E-2</v>
      </c>
      <c r="BD98" s="128">
        <v>4.2014700000000002E-2</v>
      </c>
      <c r="BE98" s="129">
        <v>6.5633700000000003E-2</v>
      </c>
      <c r="BF98" s="126">
        <v>1.6372405E-2</v>
      </c>
      <c r="BG98" s="126">
        <v>1.0330698000000001E-2</v>
      </c>
      <c r="BH98" s="126">
        <v>3.55006E-2</v>
      </c>
      <c r="BI98" s="127">
        <v>5.6306499999999995E-2</v>
      </c>
    </row>
    <row r="99" spans="1:61" ht="12" customHeight="1">
      <c r="A99" s="274"/>
      <c r="B99" s="16" t="s">
        <v>238</v>
      </c>
      <c r="C99" s="6">
        <v>517</v>
      </c>
      <c r="D99" s="6" t="s">
        <v>65</v>
      </c>
      <c r="E99" s="6">
        <v>30</v>
      </c>
      <c r="F99" s="73">
        <v>0.3</v>
      </c>
      <c r="G99" s="72" t="s">
        <v>248</v>
      </c>
      <c r="H99" s="6" t="s">
        <v>14</v>
      </c>
      <c r="I99" s="104">
        <v>0.55000000000000004</v>
      </c>
      <c r="J99" s="107">
        <v>0.09</v>
      </c>
      <c r="K99" s="79">
        <v>1.6703187875358823</v>
      </c>
      <c r="L99" s="108">
        <v>1097.2320292409461</v>
      </c>
      <c r="M99" s="26"/>
      <c r="N99" s="271">
        <v>517</v>
      </c>
      <c r="O99" s="79">
        <v>7.6793E-2</v>
      </c>
      <c r="P99" s="73">
        <v>1.4298</v>
      </c>
      <c r="Q99" s="73">
        <v>1.3783000000000001</v>
      </c>
      <c r="R99" s="73">
        <v>1.6</v>
      </c>
      <c r="S99" s="79">
        <v>0.22800000000000001</v>
      </c>
      <c r="T99" s="79">
        <v>0.1603</v>
      </c>
      <c r="U99" s="112">
        <v>1.3514000000000002</v>
      </c>
      <c r="V99" s="79">
        <v>7.1323999999999999E-2</v>
      </c>
      <c r="W99" s="73">
        <v>1.454</v>
      </c>
      <c r="X99" s="73">
        <v>1.3949</v>
      </c>
      <c r="Y99" s="73">
        <v>1.6</v>
      </c>
      <c r="Z99" s="79">
        <v>0.23</v>
      </c>
      <c r="AA99" s="79">
        <v>0.13041999999999998</v>
      </c>
      <c r="AB99" s="112">
        <v>1.3368</v>
      </c>
      <c r="AC99" s="79">
        <v>8.1903000000000004E-2</v>
      </c>
      <c r="AD99" s="73">
        <v>1.5107999999999999</v>
      </c>
      <c r="AE99" s="73">
        <v>1.4614</v>
      </c>
      <c r="AF99" s="73">
        <v>1.7067000000000001</v>
      </c>
      <c r="AG99" s="79">
        <v>0.219</v>
      </c>
      <c r="AH99" s="79">
        <v>0.15638000000000002</v>
      </c>
      <c r="AI99" s="112">
        <v>1.4425999999999999</v>
      </c>
      <c r="AJ99" s="19">
        <v>1296</v>
      </c>
      <c r="AL99" s="271">
        <v>517</v>
      </c>
      <c r="AM99" s="37">
        <v>6.2687518799999994E-2</v>
      </c>
      <c r="AN99" s="73" t="s">
        <v>262</v>
      </c>
      <c r="AO99" s="112">
        <v>0.15432098765432098</v>
      </c>
      <c r="AP99" s="77">
        <v>0</v>
      </c>
      <c r="AQ99" s="77">
        <v>0</v>
      </c>
      <c r="AR99" s="77">
        <v>0.75780000000000003</v>
      </c>
      <c r="AS99" s="114">
        <v>0.60940000000000005</v>
      </c>
      <c r="AT99" s="37" t="s">
        <v>262</v>
      </c>
      <c r="AU99" s="37" t="s">
        <v>262</v>
      </c>
      <c r="AV99" s="37">
        <v>1.012735194</v>
      </c>
      <c r="AW99" s="114">
        <v>0.60833337500000007</v>
      </c>
      <c r="AX99" s="37"/>
      <c r="AY99" s="271">
        <v>517</v>
      </c>
      <c r="AZ99" s="37" t="s">
        <v>262</v>
      </c>
      <c r="BA99" s="37" t="s">
        <v>262</v>
      </c>
      <c r="BB99" s="77" t="s">
        <v>262</v>
      </c>
      <c r="BC99" s="37">
        <v>1.5890109999999999E-2</v>
      </c>
      <c r="BD99" s="37">
        <v>3.0964600000000002E-2</v>
      </c>
      <c r="BE99" s="114">
        <v>5.21538E-2</v>
      </c>
      <c r="BF99" s="77" t="s">
        <v>262</v>
      </c>
      <c r="BG99" s="77" t="s">
        <v>262</v>
      </c>
      <c r="BH99" s="77">
        <v>2.4500599999999997E-2</v>
      </c>
      <c r="BI99" s="76">
        <v>3.9306500000000001E-2</v>
      </c>
    </row>
    <row r="100" spans="1:61" ht="14.25" customHeight="1">
      <c r="A100" s="274"/>
      <c r="B100" s="16" t="s">
        <v>238</v>
      </c>
      <c r="C100" s="6">
        <v>518</v>
      </c>
      <c r="D100" s="6" t="s">
        <v>66</v>
      </c>
      <c r="E100" s="6">
        <v>30</v>
      </c>
      <c r="F100" s="73">
        <v>0.3</v>
      </c>
      <c r="G100" s="72" t="s">
        <v>248</v>
      </c>
      <c r="H100" s="6" t="s">
        <v>15</v>
      </c>
      <c r="I100" s="104">
        <v>0.55000000000000004</v>
      </c>
      <c r="J100" s="107">
        <v>0.09</v>
      </c>
      <c r="K100" s="79">
        <v>1.1810937414099143</v>
      </c>
      <c r="L100" s="108">
        <v>1108.3717263019273</v>
      </c>
      <c r="M100" s="26"/>
      <c r="N100" s="271">
        <v>518</v>
      </c>
      <c r="O100" s="79">
        <v>7.4305999999999997E-2</v>
      </c>
      <c r="P100" s="73">
        <v>1.1212</v>
      </c>
      <c r="Q100" s="73">
        <v>1.1000000000000001</v>
      </c>
      <c r="R100" s="73">
        <v>1.1636</v>
      </c>
      <c r="S100" s="79">
        <v>0.22</v>
      </c>
      <c r="T100" s="79">
        <v>0.15493999999999999</v>
      </c>
      <c r="U100" s="112">
        <v>1.0871999999999999</v>
      </c>
      <c r="V100" s="79">
        <v>7.0828000000000002E-2</v>
      </c>
      <c r="W100" s="73">
        <v>1.1238999999999999</v>
      </c>
      <c r="X100" s="73">
        <v>1.1035999999999999</v>
      </c>
      <c r="Y100" s="73">
        <v>1.2190000000000001</v>
      </c>
      <c r="Z100" s="79">
        <v>0.22500000000000001</v>
      </c>
      <c r="AA100" s="79">
        <v>0.14340000000000003</v>
      </c>
      <c r="AB100" s="112">
        <v>1.0538000000000003</v>
      </c>
      <c r="AC100" s="79">
        <v>6.8697999999999995E-2</v>
      </c>
      <c r="AD100" s="73">
        <v>1.1151</v>
      </c>
      <c r="AE100" s="73">
        <v>1.0935999999999999</v>
      </c>
      <c r="AF100" s="73">
        <v>1.1636</v>
      </c>
      <c r="AG100" s="79">
        <v>0.19900000000000001</v>
      </c>
      <c r="AH100" s="79">
        <v>0.14262</v>
      </c>
      <c r="AI100" s="112">
        <v>1.0674000000000001</v>
      </c>
      <c r="AJ100" s="19">
        <v>1172</v>
      </c>
      <c r="AL100" s="271">
        <v>518</v>
      </c>
      <c r="AM100" s="37">
        <v>2.424360159999997E-2</v>
      </c>
      <c r="AN100" s="73" t="s">
        <v>262</v>
      </c>
      <c r="AO100" s="112" t="s">
        <v>262</v>
      </c>
      <c r="AP100" s="77">
        <v>0</v>
      </c>
      <c r="AQ100" s="77">
        <v>0</v>
      </c>
      <c r="AR100" s="77">
        <v>0.11269999999999999</v>
      </c>
      <c r="AS100" s="114">
        <v>7.2700000000000001E-2</v>
      </c>
      <c r="AT100" s="37" t="s">
        <v>262</v>
      </c>
      <c r="AU100" s="37" t="s">
        <v>262</v>
      </c>
      <c r="AV100" s="37">
        <v>0.60007626599999997</v>
      </c>
      <c r="AW100" s="114">
        <v>0.23452390000000001</v>
      </c>
      <c r="AX100" s="37"/>
      <c r="AY100" s="271">
        <v>518</v>
      </c>
      <c r="AZ100" s="37" t="s">
        <v>262</v>
      </c>
      <c r="BA100" s="37" t="s">
        <v>262</v>
      </c>
      <c r="BB100" s="77" t="s">
        <v>262</v>
      </c>
      <c r="BC100" s="37">
        <v>1.0439560000000001E-2</v>
      </c>
      <c r="BD100" s="37">
        <v>1.694261E-2</v>
      </c>
      <c r="BE100" s="114">
        <v>3.55018E-2</v>
      </c>
      <c r="BF100" s="77" t="s">
        <v>262</v>
      </c>
      <c r="BG100" s="77" t="s">
        <v>262</v>
      </c>
      <c r="BH100" s="77">
        <v>1.95006E-2</v>
      </c>
      <c r="BI100" s="76">
        <v>3.4283300000000003E-2</v>
      </c>
    </row>
    <row r="101" spans="1:61" ht="13.5" customHeight="1">
      <c r="A101" s="274"/>
      <c r="B101" s="16" t="s">
        <v>238</v>
      </c>
      <c r="C101" s="6">
        <v>519</v>
      </c>
      <c r="D101" s="6" t="s">
        <v>67</v>
      </c>
      <c r="E101" s="6">
        <v>30</v>
      </c>
      <c r="F101" s="73">
        <v>0.3</v>
      </c>
      <c r="G101" s="72" t="s">
        <v>248</v>
      </c>
      <c r="H101" s="6" t="s">
        <v>16</v>
      </c>
      <c r="I101" s="104">
        <v>0.55000000000000004</v>
      </c>
      <c r="J101" s="107">
        <v>0.12</v>
      </c>
      <c r="K101" s="79">
        <v>1.9287180032326616</v>
      </c>
      <c r="L101" s="108">
        <v>1119.9148845915752</v>
      </c>
      <c r="M101" s="26"/>
      <c r="N101" s="271">
        <v>519</v>
      </c>
      <c r="O101" s="79">
        <v>0.10329000000000001</v>
      </c>
      <c r="P101" s="73">
        <v>1.6007</v>
      </c>
      <c r="Q101" s="73">
        <v>1.5213000000000001</v>
      </c>
      <c r="R101" s="73">
        <v>1.9692000000000001</v>
      </c>
      <c r="S101" s="79">
        <v>0.214</v>
      </c>
      <c r="T101" s="79">
        <v>0.19878000000000001</v>
      </c>
      <c r="U101" s="112">
        <v>1.5054000000000001</v>
      </c>
      <c r="V101" s="79">
        <v>9.9441000000000002E-2</v>
      </c>
      <c r="W101" s="73">
        <v>1.6337999999999999</v>
      </c>
      <c r="X101" s="73">
        <v>1.552</v>
      </c>
      <c r="Y101" s="73">
        <v>1.9692000000000001</v>
      </c>
      <c r="Z101" s="79">
        <v>0.23899999999999999</v>
      </c>
      <c r="AA101" s="79">
        <v>0.20913999999999996</v>
      </c>
      <c r="AB101" s="112">
        <v>1.5309999999999999</v>
      </c>
      <c r="AC101" s="79">
        <v>0.1135</v>
      </c>
      <c r="AD101" s="73">
        <v>1.6788000000000001</v>
      </c>
      <c r="AE101" s="73">
        <v>1.6062000000000001</v>
      </c>
      <c r="AF101" s="73">
        <v>1.9692000000000001</v>
      </c>
      <c r="AG101" s="79">
        <v>0.20100000000000001</v>
      </c>
      <c r="AH101" s="79">
        <v>0.23230000000000001</v>
      </c>
      <c r="AI101" s="112">
        <v>1.6320000000000001</v>
      </c>
      <c r="AJ101" s="19">
        <v>1360</v>
      </c>
      <c r="AL101" s="271">
        <v>519</v>
      </c>
      <c r="AM101" s="37">
        <v>0.11863188649999995</v>
      </c>
      <c r="AN101" s="73">
        <v>7.3529411764705885E-2</v>
      </c>
      <c r="AO101" s="112">
        <v>23.382352941176471</v>
      </c>
      <c r="AP101" s="77">
        <v>0</v>
      </c>
      <c r="AQ101" s="77">
        <v>0</v>
      </c>
      <c r="AR101" s="77">
        <v>2.6985999999999999</v>
      </c>
      <c r="AS101" s="114">
        <v>2.7761999999999998</v>
      </c>
      <c r="AT101" s="37" t="s">
        <v>262</v>
      </c>
      <c r="AU101" s="37" t="s">
        <v>262</v>
      </c>
      <c r="AV101" s="37">
        <v>1.513657751</v>
      </c>
      <c r="AW101" s="114">
        <v>0.97341237500000011</v>
      </c>
      <c r="AX101" s="37"/>
      <c r="AY101" s="271">
        <v>519</v>
      </c>
      <c r="AZ101" s="37">
        <v>5.3919420000000003E-3</v>
      </c>
      <c r="BA101" s="37">
        <v>3.0531099999999999E-3</v>
      </c>
      <c r="BB101" s="77">
        <v>1.6649600000000001E-2</v>
      </c>
      <c r="BC101" s="37">
        <v>2.6600699999999998E-2</v>
      </c>
      <c r="BD101" s="37">
        <v>3.5912100000000002E-2</v>
      </c>
      <c r="BE101" s="114">
        <v>5.4087900000000001E-2</v>
      </c>
      <c r="BF101" s="77">
        <v>8.3724049999999994E-3</v>
      </c>
      <c r="BG101" s="77">
        <v>4.330698E-3</v>
      </c>
      <c r="BH101" s="77">
        <v>2.9500600000000002E-2</v>
      </c>
      <c r="BI101" s="76">
        <v>3.83065E-2</v>
      </c>
    </row>
    <row r="102" spans="1:61" ht="12.75" customHeight="1">
      <c r="A102" s="274"/>
      <c r="B102" s="16" t="s">
        <v>238</v>
      </c>
      <c r="C102" s="6">
        <v>520</v>
      </c>
      <c r="D102" s="6" t="s">
        <v>68</v>
      </c>
      <c r="E102" s="6">
        <v>30</v>
      </c>
      <c r="F102" s="73">
        <v>0.3</v>
      </c>
      <c r="G102" s="72" t="s">
        <v>248</v>
      </c>
      <c r="H102" s="6" t="s">
        <v>17</v>
      </c>
      <c r="I102" s="104">
        <v>0.55000000000000004</v>
      </c>
      <c r="J102" s="107">
        <v>0.12</v>
      </c>
      <c r="K102" s="79">
        <v>1.3638095790823928</v>
      </c>
      <c r="L102" s="108">
        <v>1103.8597825859642</v>
      </c>
      <c r="M102" s="26"/>
      <c r="N102" s="271">
        <v>520</v>
      </c>
      <c r="O102" s="79">
        <v>0.10729</v>
      </c>
      <c r="P102" s="73">
        <v>1.2505999999999999</v>
      </c>
      <c r="Q102" s="73">
        <v>1.2202</v>
      </c>
      <c r="R102" s="73">
        <v>1.3473999999999999</v>
      </c>
      <c r="S102" s="79">
        <v>0.22</v>
      </c>
      <c r="T102" s="79">
        <v>0.2064</v>
      </c>
      <c r="U102" s="112">
        <v>1.1926000000000001</v>
      </c>
      <c r="V102" s="79">
        <v>9.4962000000000005E-2</v>
      </c>
      <c r="W102" s="73">
        <v>1.242</v>
      </c>
      <c r="X102" s="73">
        <v>1.2115</v>
      </c>
      <c r="Y102" s="73">
        <v>1.3473999999999999</v>
      </c>
      <c r="Z102" s="79">
        <v>0.20699999999999999</v>
      </c>
      <c r="AA102" s="79">
        <v>0.17982000000000001</v>
      </c>
      <c r="AB102" s="112">
        <v>1.1627999999999998</v>
      </c>
      <c r="AC102" s="79">
        <v>0.10084</v>
      </c>
      <c r="AD102" s="73">
        <v>1.2622</v>
      </c>
      <c r="AE102" s="73">
        <v>1.2302</v>
      </c>
      <c r="AF102" s="73">
        <v>1.4221999999999999</v>
      </c>
      <c r="AG102" s="79">
        <v>0.2</v>
      </c>
      <c r="AH102" s="79">
        <v>0.19750000000000001</v>
      </c>
      <c r="AI102" s="112">
        <v>1.2070000000000001</v>
      </c>
      <c r="AJ102" s="19">
        <v>1201</v>
      </c>
      <c r="AL102" s="271">
        <v>520</v>
      </c>
      <c r="AM102" s="37">
        <v>5.5753703599999996E-2</v>
      </c>
      <c r="AN102" s="73" t="s">
        <v>262</v>
      </c>
      <c r="AO102" s="112">
        <v>8.3263946711074108E-2</v>
      </c>
      <c r="AP102" s="77">
        <v>0</v>
      </c>
      <c r="AQ102" s="77">
        <v>0</v>
      </c>
      <c r="AR102" s="77">
        <v>0.61240000000000006</v>
      </c>
      <c r="AS102" s="114">
        <v>0.54100000000000004</v>
      </c>
      <c r="AT102" s="37" t="s">
        <v>262</v>
      </c>
      <c r="AU102" s="37" t="s">
        <v>262</v>
      </c>
      <c r="AV102" s="37">
        <v>1.0264909610000001</v>
      </c>
      <c r="AW102" s="114">
        <v>0.57976262500000009</v>
      </c>
      <c r="AX102" s="37"/>
      <c r="AY102" s="271">
        <v>520</v>
      </c>
      <c r="AZ102" s="37" t="s">
        <v>262</v>
      </c>
      <c r="BA102" s="37" t="s">
        <v>262</v>
      </c>
      <c r="BB102" s="77" t="s">
        <v>262</v>
      </c>
      <c r="BC102" s="37">
        <v>1.3807079999999999E-2</v>
      </c>
      <c r="BD102" s="37">
        <v>2.2515300000000002E-2</v>
      </c>
      <c r="BE102" s="114">
        <v>3.4039E-2</v>
      </c>
      <c r="BF102" s="77" t="s">
        <v>262</v>
      </c>
      <c r="BG102" s="77" t="s">
        <v>262</v>
      </c>
      <c r="BH102" s="77">
        <v>2.1500600000000002E-2</v>
      </c>
      <c r="BI102" s="76">
        <v>3.5283300000000004E-2</v>
      </c>
    </row>
    <row r="103" spans="1:61">
      <c r="A103" s="274"/>
      <c r="B103" s="16" t="s">
        <v>238</v>
      </c>
      <c r="C103" s="6">
        <v>521</v>
      </c>
      <c r="D103" s="6" t="s">
        <v>69</v>
      </c>
      <c r="E103" s="6">
        <v>30</v>
      </c>
      <c r="F103" s="73">
        <v>0.3</v>
      </c>
      <c r="G103" s="72" t="s">
        <v>248</v>
      </c>
      <c r="H103" s="6" t="s">
        <v>18</v>
      </c>
      <c r="I103" s="104">
        <v>0.55000000000000004</v>
      </c>
      <c r="J103" s="107">
        <v>0.15</v>
      </c>
      <c r="K103" s="79">
        <v>2.1563722823279452</v>
      </c>
      <c r="L103" s="108">
        <v>1092.7443538737139</v>
      </c>
      <c r="M103" s="26"/>
      <c r="N103" s="271">
        <v>521</v>
      </c>
      <c r="O103" s="79">
        <v>0.12523000000000001</v>
      </c>
      <c r="P103" s="73">
        <v>1.7441</v>
      </c>
      <c r="Q103" s="73">
        <v>1.6357999999999999</v>
      </c>
      <c r="R103" s="73">
        <v>2.1333000000000002</v>
      </c>
      <c r="S103" s="79">
        <v>0.223</v>
      </c>
      <c r="T103" s="79">
        <v>0.26206000000000002</v>
      </c>
      <c r="U103" s="112">
        <v>1.6694000000000002</v>
      </c>
      <c r="V103" s="79">
        <v>0.12143</v>
      </c>
      <c r="W103" s="73">
        <v>1.7282999999999999</v>
      </c>
      <c r="X103" s="73">
        <v>1.6227</v>
      </c>
      <c r="Y103" s="73">
        <v>2.1333000000000002</v>
      </c>
      <c r="Z103" s="79">
        <v>0.253</v>
      </c>
      <c r="AA103" s="79">
        <v>0.29783999999999999</v>
      </c>
      <c r="AB103" s="112">
        <v>1.6957999999999998</v>
      </c>
      <c r="AC103" s="79">
        <v>0.14371999999999999</v>
      </c>
      <c r="AD103" s="73">
        <v>1.7513000000000001</v>
      </c>
      <c r="AE103" s="73">
        <v>1.6511</v>
      </c>
      <c r="AF103" s="73">
        <v>2.1333000000000002</v>
      </c>
      <c r="AG103" s="79">
        <v>0.22</v>
      </c>
      <c r="AH103" s="79">
        <v>0.30496000000000001</v>
      </c>
      <c r="AI103" s="112">
        <v>1.8172000000000001</v>
      </c>
      <c r="AJ103" s="19">
        <v>1326</v>
      </c>
      <c r="AL103" s="271">
        <v>521</v>
      </c>
      <c r="AM103" s="77">
        <v>0.17538366100000002</v>
      </c>
      <c r="AN103" s="73">
        <v>0.1508295625942685</v>
      </c>
      <c r="AO103" s="112">
        <v>54.223227752639517</v>
      </c>
      <c r="AP103" s="77">
        <v>9.2600000000000002E-2</v>
      </c>
      <c r="AQ103" s="77">
        <v>0.1981</v>
      </c>
      <c r="AR103" s="77">
        <v>5.4766000000000004</v>
      </c>
      <c r="AS103" s="76">
        <v>5.3970000000000002</v>
      </c>
      <c r="AT103" s="77">
        <v>0.63550821600000007</v>
      </c>
      <c r="AU103" s="77">
        <v>0.26578965599999999</v>
      </c>
      <c r="AV103" s="77">
        <v>2.097112563</v>
      </c>
      <c r="AW103" s="76">
        <v>1.2662698749999999</v>
      </c>
      <c r="AX103" s="77"/>
      <c r="AY103" s="271">
        <v>521</v>
      </c>
      <c r="AZ103" s="77">
        <v>1.6620300000000001E-2</v>
      </c>
      <c r="BA103" s="77">
        <v>8.9084300000000002E-3</v>
      </c>
      <c r="BB103" s="77">
        <v>2.7831499999999999E-2</v>
      </c>
      <c r="BC103" s="77">
        <v>3.7753399999999999E-2</v>
      </c>
      <c r="BD103" s="77">
        <v>4.5484699999999996E-2</v>
      </c>
      <c r="BE103" s="76">
        <v>6.28132E-2</v>
      </c>
      <c r="BF103" s="77">
        <v>1.0372404999999999E-2</v>
      </c>
      <c r="BG103" s="77">
        <v>5.330698E-3</v>
      </c>
      <c r="BH103" s="77">
        <v>2.8500600000000001E-2</v>
      </c>
      <c r="BI103" s="76">
        <v>4.0306500000000002E-2</v>
      </c>
    </row>
    <row r="104" spans="1:61">
      <c r="A104" s="274"/>
      <c r="B104" s="115" t="s">
        <v>238</v>
      </c>
      <c r="C104" s="116">
        <v>522</v>
      </c>
      <c r="D104" s="116" t="s">
        <v>70</v>
      </c>
      <c r="E104" s="116">
        <v>30</v>
      </c>
      <c r="F104" s="118">
        <v>0.3</v>
      </c>
      <c r="G104" s="117" t="s">
        <v>248</v>
      </c>
      <c r="H104" s="116" t="s">
        <v>19</v>
      </c>
      <c r="I104" s="120">
        <v>0.55000000000000004</v>
      </c>
      <c r="J104" s="121">
        <v>0.15</v>
      </c>
      <c r="K104" s="122">
        <v>1.5247854635968026</v>
      </c>
      <c r="L104" s="123">
        <v>1116.1033617173778</v>
      </c>
      <c r="M104" s="26"/>
      <c r="N104" s="278">
        <v>522</v>
      </c>
      <c r="O104" s="122">
        <v>0.13209000000000001</v>
      </c>
      <c r="P104" s="118">
        <v>1.3392999999999999</v>
      </c>
      <c r="Q104" s="118">
        <v>1.2938000000000001</v>
      </c>
      <c r="R104" s="118">
        <v>1.5059</v>
      </c>
      <c r="S104" s="122">
        <v>0.216</v>
      </c>
      <c r="T104" s="122">
        <v>0.26238</v>
      </c>
      <c r="U104" s="124">
        <v>1.2846</v>
      </c>
      <c r="V104" s="122">
        <v>0.11402</v>
      </c>
      <c r="W104" s="118">
        <v>1.3524</v>
      </c>
      <c r="X104" s="118">
        <v>1.3044</v>
      </c>
      <c r="Y104" s="118">
        <v>1.6</v>
      </c>
      <c r="Z104" s="122">
        <v>0.20499999999999999</v>
      </c>
      <c r="AA104" s="122">
        <v>0.22583999999999999</v>
      </c>
      <c r="AB104" s="124">
        <v>1.2609999999999999</v>
      </c>
      <c r="AC104" s="122">
        <v>0.13155</v>
      </c>
      <c r="AD104" s="118">
        <v>1.3944000000000001</v>
      </c>
      <c r="AE104" s="118">
        <v>1.3502000000000001</v>
      </c>
      <c r="AF104" s="118">
        <v>1.5059</v>
      </c>
      <c r="AG104" s="122">
        <v>0.20399999999999999</v>
      </c>
      <c r="AH104" s="122">
        <v>0.25903999999999999</v>
      </c>
      <c r="AI104" s="124">
        <v>1.3416000000000001</v>
      </c>
      <c r="AJ104" s="125">
        <v>1250</v>
      </c>
      <c r="AL104" s="278">
        <v>522</v>
      </c>
      <c r="AM104" s="128">
        <v>8.7644128099999968E-2</v>
      </c>
      <c r="AN104" s="118" t="s">
        <v>262</v>
      </c>
      <c r="AO104" s="124">
        <v>0.56000000000000005</v>
      </c>
      <c r="AP104" s="126">
        <v>0</v>
      </c>
      <c r="AQ104" s="126">
        <v>0</v>
      </c>
      <c r="AR104" s="126">
        <v>1.8839999999999999</v>
      </c>
      <c r="AS104" s="129">
        <v>1.897</v>
      </c>
      <c r="AT104" s="128" t="s">
        <v>262</v>
      </c>
      <c r="AU104" s="128">
        <v>1.11217788E-3</v>
      </c>
      <c r="AV104" s="128">
        <v>1.4299801599999999</v>
      </c>
      <c r="AW104" s="129">
        <v>0.90119087500000006</v>
      </c>
      <c r="AX104" s="37"/>
      <c r="AY104" s="278">
        <v>522</v>
      </c>
      <c r="AZ104" s="128">
        <v>4.4267400000000002E-3</v>
      </c>
      <c r="BA104" s="128">
        <v>2.2293040000000001E-3</v>
      </c>
      <c r="BB104" s="126">
        <v>1.1709400000000002E-2</v>
      </c>
      <c r="BC104" s="128">
        <v>2.1157500000000003E-2</v>
      </c>
      <c r="BD104" s="128">
        <v>3.1658100000000002E-2</v>
      </c>
      <c r="BE104" s="129">
        <v>4.5179499999999997E-2</v>
      </c>
      <c r="BF104" s="126">
        <v>7.3724050000000003E-3</v>
      </c>
      <c r="BG104" s="126">
        <v>3.330698E-3</v>
      </c>
      <c r="BH104" s="126">
        <v>2.75006E-2</v>
      </c>
      <c r="BI104" s="127">
        <v>3.87949E-2</v>
      </c>
    </row>
    <row r="105" spans="1:61" ht="13.5" customHeight="1">
      <c r="A105" s="274"/>
      <c r="B105" s="16" t="s">
        <v>239</v>
      </c>
      <c r="C105" s="6">
        <v>523</v>
      </c>
      <c r="D105" s="6" t="s">
        <v>71</v>
      </c>
      <c r="E105" s="6">
        <v>30</v>
      </c>
      <c r="F105" s="73">
        <v>0.3</v>
      </c>
      <c r="G105" s="72" t="s">
        <v>253</v>
      </c>
      <c r="H105" s="6" t="s">
        <v>14</v>
      </c>
      <c r="I105" s="104">
        <v>0.55000000000000004</v>
      </c>
      <c r="J105" s="107">
        <v>0.09</v>
      </c>
      <c r="K105" s="79">
        <v>1.6703187875358823</v>
      </c>
      <c r="L105" s="108">
        <v>1097.2320292409461</v>
      </c>
      <c r="M105" s="26"/>
      <c r="N105" s="271">
        <v>523</v>
      </c>
      <c r="O105" s="79">
        <v>7.6838000000000004E-2</v>
      </c>
      <c r="P105" s="73">
        <v>1.4314</v>
      </c>
      <c r="Q105" s="73">
        <v>1.3822000000000001</v>
      </c>
      <c r="R105" s="73">
        <v>1.6</v>
      </c>
      <c r="S105" s="79">
        <v>0.215</v>
      </c>
      <c r="T105" s="79">
        <v>0.15522</v>
      </c>
      <c r="U105" s="112">
        <v>1.3762000000000001</v>
      </c>
      <c r="V105" s="79">
        <v>7.1469000000000005E-2</v>
      </c>
      <c r="W105" s="73">
        <v>1.4645999999999999</v>
      </c>
      <c r="X105" s="73">
        <v>1.4137</v>
      </c>
      <c r="Y105" s="73">
        <v>1.6</v>
      </c>
      <c r="Z105" s="79">
        <v>0.20899999999999999</v>
      </c>
      <c r="AA105" s="79">
        <v>0.13109999999999999</v>
      </c>
      <c r="AB105" s="112">
        <v>1.3838000000000001</v>
      </c>
      <c r="AC105" s="79">
        <v>8.2808999999999994E-2</v>
      </c>
      <c r="AD105" s="73">
        <v>1.5130999999999999</v>
      </c>
      <c r="AE105" s="73">
        <v>1.4664999999999999</v>
      </c>
      <c r="AF105" s="73">
        <v>1.7067000000000001</v>
      </c>
      <c r="AG105" s="79">
        <v>0.21299999999999999</v>
      </c>
      <c r="AH105" s="79">
        <v>0.15970000000000001</v>
      </c>
      <c r="AI105" s="112">
        <v>1.4554</v>
      </c>
      <c r="AJ105" s="19">
        <v>1245</v>
      </c>
      <c r="AL105" s="271">
        <v>523</v>
      </c>
      <c r="AM105" s="37">
        <v>6.8291175199999984E-2</v>
      </c>
      <c r="AN105" s="73" t="s">
        <v>262</v>
      </c>
      <c r="AO105" s="112">
        <v>8.0321285140562249E-2</v>
      </c>
      <c r="AP105" s="77">
        <v>0</v>
      </c>
      <c r="AQ105" s="77">
        <v>0</v>
      </c>
      <c r="AR105" s="77">
        <v>0.60160000000000002</v>
      </c>
      <c r="AS105" s="114">
        <v>0.53690000000000004</v>
      </c>
      <c r="AT105" s="37" t="s">
        <v>262</v>
      </c>
      <c r="AU105" s="37" t="s">
        <v>262</v>
      </c>
      <c r="AV105" s="37">
        <v>0.99783409099999987</v>
      </c>
      <c r="AW105" s="114">
        <v>0.63769858749999997</v>
      </c>
      <c r="AX105" s="37"/>
      <c r="AY105" s="271">
        <v>523</v>
      </c>
      <c r="AZ105" s="37" t="s">
        <v>262</v>
      </c>
      <c r="BA105" s="37" t="s">
        <v>262</v>
      </c>
      <c r="BB105" s="77" t="s">
        <v>262</v>
      </c>
      <c r="BC105" s="37">
        <v>1.5137970000000001E-2</v>
      </c>
      <c r="BD105" s="37">
        <v>2.5914529999999998E-2</v>
      </c>
      <c r="BE105" s="114">
        <v>3.68449E-2</v>
      </c>
      <c r="BF105" s="77" t="s">
        <v>262</v>
      </c>
      <c r="BG105" s="77" t="s">
        <v>262</v>
      </c>
      <c r="BH105" s="77">
        <v>2.35006E-2</v>
      </c>
      <c r="BI105" s="76">
        <v>3.3794900000000003E-2</v>
      </c>
    </row>
    <row r="106" spans="1:61" ht="12.75" customHeight="1">
      <c r="A106" s="274"/>
      <c r="B106" s="16" t="s">
        <v>239</v>
      </c>
      <c r="C106" s="6">
        <v>524</v>
      </c>
      <c r="D106" s="6" t="s">
        <v>72</v>
      </c>
      <c r="E106" s="6">
        <v>30</v>
      </c>
      <c r="F106" s="73">
        <v>0.3</v>
      </c>
      <c r="G106" s="72" t="s">
        <v>253</v>
      </c>
      <c r="H106" s="6" t="s">
        <v>16</v>
      </c>
      <c r="I106" s="104">
        <v>0.55000000000000004</v>
      </c>
      <c r="J106" s="107">
        <v>0.12</v>
      </c>
      <c r="K106" s="79">
        <v>1.9287180032326616</v>
      </c>
      <c r="L106" s="108">
        <v>1119.9148845915752</v>
      </c>
      <c r="M106" s="26"/>
      <c r="N106" s="271">
        <v>524</v>
      </c>
      <c r="O106" s="79">
        <v>0.10345</v>
      </c>
      <c r="P106" s="73">
        <v>1.6063000000000001</v>
      </c>
      <c r="Q106" s="73">
        <v>1.5303</v>
      </c>
      <c r="R106" s="73">
        <v>1.9692000000000001</v>
      </c>
      <c r="S106" s="79">
        <v>0.20499999999999999</v>
      </c>
      <c r="T106" s="79">
        <v>0.1978</v>
      </c>
      <c r="U106" s="112">
        <v>1.5347999999999999</v>
      </c>
      <c r="V106" s="79">
        <v>9.9333000000000005E-2</v>
      </c>
      <c r="W106" s="73">
        <v>1.6465000000000001</v>
      </c>
      <c r="X106" s="73">
        <v>1.5733999999999999</v>
      </c>
      <c r="Y106" s="73">
        <v>1.9692000000000001</v>
      </c>
      <c r="Z106" s="79">
        <v>0.222</v>
      </c>
      <c r="AA106" s="79">
        <v>0.20522000000000001</v>
      </c>
      <c r="AB106" s="112">
        <v>1.5924</v>
      </c>
      <c r="AC106" s="79">
        <v>0.11423</v>
      </c>
      <c r="AD106" s="73">
        <v>1.6825000000000001</v>
      </c>
      <c r="AE106" s="73">
        <v>1.6135999999999999</v>
      </c>
      <c r="AF106" s="73">
        <v>1.9692000000000001</v>
      </c>
      <c r="AG106" s="79">
        <v>0.192</v>
      </c>
      <c r="AH106" s="79">
        <v>0.22956000000000004</v>
      </c>
      <c r="AI106" s="112">
        <v>1.6527999999999998</v>
      </c>
      <c r="AJ106" s="19">
        <v>1310</v>
      </c>
      <c r="AL106" s="271">
        <v>524</v>
      </c>
      <c r="AM106" s="77">
        <v>0.11169807129999998</v>
      </c>
      <c r="AN106" s="73" t="s">
        <v>262</v>
      </c>
      <c r="AO106" s="112">
        <v>8.1679389312977104</v>
      </c>
      <c r="AP106" s="77">
        <v>0</v>
      </c>
      <c r="AQ106" s="77">
        <v>3.09E-2</v>
      </c>
      <c r="AR106" s="77">
        <v>2.4931999999999999</v>
      </c>
      <c r="AS106" s="76">
        <v>2.6234000000000002</v>
      </c>
      <c r="AT106" s="77" t="s">
        <v>262</v>
      </c>
      <c r="AU106" s="77" t="s">
        <v>262</v>
      </c>
      <c r="AV106" s="77">
        <v>1.5549227049999998</v>
      </c>
      <c r="AW106" s="76">
        <v>0.977380625</v>
      </c>
      <c r="AX106" s="77"/>
      <c r="AY106" s="271">
        <v>524</v>
      </c>
      <c r="AZ106" s="77">
        <v>8.3247870000000002E-3</v>
      </c>
      <c r="BA106" s="77" t="s">
        <v>262</v>
      </c>
      <c r="BB106" s="77">
        <v>1.7426110000000002E-2</v>
      </c>
      <c r="BC106" s="77">
        <v>2.62271E-2</v>
      </c>
      <c r="BD106" s="77">
        <v>3.8556800000000002E-2</v>
      </c>
      <c r="BE106" s="76">
        <v>5.6175800000000005E-2</v>
      </c>
      <c r="BF106" s="77">
        <v>1.2372405E-2</v>
      </c>
      <c r="BG106" s="77" t="s">
        <v>262</v>
      </c>
      <c r="BH106" s="77">
        <v>3.3500599999999998E-2</v>
      </c>
      <c r="BI106" s="76">
        <v>4.4306499999999999E-2</v>
      </c>
    </row>
    <row r="107" spans="1:61" ht="13.5" customHeight="1">
      <c r="A107" s="274"/>
      <c r="B107" s="115" t="s">
        <v>239</v>
      </c>
      <c r="C107" s="116">
        <v>525</v>
      </c>
      <c r="D107" s="116" t="s">
        <v>73</v>
      </c>
      <c r="E107" s="116">
        <v>30</v>
      </c>
      <c r="F107" s="118">
        <v>0.3</v>
      </c>
      <c r="G107" s="117" t="s">
        <v>253</v>
      </c>
      <c r="H107" s="116" t="s">
        <v>18</v>
      </c>
      <c r="I107" s="120">
        <v>0.55000000000000004</v>
      </c>
      <c r="J107" s="121">
        <v>0.15</v>
      </c>
      <c r="K107" s="122">
        <v>2.1563722823279452</v>
      </c>
      <c r="L107" s="123">
        <v>1092.7443538737139</v>
      </c>
      <c r="M107" s="26"/>
      <c r="N107" s="278">
        <v>525</v>
      </c>
      <c r="O107" s="122">
        <v>0.12536</v>
      </c>
      <c r="P107" s="118">
        <v>1.7496</v>
      </c>
      <c r="Q107" s="118">
        <v>1.645</v>
      </c>
      <c r="R107" s="118">
        <v>2.1333000000000002</v>
      </c>
      <c r="S107" s="122">
        <v>0.21299999999999999</v>
      </c>
      <c r="T107" s="122">
        <v>0.26314000000000004</v>
      </c>
      <c r="U107" s="124">
        <v>1.7063999999999999</v>
      </c>
      <c r="V107" s="122">
        <v>0.12126000000000001</v>
      </c>
      <c r="W107" s="118">
        <v>1.7394000000000001</v>
      </c>
      <c r="X107" s="118">
        <v>1.6412</v>
      </c>
      <c r="Y107" s="118">
        <v>2.1333000000000002</v>
      </c>
      <c r="Z107" s="122">
        <v>0.24199999999999999</v>
      </c>
      <c r="AA107" s="122">
        <v>0.29195999999999994</v>
      </c>
      <c r="AB107" s="124">
        <v>1.7634000000000001</v>
      </c>
      <c r="AC107" s="122">
        <v>0.14434</v>
      </c>
      <c r="AD107" s="118">
        <v>1.7544</v>
      </c>
      <c r="AE107" s="118">
        <v>1.6569</v>
      </c>
      <c r="AF107" s="118">
        <v>2.1333000000000002</v>
      </c>
      <c r="AG107" s="122">
        <v>0.21299999999999999</v>
      </c>
      <c r="AH107" s="122">
        <v>0.30369999999999997</v>
      </c>
      <c r="AI107" s="124">
        <v>1.8393999999999999</v>
      </c>
      <c r="AJ107" s="125">
        <v>1299</v>
      </c>
      <c r="AL107" s="278">
        <v>525</v>
      </c>
      <c r="AM107" s="128">
        <v>0.17305649570000001</v>
      </c>
      <c r="AN107" s="118">
        <v>0.30792917628945343</v>
      </c>
      <c r="AO107" s="124">
        <v>80.138568129330253</v>
      </c>
      <c r="AP107" s="126">
        <v>0.14630000000000001</v>
      </c>
      <c r="AQ107" s="126">
        <v>0.2611</v>
      </c>
      <c r="AR107" s="126">
        <v>5.3593000000000002</v>
      </c>
      <c r="AS107" s="129">
        <v>5.5724</v>
      </c>
      <c r="AT107" s="128" t="s">
        <v>262</v>
      </c>
      <c r="AU107" s="128">
        <v>0.29322067499999999</v>
      </c>
      <c r="AV107" s="128">
        <v>2.1234764139999998</v>
      </c>
      <c r="AW107" s="129">
        <v>1.3059523750000002</v>
      </c>
      <c r="AX107" s="37"/>
      <c r="AY107" s="278">
        <v>525</v>
      </c>
      <c r="AZ107" s="128">
        <v>2.0046399999999999E-2</v>
      </c>
      <c r="BA107" s="128">
        <v>9.2942600000000004E-3</v>
      </c>
      <c r="BB107" s="126">
        <v>2.9636099999999999E-2</v>
      </c>
      <c r="BC107" s="128">
        <v>3.6393200000000001E-2</v>
      </c>
      <c r="BD107" s="128">
        <v>4.7475000000000003E-2</v>
      </c>
      <c r="BE107" s="129">
        <v>6.5428500000000001E-2</v>
      </c>
      <c r="BF107" s="126">
        <v>2.0372405E-2</v>
      </c>
      <c r="BG107" s="126">
        <v>1.0330698000000001E-2</v>
      </c>
      <c r="BH107" s="126">
        <v>4.35006E-2</v>
      </c>
      <c r="BI107" s="127">
        <v>5.1306500000000005E-2</v>
      </c>
    </row>
    <row r="108" spans="1:61" ht="13.5" customHeight="1">
      <c r="A108" s="274"/>
      <c r="B108" s="16" t="s">
        <v>240</v>
      </c>
      <c r="C108" s="6">
        <v>530</v>
      </c>
      <c r="D108" s="6" t="s">
        <v>75</v>
      </c>
      <c r="E108" s="6">
        <v>30</v>
      </c>
      <c r="F108" s="73">
        <v>0.15</v>
      </c>
      <c r="G108" s="72" t="s">
        <v>248</v>
      </c>
      <c r="H108" s="6" t="s">
        <v>14</v>
      </c>
      <c r="I108" s="104">
        <v>0.55000000000000004</v>
      </c>
      <c r="J108" s="107">
        <v>0.09</v>
      </c>
      <c r="K108" s="79">
        <v>1.6703187875358823</v>
      </c>
      <c r="L108" s="108">
        <v>1097.2320292409461</v>
      </c>
      <c r="M108" s="26"/>
      <c r="N108" s="271">
        <v>530</v>
      </c>
      <c r="O108" s="79">
        <v>8.1984000000000001E-2</v>
      </c>
      <c r="P108" s="73">
        <v>1.4456</v>
      </c>
      <c r="Q108" s="73">
        <v>1.383</v>
      </c>
      <c r="R108" s="73">
        <v>1.7067000000000001</v>
      </c>
      <c r="S108" s="79">
        <v>0.22</v>
      </c>
      <c r="T108" s="79">
        <v>0.15629999999999999</v>
      </c>
      <c r="U108" s="112">
        <v>1.3404</v>
      </c>
      <c r="V108" s="79">
        <v>7.7900999999999998E-2</v>
      </c>
      <c r="W108" s="73">
        <v>1.4417</v>
      </c>
      <c r="X108" s="73">
        <v>1.3751</v>
      </c>
      <c r="Y108" s="73">
        <v>1.6</v>
      </c>
      <c r="Z108" s="79">
        <v>0.23100000000000001</v>
      </c>
      <c r="AA108" s="79">
        <v>0.15443999999999999</v>
      </c>
      <c r="AB108" s="112">
        <v>1.3298000000000001</v>
      </c>
      <c r="AC108" s="79">
        <v>7.8270000000000006E-2</v>
      </c>
      <c r="AD108" s="73">
        <v>1.484</v>
      </c>
      <c r="AE108" s="73">
        <v>1.4181999999999999</v>
      </c>
      <c r="AF108" s="73">
        <v>1.7067000000000001</v>
      </c>
      <c r="AG108" s="79">
        <v>0.2</v>
      </c>
      <c r="AH108" s="79">
        <v>0.15424000000000002</v>
      </c>
      <c r="AI108" s="112">
        <v>1.3660000000000001</v>
      </c>
      <c r="AJ108" s="19">
        <v>1286</v>
      </c>
      <c r="AL108" s="271">
        <v>530</v>
      </c>
      <c r="AM108" s="37">
        <v>7.5177615999999975E-2</v>
      </c>
      <c r="AN108" s="73" t="s">
        <v>262</v>
      </c>
      <c r="AO108" s="112">
        <v>0.38880248833592534</v>
      </c>
      <c r="AP108" s="77">
        <v>0</v>
      </c>
      <c r="AQ108" s="77">
        <v>0</v>
      </c>
      <c r="AR108" s="77">
        <v>0.4662</v>
      </c>
      <c r="AS108" s="114">
        <v>0.40849999999999997</v>
      </c>
      <c r="AT108" s="37" t="s">
        <v>262</v>
      </c>
      <c r="AU108" s="37" t="s">
        <v>262</v>
      </c>
      <c r="AV108" s="37">
        <v>0.92790991999999994</v>
      </c>
      <c r="AW108" s="114" t="s">
        <v>262</v>
      </c>
      <c r="AX108" s="37"/>
      <c r="AY108" s="271">
        <v>530</v>
      </c>
      <c r="AZ108" s="37" t="s">
        <v>262</v>
      </c>
      <c r="BA108" s="37" t="s">
        <v>262</v>
      </c>
      <c r="BB108" s="77" t="s">
        <v>262</v>
      </c>
      <c r="BC108" s="37">
        <v>1.539683E-2</v>
      </c>
      <c r="BD108" s="37">
        <v>3.32772E-2</v>
      </c>
      <c r="BE108" s="114">
        <v>3.7597100000000001E-2</v>
      </c>
      <c r="BF108" s="77" t="s">
        <v>262</v>
      </c>
      <c r="BG108" s="77">
        <v>99.000330697999999</v>
      </c>
      <c r="BH108" s="77">
        <v>2.5500599999999998E-2</v>
      </c>
      <c r="BI108" s="76">
        <v>4.4306499999999999E-2</v>
      </c>
    </row>
    <row r="109" spans="1:61">
      <c r="A109" s="274"/>
      <c r="B109" s="16" t="s">
        <v>240</v>
      </c>
      <c r="C109" s="6">
        <v>531</v>
      </c>
      <c r="D109" s="6" t="s">
        <v>76</v>
      </c>
      <c r="E109" s="6">
        <v>30</v>
      </c>
      <c r="F109" s="73">
        <v>0.15</v>
      </c>
      <c r="G109" s="72" t="s">
        <v>248</v>
      </c>
      <c r="H109" s="6" t="s">
        <v>15</v>
      </c>
      <c r="I109" s="104">
        <v>0.55000000000000004</v>
      </c>
      <c r="J109" s="107">
        <v>0.09</v>
      </c>
      <c r="K109" s="79">
        <v>1.1810937414099143</v>
      </c>
      <c r="L109" s="108">
        <v>1108.3717263019273</v>
      </c>
      <c r="M109" s="26"/>
      <c r="N109" s="271">
        <v>531</v>
      </c>
      <c r="O109" s="79">
        <v>7.4056999999999998E-2</v>
      </c>
      <c r="P109" s="73">
        <v>1.0951</v>
      </c>
      <c r="Q109" s="73">
        <v>1.0693999999999999</v>
      </c>
      <c r="R109" s="73">
        <v>1.1636</v>
      </c>
      <c r="S109" s="79">
        <v>0.183</v>
      </c>
      <c r="T109" s="79">
        <v>0.15658</v>
      </c>
      <c r="U109" s="112">
        <v>1.0577999999999999</v>
      </c>
      <c r="V109" s="79">
        <v>7.3441000000000006E-2</v>
      </c>
      <c r="W109" s="73">
        <v>1.1055999999999999</v>
      </c>
      <c r="X109" s="73">
        <v>1.0798000000000001</v>
      </c>
      <c r="Y109" s="73">
        <v>1.1636</v>
      </c>
      <c r="Z109" s="79">
        <v>0.183</v>
      </c>
      <c r="AA109" s="79">
        <v>0.15052000000000001</v>
      </c>
      <c r="AB109" s="112">
        <v>1.056</v>
      </c>
      <c r="AC109" s="79">
        <v>6.8542000000000006E-2</v>
      </c>
      <c r="AD109" s="73">
        <v>1.0954999999999999</v>
      </c>
      <c r="AE109" s="73">
        <v>1.0711999999999999</v>
      </c>
      <c r="AF109" s="73">
        <v>1.1636</v>
      </c>
      <c r="AG109" s="79">
        <v>0.17299999999999999</v>
      </c>
      <c r="AH109" s="79">
        <v>0.14262</v>
      </c>
      <c r="AI109" s="112">
        <v>1.0530000000000002</v>
      </c>
      <c r="AJ109" s="19">
        <v>1166</v>
      </c>
      <c r="AL109" s="271">
        <v>531</v>
      </c>
      <c r="AM109" s="77">
        <v>3.120110399999998E-2</v>
      </c>
      <c r="AN109" s="73" t="s">
        <v>262</v>
      </c>
      <c r="AO109" s="112">
        <v>8.5763293310463118E-2</v>
      </c>
      <c r="AP109" s="77">
        <v>0</v>
      </c>
      <c r="AQ109" s="77">
        <v>0</v>
      </c>
      <c r="AR109" s="77">
        <v>3.8699999999999998E-2</v>
      </c>
      <c r="AS109" s="76">
        <v>4.4299999999999999E-2</v>
      </c>
      <c r="AT109" s="77" t="s">
        <v>262</v>
      </c>
      <c r="AU109" s="77" t="s">
        <v>262</v>
      </c>
      <c r="AV109" s="77">
        <v>0.41437880960000001</v>
      </c>
      <c r="AW109" s="76" t="s">
        <v>262</v>
      </c>
      <c r="AX109" s="77"/>
      <c r="AY109" s="271">
        <v>531</v>
      </c>
      <c r="AZ109" s="77" t="s">
        <v>262</v>
      </c>
      <c r="BA109" s="77" t="s">
        <v>262</v>
      </c>
      <c r="BB109" s="77" t="s">
        <v>262</v>
      </c>
      <c r="BC109" s="77">
        <v>8.9084300000000002E-3</v>
      </c>
      <c r="BD109" s="77">
        <v>1.699146E-2</v>
      </c>
      <c r="BE109" s="76">
        <v>2.294506E-2</v>
      </c>
      <c r="BF109" s="77" t="s">
        <v>262</v>
      </c>
      <c r="BG109" s="77" t="s">
        <v>262</v>
      </c>
      <c r="BH109" s="77">
        <v>2.0500600000000001E-2</v>
      </c>
      <c r="BI109" s="76">
        <v>3.2283300000000001E-2</v>
      </c>
    </row>
    <row r="110" spans="1:61">
      <c r="A110" s="274"/>
      <c r="B110" s="16" t="s">
        <v>240</v>
      </c>
      <c r="C110" s="6">
        <v>532</v>
      </c>
      <c r="D110" s="6" t="s">
        <v>77</v>
      </c>
      <c r="E110" s="6">
        <v>30</v>
      </c>
      <c r="F110" s="73">
        <v>0.15</v>
      </c>
      <c r="G110" s="72" t="s">
        <v>248</v>
      </c>
      <c r="H110" s="6" t="s">
        <v>16</v>
      </c>
      <c r="I110" s="104">
        <v>0.55000000000000004</v>
      </c>
      <c r="J110" s="107">
        <v>0.12</v>
      </c>
      <c r="K110" s="79">
        <v>1.9287180032326616</v>
      </c>
      <c r="L110" s="108">
        <v>1119.9148845915752</v>
      </c>
      <c r="M110" s="26"/>
      <c r="N110" s="271">
        <v>532</v>
      </c>
      <c r="O110" s="79">
        <v>0.1104</v>
      </c>
      <c r="P110" s="73">
        <v>1.6081000000000001</v>
      </c>
      <c r="Q110" s="73">
        <v>1.5223</v>
      </c>
      <c r="R110" s="73">
        <v>1.9692000000000001</v>
      </c>
      <c r="S110" s="79">
        <v>0.217</v>
      </c>
      <c r="T110" s="79">
        <v>0.20699999999999999</v>
      </c>
      <c r="U110" s="112">
        <v>1.4978000000000002</v>
      </c>
      <c r="V110" s="79">
        <v>0.10034</v>
      </c>
      <c r="W110" s="73">
        <v>1.5878000000000001</v>
      </c>
      <c r="X110" s="73">
        <v>1.4984</v>
      </c>
      <c r="Y110" s="73">
        <v>1.9692000000000001</v>
      </c>
      <c r="Z110" s="79">
        <v>0.24199999999999999</v>
      </c>
      <c r="AA110" s="79">
        <v>0.18736000000000003</v>
      </c>
      <c r="AB110" s="112">
        <v>1.4632000000000001</v>
      </c>
      <c r="AC110" s="79">
        <v>0.11362</v>
      </c>
      <c r="AD110" s="73">
        <v>1.6878</v>
      </c>
      <c r="AE110" s="73">
        <v>1.6016999999999999</v>
      </c>
      <c r="AF110" s="73">
        <v>1.9692000000000001</v>
      </c>
      <c r="AG110" s="79">
        <v>0.184</v>
      </c>
      <c r="AH110" s="79">
        <v>0.23197999999999999</v>
      </c>
      <c r="AI110" s="112">
        <v>1.6074000000000002</v>
      </c>
      <c r="AJ110" s="19">
        <v>1392</v>
      </c>
      <c r="AL110" s="271">
        <v>532</v>
      </c>
      <c r="AM110" s="37">
        <v>0.12138695289999996</v>
      </c>
      <c r="AN110" s="73" t="s">
        <v>262</v>
      </c>
      <c r="AO110" s="112">
        <v>4.9568965517241379</v>
      </c>
      <c r="AP110" s="77">
        <v>0</v>
      </c>
      <c r="AQ110" s="77">
        <v>2.01E-2</v>
      </c>
      <c r="AR110" s="77">
        <v>2.3834</v>
      </c>
      <c r="AS110" s="114">
        <v>1.8039000000000001</v>
      </c>
      <c r="AT110" s="37" t="s">
        <v>262</v>
      </c>
      <c r="AU110" s="37" t="s">
        <v>262</v>
      </c>
      <c r="AV110" s="37">
        <v>1.509071713</v>
      </c>
      <c r="AW110" s="114" t="s">
        <v>262</v>
      </c>
      <c r="AX110" s="37"/>
      <c r="AY110" s="271">
        <v>532</v>
      </c>
      <c r="AZ110" s="37" t="s">
        <v>262</v>
      </c>
      <c r="BA110" s="37" t="s">
        <v>262</v>
      </c>
      <c r="BB110" s="77">
        <v>1.5528690000000001E-2</v>
      </c>
      <c r="BC110" s="37">
        <v>2.446887E-2</v>
      </c>
      <c r="BD110" s="37">
        <v>4.2598300000000006E-2</v>
      </c>
      <c r="BE110" s="114">
        <v>5.2244200000000005E-2</v>
      </c>
      <c r="BF110" s="77">
        <v>1.2372405E-2</v>
      </c>
      <c r="BG110" s="77" t="s">
        <v>262</v>
      </c>
      <c r="BH110" s="77">
        <v>3.3500599999999998E-2</v>
      </c>
      <c r="BI110" s="76">
        <v>4.1306499999999996E-2</v>
      </c>
    </row>
    <row r="111" spans="1:61">
      <c r="A111" s="274"/>
      <c r="B111" s="16" t="s">
        <v>240</v>
      </c>
      <c r="C111" s="6">
        <v>533</v>
      </c>
      <c r="D111" s="6" t="s">
        <v>74</v>
      </c>
      <c r="E111" s="6">
        <v>30</v>
      </c>
      <c r="F111" s="73">
        <v>0.15</v>
      </c>
      <c r="G111" s="72" t="s">
        <v>248</v>
      </c>
      <c r="H111" s="6" t="s">
        <v>17</v>
      </c>
      <c r="I111" s="104">
        <v>0.55000000000000004</v>
      </c>
      <c r="J111" s="107">
        <v>0.12</v>
      </c>
      <c r="K111" s="79">
        <v>1.3638095790823928</v>
      </c>
      <c r="L111" s="108">
        <v>1103.8597825859642</v>
      </c>
      <c r="M111" s="26"/>
      <c r="N111" s="271">
        <v>533</v>
      </c>
      <c r="O111" s="79">
        <v>0.10619000000000001</v>
      </c>
      <c r="P111" s="73">
        <v>1.2393000000000001</v>
      </c>
      <c r="Q111" s="73">
        <v>1.2020999999999999</v>
      </c>
      <c r="R111" s="73">
        <v>1.4221999999999999</v>
      </c>
      <c r="S111" s="79">
        <v>0.19400000000000001</v>
      </c>
      <c r="T111" s="79">
        <v>0.20091999999999999</v>
      </c>
      <c r="U111" s="112">
        <v>1.19</v>
      </c>
      <c r="V111" s="79">
        <v>0.10027</v>
      </c>
      <c r="W111" s="73">
        <v>1.2329000000000001</v>
      </c>
      <c r="X111" s="73">
        <v>1.1950000000000001</v>
      </c>
      <c r="Y111" s="73">
        <v>1.3473999999999999</v>
      </c>
      <c r="Z111" s="79">
        <v>0.189</v>
      </c>
      <c r="AA111" s="79">
        <v>0.19007999999999997</v>
      </c>
      <c r="AB111" s="112">
        <v>1.1902000000000001</v>
      </c>
      <c r="AC111" s="79">
        <v>9.7264000000000003E-2</v>
      </c>
      <c r="AD111" s="73">
        <v>1.2321</v>
      </c>
      <c r="AE111" s="73">
        <v>1.1944999999999999</v>
      </c>
      <c r="AF111" s="73">
        <v>1.3473999999999999</v>
      </c>
      <c r="AG111" s="79">
        <v>0.17499999999999999</v>
      </c>
      <c r="AH111" s="79">
        <v>0.19761999999999999</v>
      </c>
      <c r="AI111" s="112">
        <v>1.1782000000000001</v>
      </c>
      <c r="AJ111" s="19">
        <v>1200</v>
      </c>
      <c r="AL111" s="271">
        <v>533</v>
      </c>
      <c r="AM111" s="37">
        <v>6.5275549599999955E-2</v>
      </c>
      <c r="AN111" s="73" t="s">
        <v>262</v>
      </c>
      <c r="AO111" s="112">
        <v>8.3333333333333343E-2</v>
      </c>
      <c r="AP111" s="77">
        <v>0</v>
      </c>
      <c r="AQ111" s="77">
        <v>0</v>
      </c>
      <c r="AR111" s="77">
        <v>0.35149999999999998</v>
      </c>
      <c r="AS111" s="114">
        <v>0.33679999999999999</v>
      </c>
      <c r="AT111" s="37" t="s">
        <v>262</v>
      </c>
      <c r="AU111" s="37" t="s">
        <v>262</v>
      </c>
      <c r="AV111" s="37">
        <v>1.0402467280000001</v>
      </c>
      <c r="AW111" s="114" t="s">
        <v>262</v>
      </c>
      <c r="AX111" s="37"/>
      <c r="AY111" s="271">
        <v>533</v>
      </c>
      <c r="AZ111" s="37" t="s">
        <v>262</v>
      </c>
      <c r="BA111" s="37" t="s">
        <v>262</v>
      </c>
      <c r="BB111" s="77" t="s">
        <v>262</v>
      </c>
      <c r="BC111" s="37">
        <v>1.3768009999999999E-2</v>
      </c>
      <c r="BD111" s="37">
        <v>2.9025599999999999E-2</v>
      </c>
      <c r="BE111" s="114">
        <v>3.6141599999999996E-2</v>
      </c>
      <c r="BF111" s="77" t="s">
        <v>262</v>
      </c>
      <c r="BG111" s="77" t="s">
        <v>262</v>
      </c>
      <c r="BH111" s="77">
        <v>2.5500599999999998E-2</v>
      </c>
      <c r="BI111" s="76">
        <v>3.7283299999999998E-2</v>
      </c>
    </row>
    <row r="112" spans="1:61">
      <c r="A112" s="274"/>
      <c r="B112" s="16" t="s">
        <v>240</v>
      </c>
      <c r="C112" s="6">
        <v>534</v>
      </c>
      <c r="D112" s="6" t="s">
        <v>78</v>
      </c>
      <c r="E112" s="6">
        <v>30</v>
      </c>
      <c r="F112" s="73">
        <v>0.15</v>
      </c>
      <c r="G112" s="72" t="s">
        <v>248</v>
      </c>
      <c r="H112" s="6" t="s">
        <v>18</v>
      </c>
      <c r="I112" s="104">
        <v>0.55000000000000004</v>
      </c>
      <c r="J112" s="107">
        <v>0.15</v>
      </c>
      <c r="K112" s="79">
        <v>2.1563722823279452</v>
      </c>
      <c r="L112" s="108">
        <v>1092.7443538737139</v>
      </c>
      <c r="M112" s="26"/>
      <c r="N112" s="271">
        <v>534</v>
      </c>
      <c r="O112" s="79">
        <v>0.13014000000000001</v>
      </c>
      <c r="P112" s="73">
        <v>1.73</v>
      </c>
      <c r="Q112" s="73">
        <v>1.6178999999999999</v>
      </c>
      <c r="R112" s="73">
        <v>2.1333000000000002</v>
      </c>
      <c r="S112" s="79">
        <v>0.23</v>
      </c>
      <c r="T112" s="79">
        <v>0.27495999999999998</v>
      </c>
      <c r="U112" s="112">
        <v>1.6186</v>
      </c>
      <c r="V112" s="79">
        <v>0.11879000000000001</v>
      </c>
      <c r="W112" s="73">
        <v>1.6732</v>
      </c>
      <c r="X112" s="73">
        <v>1.5587</v>
      </c>
      <c r="Y112" s="73">
        <v>2.1333000000000002</v>
      </c>
      <c r="Z112" s="79">
        <v>0.25</v>
      </c>
      <c r="AA112" s="79">
        <v>0.28054000000000007</v>
      </c>
      <c r="AB112" s="112">
        <v>1.613</v>
      </c>
      <c r="AC112" s="79">
        <v>0.14563000000000001</v>
      </c>
      <c r="AD112" s="73">
        <v>1.7823</v>
      </c>
      <c r="AE112" s="73">
        <v>1.6747000000000001</v>
      </c>
      <c r="AF112" s="73">
        <v>2.1333000000000002</v>
      </c>
      <c r="AG112" s="79">
        <v>0.19800000000000001</v>
      </c>
      <c r="AH112" s="79">
        <v>0.31356000000000001</v>
      </c>
      <c r="AI112" s="112">
        <v>1.7864</v>
      </c>
      <c r="AJ112" s="19">
        <v>1377</v>
      </c>
      <c r="AL112" s="271">
        <v>534</v>
      </c>
      <c r="AM112" s="77">
        <v>0.18424134649999999</v>
      </c>
      <c r="AN112" s="73">
        <v>2.3965141612200433</v>
      </c>
      <c r="AO112" s="112">
        <v>0</v>
      </c>
      <c r="AP112" s="77">
        <v>0.1234</v>
      </c>
      <c r="AQ112" s="77">
        <v>0.19969999999999999</v>
      </c>
      <c r="AR112" s="77">
        <v>5.5260999999999996</v>
      </c>
      <c r="AS112" s="76">
        <v>4.3</v>
      </c>
      <c r="AT112" s="77">
        <v>0.67419458399999999</v>
      </c>
      <c r="AU112" s="77">
        <v>0.35698031819999998</v>
      </c>
      <c r="AV112" s="77">
        <v>2.0042628960000002</v>
      </c>
      <c r="AW112" s="76">
        <v>1.1170640000000001</v>
      </c>
      <c r="AX112" s="77"/>
      <c r="AY112" s="271">
        <v>534</v>
      </c>
      <c r="AZ112" s="77">
        <v>2.1494510000000001E-2</v>
      </c>
      <c r="BA112" s="77">
        <v>1.130891E-2</v>
      </c>
      <c r="BB112" s="77">
        <v>2.77851E-2</v>
      </c>
      <c r="BC112" s="77">
        <v>3.4781399999999997E-2</v>
      </c>
      <c r="BD112" s="77">
        <v>4.5824199999999995E-2</v>
      </c>
      <c r="BE112" s="76">
        <v>6.5445699999999996E-2</v>
      </c>
      <c r="BF112" s="77">
        <v>2.4372405E-2</v>
      </c>
      <c r="BG112" s="77">
        <v>1.2330698000000001E-2</v>
      </c>
      <c r="BH112" s="77">
        <v>4.8500600000000005E-2</v>
      </c>
      <c r="BI112" s="76">
        <v>4.63065E-2</v>
      </c>
    </row>
    <row r="113" spans="1:61" ht="13.5" thickBot="1">
      <c r="A113" s="274"/>
      <c r="B113" s="21" t="s">
        <v>240</v>
      </c>
      <c r="C113" s="149">
        <v>535</v>
      </c>
      <c r="D113" s="149" t="s">
        <v>79</v>
      </c>
      <c r="E113" s="149">
        <v>30</v>
      </c>
      <c r="F113" s="95">
        <v>0.15</v>
      </c>
      <c r="G113" s="150" t="s">
        <v>248</v>
      </c>
      <c r="H113" s="149" t="s">
        <v>19</v>
      </c>
      <c r="I113" s="103">
        <v>0.55000000000000004</v>
      </c>
      <c r="J113" s="109">
        <v>0.15</v>
      </c>
      <c r="K113" s="97">
        <v>1.5247854635968026</v>
      </c>
      <c r="L113" s="110">
        <v>1116.1033617173778</v>
      </c>
      <c r="M113" s="26"/>
      <c r="N113" s="272">
        <v>535</v>
      </c>
      <c r="O113" s="97">
        <v>0.13691999999999999</v>
      </c>
      <c r="P113" s="95">
        <v>1.3492999999999999</v>
      </c>
      <c r="Q113" s="95">
        <v>1.2994000000000001</v>
      </c>
      <c r="R113" s="95">
        <v>1.5059</v>
      </c>
      <c r="S113" s="97">
        <v>0.19800000000000001</v>
      </c>
      <c r="T113" s="97">
        <v>0.27986</v>
      </c>
      <c r="U113" s="113">
        <v>1.3054000000000001</v>
      </c>
      <c r="V113" s="97">
        <v>0.12706999999999999</v>
      </c>
      <c r="W113" s="95">
        <v>1.355</v>
      </c>
      <c r="X113" s="95">
        <v>1.3049999999999999</v>
      </c>
      <c r="Y113" s="95">
        <v>1.5059</v>
      </c>
      <c r="Z113" s="97">
        <v>0.193</v>
      </c>
      <c r="AA113" s="97">
        <v>0.26363999999999999</v>
      </c>
      <c r="AB113" s="113">
        <v>1.3112000000000001</v>
      </c>
      <c r="AC113" s="97">
        <v>0.12859000000000001</v>
      </c>
      <c r="AD113" s="95">
        <v>1.3704000000000001</v>
      </c>
      <c r="AE113" s="95">
        <v>1.3173999999999999</v>
      </c>
      <c r="AF113" s="95">
        <v>1.5059</v>
      </c>
      <c r="AG113" s="97">
        <v>0.17899999999999999</v>
      </c>
      <c r="AH113" s="97">
        <v>0.25456000000000001</v>
      </c>
      <c r="AI113" s="113">
        <v>1.3198000000000001</v>
      </c>
      <c r="AJ113" s="22">
        <v>1222</v>
      </c>
      <c r="AL113" s="272">
        <v>535</v>
      </c>
      <c r="AM113" s="153">
        <v>9.5005538099999953E-2</v>
      </c>
      <c r="AN113" s="95" t="s">
        <v>262</v>
      </c>
      <c r="AO113" s="113">
        <v>1.4729950900163666</v>
      </c>
      <c r="AP113" s="151">
        <v>0</v>
      </c>
      <c r="AQ113" s="151">
        <v>0</v>
      </c>
      <c r="AR113" s="151">
        <v>1.3563000000000001</v>
      </c>
      <c r="AS113" s="152">
        <v>1.3207</v>
      </c>
      <c r="AT113" s="153" t="s">
        <v>262</v>
      </c>
      <c r="AU113" s="153" t="s">
        <v>262</v>
      </c>
      <c r="AV113" s="153">
        <v>1.3417165309999999</v>
      </c>
      <c r="AW113" s="152">
        <v>0.73134912500000004</v>
      </c>
      <c r="AX113" s="37"/>
      <c r="AY113" s="272">
        <v>535</v>
      </c>
      <c r="AZ113" s="153" t="s">
        <v>262</v>
      </c>
      <c r="BA113" s="153" t="s">
        <v>262</v>
      </c>
      <c r="BB113" s="151">
        <v>1.115995E-2</v>
      </c>
      <c r="BC113" s="153">
        <v>1.8608059999999999E-2</v>
      </c>
      <c r="BD113" s="153">
        <v>3.0410300000000001E-2</v>
      </c>
      <c r="BE113" s="152">
        <v>4.4495699999999999E-2</v>
      </c>
      <c r="BF113" s="151" t="s">
        <v>262</v>
      </c>
      <c r="BG113" s="151">
        <v>2.330698E-3</v>
      </c>
      <c r="BH113" s="151">
        <v>3.1500599999999997E-2</v>
      </c>
      <c r="BI113" s="154">
        <v>4.3283299999999997E-2</v>
      </c>
    </row>
    <row r="114" spans="1:61">
      <c r="A114" s="274"/>
      <c r="B114" s="99" t="s">
        <v>160</v>
      </c>
      <c r="C114" s="6"/>
      <c r="D114" s="6" t="s">
        <v>211</v>
      </c>
      <c r="E114" s="6"/>
      <c r="F114" s="73"/>
      <c r="G114" s="72"/>
      <c r="H114" s="6"/>
      <c r="I114" s="104"/>
      <c r="J114" s="107"/>
      <c r="K114" s="79"/>
      <c r="L114" s="108"/>
      <c r="M114" s="26"/>
      <c r="N114" s="271"/>
      <c r="O114" s="79">
        <v>5.5439999999999996</v>
      </c>
      <c r="P114" s="73">
        <v>5.5439999999999996</v>
      </c>
      <c r="Q114" s="73">
        <v>5.5439999999999996</v>
      </c>
      <c r="R114" s="73">
        <v>5.5439999999999996</v>
      </c>
      <c r="S114" s="79">
        <v>5.5439999999999996</v>
      </c>
      <c r="T114" s="79">
        <v>5.5439999999999996</v>
      </c>
      <c r="U114" s="112">
        <v>5.5439999999999996</v>
      </c>
      <c r="V114" s="79">
        <v>5.5439999999999996</v>
      </c>
      <c r="W114" s="73">
        <v>5.5439999999999996</v>
      </c>
      <c r="X114" s="73">
        <v>5.5439999999999996</v>
      </c>
      <c r="Y114" s="73">
        <v>5.5439999999999996</v>
      </c>
      <c r="Z114" s="79">
        <v>5.5439999999999996</v>
      </c>
      <c r="AA114" s="79">
        <v>5.5439999999999996</v>
      </c>
      <c r="AB114" s="112">
        <v>5.5439999999999996</v>
      </c>
      <c r="AC114" s="79">
        <v>5.5439999999999996</v>
      </c>
      <c r="AD114" s="73">
        <v>5.5439999999999996</v>
      </c>
      <c r="AE114" s="73">
        <v>5.5439999999999996</v>
      </c>
      <c r="AF114" s="73">
        <v>5.5439999999999996</v>
      </c>
      <c r="AG114" s="79">
        <v>5.5439999999999996</v>
      </c>
      <c r="AH114" s="79">
        <v>5.5439999999999996</v>
      </c>
      <c r="AI114" s="112">
        <v>5.5439999999999996</v>
      </c>
      <c r="AJ114" s="19">
        <v>5.5439999999999996</v>
      </c>
      <c r="AL114" s="271"/>
      <c r="AM114" s="37">
        <v>5.5439999999999996</v>
      </c>
      <c r="AN114" s="73">
        <v>5.5439999999999996</v>
      </c>
      <c r="AO114" s="112">
        <v>5.5439999999999996</v>
      </c>
      <c r="AP114" s="77">
        <v>5.5439999999999996</v>
      </c>
      <c r="AQ114" s="77">
        <v>5.5439999999999996</v>
      </c>
      <c r="AR114" s="77">
        <v>5.5439999999999996</v>
      </c>
      <c r="AS114" s="114">
        <v>5.5439999999999996</v>
      </c>
      <c r="AT114" s="37">
        <v>5.5439999999999996</v>
      </c>
      <c r="AU114" s="37">
        <v>5.5439999999999996</v>
      </c>
      <c r="AV114" s="37">
        <v>5.5439999999999996</v>
      </c>
      <c r="AW114" s="114">
        <v>5.5439999999999996</v>
      </c>
      <c r="AX114" s="37"/>
      <c r="AY114" s="271"/>
      <c r="AZ114" s="37">
        <v>5.5439999999999996</v>
      </c>
      <c r="BA114" s="37">
        <v>5.5439999999999996</v>
      </c>
      <c r="BB114" s="77">
        <v>5.5439999999999996</v>
      </c>
      <c r="BC114" s="37">
        <v>5.5439999999999996</v>
      </c>
      <c r="BD114" s="37">
        <v>5.5439999999999996</v>
      </c>
      <c r="BE114" s="114">
        <v>5.5439999999999996</v>
      </c>
      <c r="BF114" s="77">
        <v>5.5439999999999996</v>
      </c>
      <c r="BG114" s="77">
        <v>5.5439999999999996</v>
      </c>
      <c r="BH114" s="77">
        <v>5.5439999999999996</v>
      </c>
      <c r="BI114" s="76">
        <v>5.5439999999999996</v>
      </c>
    </row>
    <row r="115" spans="1:61">
      <c r="A115" s="274"/>
      <c r="B115" s="16" t="s">
        <v>241</v>
      </c>
      <c r="C115" s="6">
        <v>613</v>
      </c>
      <c r="D115" s="6" t="s">
        <v>212</v>
      </c>
      <c r="E115" s="6">
        <v>-45</v>
      </c>
      <c r="F115" s="73">
        <v>0</v>
      </c>
      <c r="G115" s="72" t="s">
        <v>248</v>
      </c>
      <c r="H115" s="6" t="s">
        <v>14</v>
      </c>
      <c r="I115" s="104">
        <v>0.55000000000000004</v>
      </c>
      <c r="J115" s="107">
        <v>0.09</v>
      </c>
      <c r="K115" s="79">
        <v>1.6703187875358823</v>
      </c>
      <c r="L115" s="108">
        <v>1097.2320292409461</v>
      </c>
      <c r="M115" s="26"/>
      <c r="N115" s="271">
        <v>613</v>
      </c>
      <c r="O115" s="79">
        <v>7.7101000000000003E-2</v>
      </c>
      <c r="P115" s="73">
        <v>1.4602999999999999</v>
      </c>
      <c r="Q115" s="73">
        <v>1.4029</v>
      </c>
      <c r="R115" s="73">
        <v>1.7067000000000001</v>
      </c>
      <c r="S115" s="79">
        <v>0.23499999999999999</v>
      </c>
      <c r="T115" s="79">
        <v>0.16294</v>
      </c>
      <c r="U115" s="112">
        <v>1.3884000000000001</v>
      </c>
      <c r="V115" s="79">
        <v>8.6817000000000005E-2</v>
      </c>
      <c r="W115" s="73">
        <v>1.5198</v>
      </c>
      <c r="X115" s="73">
        <v>1.4712000000000001</v>
      </c>
      <c r="Y115" s="73">
        <v>1.7067000000000001</v>
      </c>
      <c r="Z115" s="79">
        <v>0.2</v>
      </c>
      <c r="AA115" s="79">
        <v>0.17897999999999997</v>
      </c>
      <c r="AB115" s="112">
        <v>1.4883999999999999</v>
      </c>
      <c r="AC115" s="79">
        <v>8.6126999999999995E-2</v>
      </c>
      <c r="AD115" s="73">
        <v>1.5286999999999999</v>
      </c>
      <c r="AE115" s="73">
        <v>1.4651000000000001</v>
      </c>
      <c r="AF115" s="73">
        <v>1.7067000000000001</v>
      </c>
      <c r="AG115" s="79">
        <v>0.246</v>
      </c>
      <c r="AH115" s="79">
        <v>0.17280000000000001</v>
      </c>
      <c r="AI115" s="112">
        <v>1.4246000000000001</v>
      </c>
      <c r="AJ115" s="19">
        <v>1229</v>
      </c>
      <c r="AL115" s="271">
        <v>613</v>
      </c>
      <c r="AM115" s="37">
        <v>0.10790480000000001</v>
      </c>
      <c r="AN115" s="73" t="s">
        <v>262</v>
      </c>
      <c r="AO115" s="112">
        <v>4.1497152156224573</v>
      </c>
      <c r="AP115" s="77">
        <v>0</v>
      </c>
      <c r="AQ115" s="77">
        <v>0</v>
      </c>
      <c r="AR115" s="77">
        <v>0.41389999999999999</v>
      </c>
      <c r="AS115" s="76">
        <v>0.37069999999999997</v>
      </c>
      <c r="AT115" s="77" t="s">
        <v>262</v>
      </c>
      <c r="AU115" s="77" t="s">
        <v>262</v>
      </c>
      <c r="AV115" s="77">
        <v>0.74106759700000002</v>
      </c>
      <c r="AW115" s="76">
        <v>0.34087316249999994</v>
      </c>
      <c r="AX115" s="77"/>
      <c r="AY115" s="271">
        <v>613</v>
      </c>
      <c r="AZ115" s="77" t="s">
        <v>262</v>
      </c>
      <c r="BA115" s="77" t="s">
        <v>262</v>
      </c>
      <c r="BB115" s="77" t="s">
        <v>262</v>
      </c>
      <c r="BC115" s="77">
        <v>1.4061049999999999E-2</v>
      </c>
      <c r="BD115" s="77">
        <v>2.2122099999999999E-2</v>
      </c>
      <c r="BE115" s="76">
        <v>2.8410299999999999E-2</v>
      </c>
      <c r="BF115" s="77" t="s">
        <v>262</v>
      </c>
      <c r="BG115" s="77" t="s">
        <v>262</v>
      </c>
      <c r="BH115" s="77">
        <v>2.0500600000000001E-2</v>
      </c>
      <c r="BI115" s="76">
        <v>3.1794900000000001E-2</v>
      </c>
    </row>
    <row r="116" spans="1:61">
      <c r="A116" s="274"/>
      <c r="B116" s="16" t="s">
        <v>241</v>
      </c>
      <c r="C116" s="6">
        <v>614</v>
      </c>
      <c r="D116" s="6" t="s">
        <v>213</v>
      </c>
      <c r="E116" s="6">
        <v>-45</v>
      </c>
      <c r="F116" s="73">
        <v>0</v>
      </c>
      <c r="G116" s="72" t="s">
        <v>248</v>
      </c>
      <c r="H116" s="6" t="s">
        <v>15</v>
      </c>
      <c r="I116" s="104">
        <v>0.55000000000000004</v>
      </c>
      <c r="J116" s="107">
        <v>0.09</v>
      </c>
      <c r="K116" s="79">
        <v>1.1810937414099143</v>
      </c>
      <c r="L116" s="108">
        <v>1108.3717263019273</v>
      </c>
      <c r="M116" s="26"/>
      <c r="N116" s="271">
        <v>614</v>
      </c>
      <c r="O116" s="79">
        <v>7.5086E-2</v>
      </c>
      <c r="P116" s="73">
        <v>1.1267</v>
      </c>
      <c r="Q116" s="73">
        <v>1.1071</v>
      </c>
      <c r="R116" s="73">
        <v>1.1636</v>
      </c>
      <c r="S116" s="79">
        <v>0.155</v>
      </c>
      <c r="T116" s="79">
        <v>0.16175999999999999</v>
      </c>
      <c r="U116" s="112">
        <v>1.0972000000000002</v>
      </c>
      <c r="V116" s="79">
        <v>7.0094000000000004E-2</v>
      </c>
      <c r="W116" s="73">
        <v>1.1361000000000001</v>
      </c>
      <c r="X116" s="73">
        <v>1.1148</v>
      </c>
      <c r="Y116" s="73">
        <v>1.2190000000000001</v>
      </c>
      <c r="Z116" s="79">
        <v>0.14499999999999999</v>
      </c>
      <c r="AA116" s="79">
        <v>0.15981999999999999</v>
      </c>
      <c r="AB116" s="112">
        <v>1.1156000000000001</v>
      </c>
      <c r="AC116" s="79">
        <v>7.4161000000000005E-2</v>
      </c>
      <c r="AD116" s="73">
        <v>1.1169</v>
      </c>
      <c r="AE116" s="73">
        <v>1.0961000000000001</v>
      </c>
      <c r="AF116" s="73">
        <v>1.2190000000000001</v>
      </c>
      <c r="AG116" s="79">
        <v>0.17799999999999999</v>
      </c>
      <c r="AH116" s="79">
        <v>0.15006</v>
      </c>
      <c r="AI116" s="112">
        <v>1.0808000000000002</v>
      </c>
      <c r="AJ116" s="19">
        <v>1144</v>
      </c>
      <c r="AL116" s="271">
        <v>614</v>
      </c>
      <c r="AM116" s="37">
        <v>8.3786400000000011E-2</v>
      </c>
      <c r="AN116" s="73" t="s">
        <v>262</v>
      </c>
      <c r="AO116" s="112">
        <v>0.17482517482517482</v>
      </c>
      <c r="AP116" s="77">
        <v>0</v>
      </c>
      <c r="AQ116" s="77">
        <v>0</v>
      </c>
      <c r="AR116" s="77">
        <v>3.8399999999999997E-2</v>
      </c>
      <c r="AS116" s="114">
        <v>5.1200000000000002E-2</v>
      </c>
      <c r="AT116" s="37" t="s">
        <v>262</v>
      </c>
      <c r="AU116" s="37" t="s">
        <v>262</v>
      </c>
      <c r="AV116" s="37">
        <v>0.26880190999999998</v>
      </c>
      <c r="AW116" s="114" t="s">
        <v>262</v>
      </c>
      <c r="AX116" s="37"/>
      <c r="AY116" s="271">
        <v>614</v>
      </c>
      <c r="AZ116" s="37" t="s">
        <v>262</v>
      </c>
      <c r="BA116" s="37" t="s">
        <v>262</v>
      </c>
      <c r="BB116" s="77" t="s">
        <v>262</v>
      </c>
      <c r="BC116" s="37">
        <v>8.6105000000000001E-3</v>
      </c>
      <c r="BD116" s="37">
        <v>1.088401E-2</v>
      </c>
      <c r="BE116" s="114">
        <v>1.6261299999999999E-2</v>
      </c>
      <c r="BF116" s="77" t="s">
        <v>262</v>
      </c>
      <c r="BG116" s="77" t="s">
        <v>262</v>
      </c>
      <c r="BH116" s="77">
        <v>1.95006E-2</v>
      </c>
      <c r="BI116" s="76">
        <v>3.12833E-2</v>
      </c>
    </row>
    <row r="117" spans="1:61" ht="12.75" customHeight="1">
      <c r="A117" s="274"/>
      <c r="B117" s="16" t="s">
        <v>241</v>
      </c>
      <c r="C117" s="6">
        <v>615</v>
      </c>
      <c r="D117" s="6" t="s">
        <v>214</v>
      </c>
      <c r="E117" s="6">
        <v>-45</v>
      </c>
      <c r="F117" s="73">
        <v>0</v>
      </c>
      <c r="G117" s="72" t="s">
        <v>248</v>
      </c>
      <c r="H117" s="6" t="s">
        <v>16</v>
      </c>
      <c r="I117" s="104">
        <v>0.55000000000000004</v>
      </c>
      <c r="J117" s="107">
        <v>0.12</v>
      </c>
      <c r="K117" s="79">
        <v>1.9287180032326616</v>
      </c>
      <c r="L117" s="108">
        <v>1119.9148845915752</v>
      </c>
      <c r="M117" s="26"/>
      <c r="N117" s="271">
        <v>615</v>
      </c>
      <c r="O117" s="79">
        <v>0.11242000000000001</v>
      </c>
      <c r="P117" s="73">
        <v>1.6583000000000001</v>
      </c>
      <c r="Q117" s="73">
        <v>1.5788</v>
      </c>
      <c r="R117" s="73">
        <v>1.8286</v>
      </c>
      <c r="S117" s="79">
        <v>0.217</v>
      </c>
      <c r="T117" s="79">
        <v>0.26646000000000003</v>
      </c>
      <c r="U117" s="112">
        <v>1.5931999999999999</v>
      </c>
      <c r="V117" s="79">
        <v>0.11854000000000001</v>
      </c>
      <c r="W117" s="73">
        <v>1.6865000000000001</v>
      </c>
      <c r="X117" s="73">
        <v>1.6164000000000001</v>
      </c>
      <c r="Y117" s="73">
        <v>1.9692000000000001</v>
      </c>
      <c r="Z117" s="79">
        <v>0.186</v>
      </c>
      <c r="AA117" s="79">
        <v>0.22261999999999998</v>
      </c>
      <c r="AB117" s="112">
        <v>1.6468</v>
      </c>
      <c r="AC117" s="79">
        <v>0.13314999999999999</v>
      </c>
      <c r="AD117" s="73">
        <v>1.7407999999999999</v>
      </c>
      <c r="AE117" s="73">
        <v>1.6671</v>
      </c>
      <c r="AF117" s="73">
        <v>1.9692000000000001</v>
      </c>
      <c r="AG117" s="79">
        <v>0.219</v>
      </c>
      <c r="AH117" s="79">
        <v>0.27007999999999999</v>
      </c>
      <c r="AI117" s="112">
        <v>1.6778</v>
      </c>
      <c r="AJ117" s="19">
        <v>1280</v>
      </c>
      <c r="AL117" s="271">
        <v>615</v>
      </c>
      <c r="AM117" s="37">
        <v>0.1401625</v>
      </c>
      <c r="AN117" s="73" t="s">
        <v>262</v>
      </c>
      <c r="AO117" s="112">
        <v>46.796875</v>
      </c>
      <c r="AP117" s="77">
        <v>3.3300000000000003E-2</v>
      </c>
      <c r="AQ117" s="77">
        <v>0</v>
      </c>
      <c r="AR117" s="77">
        <v>1.5331999999999999</v>
      </c>
      <c r="AS117" s="114">
        <v>1.3436999999999999</v>
      </c>
      <c r="AT117" s="37">
        <v>0.18069764160000004</v>
      </c>
      <c r="AU117" s="37" t="s">
        <v>262</v>
      </c>
      <c r="AV117" s="37">
        <v>1.03030953</v>
      </c>
      <c r="AW117" s="114">
        <v>0.57658737500000001</v>
      </c>
      <c r="AX117" s="37"/>
      <c r="AY117" s="271">
        <v>615</v>
      </c>
      <c r="AZ117" s="37">
        <v>6.3956100000000004E-3</v>
      </c>
      <c r="BA117" s="37" t="s">
        <v>262</v>
      </c>
      <c r="BB117" s="77">
        <v>1.5775299999999999E-2</v>
      </c>
      <c r="BC117" s="37">
        <v>1.93382E-2</v>
      </c>
      <c r="BD117" s="37">
        <v>2.9890100000000003E-2</v>
      </c>
      <c r="BE117" s="114">
        <v>3.5086700000000005E-2</v>
      </c>
      <c r="BF117" s="77">
        <v>1.0372404999999999E-2</v>
      </c>
      <c r="BG117" s="77">
        <v>3.330698E-3</v>
      </c>
      <c r="BH117" s="77">
        <v>1.6500600000000001E-2</v>
      </c>
      <c r="BI117" s="76">
        <v>3.1306500000000001E-2</v>
      </c>
    </row>
    <row r="118" spans="1:61" ht="12.75" customHeight="1">
      <c r="A118" s="274"/>
      <c r="B118" s="16" t="s">
        <v>241</v>
      </c>
      <c r="C118" s="6">
        <v>616</v>
      </c>
      <c r="D118" s="6" t="s">
        <v>215</v>
      </c>
      <c r="E118" s="6">
        <v>-45</v>
      </c>
      <c r="F118" s="73">
        <v>0</v>
      </c>
      <c r="G118" s="72" t="s">
        <v>248</v>
      </c>
      <c r="H118" s="6" t="s">
        <v>17</v>
      </c>
      <c r="I118" s="104">
        <v>0.55000000000000004</v>
      </c>
      <c r="J118" s="107">
        <v>0.12</v>
      </c>
      <c r="K118" s="79">
        <v>1.3638095790823928</v>
      </c>
      <c r="L118" s="108">
        <v>1103.8597825859642</v>
      </c>
      <c r="M118" s="26"/>
      <c r="N118" s="271">
        <v>616</v>
      </c>
      <c r="O118" s="79">
        <v>0.10442</v>
      </c>
      <c r="P118" s="73">
        <v>1.2518</v>
      </c>
      <c r="Q118" s="73">
        <v>1.2223999999999999</v>
      </c>
      <c r="R118" s="73">
        <v>1.3473999999999999</v>
      </c>
      <c r="S118" s="79">
        <v>0.16700000000000001</v>
      </c>
      <c r="T118" s="79">
        <v>0.23606000000000002</v>
      </c>
      <c r="U118" s="112">
        <v>1.2221999999999997</v>
      </c>
      <c r="V118" s="79">
        <v>0.10607</v>
      </c>
      <c r="W118" s="73">
        <v>1.2825</v>
      </c>
      <c r="X118" s="73">
        <v>1.2518</v>
      </c>
      <c r="Y118" s="73">
        <v>1.3473999999999999</v>
      </c>
      <c r="Z118" s="79">
        <v>0.14000000000000001</v>
      </c>
      <c r="AA118" s="79">
        <v>0.23734000000000002</v>
      </c>
      <c r="AB118" s="112">
        <v>1.2697999999999998</v>
      </c>
      <c r="AC118" s="79">
        <v>0.10150000000000001</v>
      </c>
      <c r="AD118" s="73">
        <v>1.2538</v>
      </c>
      <c r="AE118" s="73">
        <v>1.2191000000000001</v>
      </c>
      <c r="AF118" s="73">
        <v>1.3473999999999999</v>
      </c>
      <c r="AG118" s="79">
        <v>0.20300000000000001</v>
      </c>
      <c r="AH118" s="79">
        <v>0.21431999999999998</v>
      </c>
      <c r="AI118" s="112">
        <v>1.2101999999999999</v>
      </c>
      <c r="AJ118" s="19">
        <v>1162</v>
      </c>
      <c r="AL118" s="271">
        <v>616</v>
      </c>
      <c r="AM118" s="77">
        <v>0.10999759999999999</v>
      </c>
      <c r="AN118" s="73" t="s">
        <v>262</v>
      </c>
      <c r="AO118" s="112">
        <v>8.6919104991394143</v>
      </c>
      <c r="AP118" s="77">
        <v>0</v>
      </c>
      <c r="AQ118" s="77">
        <v>0</v>
      </c>
      <c r="AR118" s="77">
        <v>0.2984</v>
      </c>
      <c r="AS118" s="76">
        <v>0.3291</v>
      </c>
      <c r="AT118" s="77" t="s">
        <v>262</v>
      </c>
      <c r="AU118" s="77" t="s">
        <v>262</v>
      </c>
      <c r="AV118" s="77">
        <v>0.69750962399999994</v>
      </c>
      <c r="AW118" s="76">
        <v>0.25912705000000003</v>
      </c>
      <c r="AX118" s="77"/>
      <c r="AY118" s="271">
        <v>616</v>
      </c>
      <c r="AZ118" s="77" t="s">
        <v>262</v>
      </c>
      <c r="BA118" s="77" t="s">
        <v>262</v>
      </c>
      <c r="BB118" s="77" t="s">
        <v>262</v>
      </c>
      <c r="BC118" s="77">
        <v>1.3423689999999999E-2</v>
      </c>
      <c r="BD118" s="77">
        <v>1.9177E-2</v>
      </c>
      <c r="BE118" s="76">
        <v>2.4420000000000001E-2</v>
      </c>
      <c r="BF118" s="77" t="s">
        <v>262</v>
      </c>
      <c r="BG118" s="77" t="s">
        <v>262</v>
      </c>
      <c r="BH118" s="77">
        <v>2.0500600000000001E-2</v>
      </c>
      <c r="BI118" s="76">
        <v>3.7283299999999998E-2</v>
      </c>
    </row>
    <row r="119" spans="1:61" ht="12" customHeight="1">
      <c r="A119" s="274"/>
      <c r="B119" s="16" t="s">
        <v>241</v>
      </c>
      <c r="C119" s="6">
        <v>617</v>
      </c>
      <c r="D119" s="17" t="s">
        <v>216</v>
      </c>
      <c r="E119" s="6">
        <v>-45</v>
      </c>
      <c r="F119" s="73">
        <v>0</v>
      </c>
      <c r="G119" s="72" t="s">
        <v>248</v>
      </c>
      <c r="H119" s="6" t="s">
        <v>18</v>
      </c>
      <c r="I119" s="104">
        <v>0.55000000000000004</v>
      </c>
      <c r="J119" s="107">
        <v>0.15</v>
      </c>
      <c r="K119" s="79">
        <v>2.1563722823279452</v>
      </c>
      <c r="L119" s="108">
        <v>1092.7443538737139</v>
      </c>
      <c r="M119" s="26"/>
      <c r="N119" s="271">
        <v>617</v>
      </c>
      <c r="O119" s="79">
        <v>0.14065</v>
      </c>
      <c r="P119" s="73">
        <v>1.7991999999999999</v>
      </c>
      <c r="Q119" s="73">
        <v>1.6865000000000001</v>
      </c>
      <c r="R119" s="73">
        <v>2.1333000000000002</v>
      </c>
      <c r="S119" s="79">
        <v>0.20499999999999999</v>
      </c>
      <c r="T119" s="79">
        <v>0.33113999999999999</v>
      </c>
      <c r="U119" s="112">
        <v>1.7609999999999999</v>
      </c>
      <c r="V119" s="79">
        <v>0.14710000000000001</v>
      </c>
      <c r="W119" s="73">
        <v>1.7741</v>
      </c>
      <c r="X119" s="73">
        <v>1.6767000000000001</v>
      </c>
      <c r="Y119" s="73">
        <v>2.1333000000000002</v>
      </c>
      <c r="Z119" s="79">
        <v>0.188</v>
      </c>
      <c r="AA119" s="79">
        <v>0.28864000000000001</v>
      </c>
      <c r="AB119" s="112">
        <v>1.8264</v>
      </c>
      <c r="AC119" s="79">
        <v>0.16195999999999999</v>
      </c>
      <c r="AD119" s="73">
        <v>1.8270999999999999</v>
      </c>
      <c r="AE119" s="73">
        <v>1.726</v>
      </c>
      <c r="AF119" s="73">
        <v>2.1333000000000002</v>
      </c>
      <c r="AG119" s="79">
        <v>0.22800000000000001</v>
      </c>
      <c r="AH119" s="79">
        <v>0.31131999999999999</v>
      </c>
      <c r="AI119" s="112">
        <v>1.8148</v>
      </c>
      <c r="AJ119" s="19">
        <v>1267</v>
      </c>
      <c r="AL119" s="271">
        <v>617</v>
      </c>
      <c r="AM119" s="37">
        <v>0.174932</v>
      </c>
      <c r="AN119" s="73">
        <v>7.8926598263614839E-2</v>
      </c>
      <c r="AO119" s="112">
        <v>46.566692975532753</v>
      </c>
      <c r="AP119" s="77">
        <v>0.1341</v>
      </c>
      <c r="AQ119" s="77">
        <v>6.9500000000000006E-2</v>
      </c>
      <c r="AR119" s="77">
        <v>2.9336000000000002</v>
      </c>
      <c r="AS119" s="114">
        <v>2.5135000000000001</v>
      </c>
      <c r="AT119" s="37">
        <v>0.69212354399999998</v>
      </c>
      <c r="AU119" s="37">
        <v>0.32732482200000002</v>
      </c>
      <c r="AV119" s="37">
        <v>1.2439287759999997</v>
      </c>
      <c r="AW119" s="114">
        <v>0.73293674999999991</v>
      </c>
      <c r="AX119" s="37"/>
      <c r="AY119" s="271">
        <v>617</v>
      </c>
      <c r="AZ119" s="37">
        <v>1.6173380000000001E-2</v>
      </c>
      <c r="BA119" s="37">
        <v>2.9499399999999999E-3</v>
      </c>
      <c r="BB119" s="77">
        <v>2.54506E-2</v>
      </c>
      <c r="BC119" s="37">
        <v>2.6129399999999997E-2</v>
      </c>
      <c r="BD119" s="37">
        <v>4.1621499999999999E-2</v>
      </c>
      <c r="BE119" s="114">
        <v>4.7384600000000006E-2</v>
      </c>
      <c r="BF119" s="84">
        <v>1.0372404999999999E-2</v>
      </c>
      <c r="BG119" s="77">
        <v>6.3306980000000001E-3</v>
      </c>
      <c r="BH119" s="77">
        <v>2.35006E-2</v>
      </c>
      <c r="BI119" s="76">
        <v>3.6794899999999998E-2</v>
      </c>
    </row>
    <row r="120" spans="1:61" ht="12.75" customHeight="1">
      <c r="A120" s="274"/>
      <c r="B120" s="115" t="s">
        <v>241</v>
      </c>
      <c r="C120" s="116">
        <v>618</v>
      </c>
      <c r="D120" s="147" t="s">
        <v>217</v>
      </c>
      <c r="E120" s="116">
        <v>-45</v>
      </c>
      <c r="F120" s="118">
        <v>0</v>
      </c>
      <c r="G120" s="117" t="s">
        <v>248</v>
      </c>
      <c r="H120" s="116" t="s">
        <v>19</v>
      </c>
      <c r="I120" s="120">
        <v>0.55000000000000004</v>
      </c>
      <c r="J120" s="121">
        <v>0.15</v>
      </c>
      <c r="K120" s="122">
        <v>1.5247854635968026</v>
      </c>
      <c r="L120" s="123">
        <v>1116.1033617173778</v>
      </c>
      <c r="M120" s="26"/>
      <c r="N120" s="278">
        <v>618</v>
      </c>
      <c r="O120" s="122">
        <v>0.12839999999999999</v>
      </c>
      <c r="P120" s="118">
        <v>1.3424</v>
      </c>
      <c r="Q120" s="118">
        <v>1.296</v>
      </c>
      <c r="R120" s="118">
        <v>1.5059</v>
      </c>
      <c r="S120" s="122">
        <v>0.184</v>
      </c>
      <c r="T120" s="122">
        <v>0.28142</v>
      </c>
      <c r="U120" s="124">
        <v>1.3193999999999999</v>
      </c>
      <c r="V120" s="122">
        <v>0.13796</v>
      </c>
      <c r="W120" s="118">
        <v>1.3959999999999999</v>
      </c>
      <c r="X120" s="118">
        <v>1.3517999999999999</v>
      </c>
      <c r="Y120" s="118">
        <v>1.6</v>
      </c>
      <c r="Z120" s="122">
        <v>0.14799999999999999</v>
      </c>
      <c r="AA120" s="122">
        <v>0.23383999999999999</v>
      </c>
      <c r="AB120" s="124">
        <v>1.3862000000000001</v>
      </c>
      <c r="AC120" s="122">
        <v>0.13444</v>
      </c>
      <c r="AD120" s="118">
        <v>1.4003000000000001</v>
      </c>
      <c r="AE120" s="118">
        <v>1.3471</v>
      </c>
      <c r="AF120" s="118">
        <v>1.6</v>
      </c>
      <c r="AG120" s="122">
        <v>0.184</v>
      </c>
      <c r="AH120" s="122">
        <v>0.25512000000000001</v>
      </c>
      <c r="AI120" s="124">
        <v>1.3652000000000002</v>
      </c>
      <c r="AJ120" s="125">
        <v>1204</v>
      </c>
      <c r="AL120" s="278">
        <v>618</v>
      </c>
      <c r="AM120" s="128">
        <v>0.13695120000000002</v>
      </c>
      <c r="AN120" s="118" t="s">
        <v>262</v>
      </c>
      <c r="AO120" s="124">
        <v>272.25913621262458</v>
      </c>
      <c r="AP120" s="126">
        <v>0</v>
      </c>
      <c r="AQ120" s="126">
        <v>0</v>
      </c>
      <c r="AR120" s="126">
        <v>0.87409999999999999</v>
      </c>
      <c r="AS120" s="129">
        <v>0.86109999999999998</v>
      </c>
      <c r="AT120" s="128" t="s">
        <v>262</v>
      </c>
      <c r="AU120" s="128" t="s">
        <v>262</v>
      </c>
      <c r="AV120" s="128">
        <v>1.072283278</v>
      </c>
      <c r="AW120" s="129" t="s">
        <v>262</v>
      </c>
      <c r="AX120" s="37"/>
      <c r="AY120" s="278">
        <v>618</v>
      </c>
      <c r="AZ120" s="128" t="s">
        <v>262</v>
      </c>
      <c r="BA120" s="128">
        <v>99.006894990000006</v>
      </c>
      <c r="BB120" s="126">
        <v>9.8949899999999993E-3</v>
      </c>
      <c r="BC120" s="128">
        <v>1.74139E-2</v>
      </c>
      <c r="BD120" s="128">
        <v>2.75409E-2</v>
      </c>
      <c r="BE120" s="129">
        <v>3.3282100000000002E-2</v>
      </c>
      <c r="BF120" s="146">
        <v>6.3724050000000003E-3</v>
      </c>
      <c r="BG120" s="126" t="s">
        <v>262</v>
      </c>
      <c r="BH120" s="126">
        <v>2.35006E-2</v>
      </c>
      <c r="BI120" s="127">
        <v>3.7283299999999998E-2</v>
      </c>
    </row>
    <row r="121" spans="1:61">
      <c r="A121" s="274"/>
      <c r="B121" s="16" t="s">
        <v>242</v>
      </c>
      <c r="C121" s="6">
        <v>607</v>
      </c>
      <c r="D121" s="17" t="s">
        <v>86</v>
      </c>
      <c r="E121" s="6">
        <v>-30</v>
      </c>
      <c r="F121" s="73">
        <v>0.15</v>
      </c>
      <c r="G121" s="72" t="s">
        <v>248</v>
      </c>
      <c r="H121" s="6" t="s">
        <v>14</v>
      </c>
      <c r="I121" s="104">
        <v>0.55000000000000004</v>
      </c>
      <c r="J121" s="107">
        <v>0.09</v>
      </c>
      <c r="K121" s="79">
        <v>1.6703187875358823</v>
      </c>
      <c r="L121" s="108">
        <v>1097.2320292409461</v>
      </c>
      <c r="M121" s="26"/>
      <c r="N121" s="271">
        <v>607</v>
      </c>
      <c r="O121" s="79">
        <v>8.6683999999999997E-2</v>
      </c>
      <c r="P121" s="73">
        <v>1.4503999999999999</v>
      </c>
      <c r="Q121" s="73">
        <v>1.3861000000000001</v>
      </c>
      <c r="R121" s="73">
        <v>1.6</v>
      </c>
      <c r="S121" s="79">
        <v>0.26400000000000001</v>
      </c>
      <c r="T121" s="79">
        <v>0.17815999999999999</v>
      </c>
      <c r="U121" s="112">
        <v>1.3355999999999999</v>
      </c>
      <c r="V121" s="79">
        <v>8.3767999999999995E-2</v>
      </c>
      <c r="W121" s="73">
        <v>1.4467000000000001</v>
      </c>
      <c r="X121" s="73">
        <v>1.3823000000000001</v>
      </c>
      <c r="Y121" s="73">
        <v>1.7067000000000001</v>
      </c>
      <c r="Z121" s="79">
        <v>0.23100000000000001</v>
      </c>
      <c r="AA121" s="79">
        <v>0.16321999999999998</v>
      </c>
      <c r="AB121" s="112">
        <v>1.3584000000000001</v>
      </c>
      <c r="AC121" s="79">
        <v>8.8616E-2</v>
      </c>
      <c r="AD121" s="73">
        <v>1.4419999999999999</v>
      </c>
      <c r="AE121" s="73">
        <v>1.3722000000000001</v>
      </c>
      <c r="AF121" s="73">
        <v>1.7067000000000001</v>
      </c>
      <c r="AG121" s="79">
        <v>0.25</v>
      </c>
      <c r="AH121" s="79">
        <v>0.17121999999999998</v>
      </c>
      <c r="AI121" s="112">
        <v>1.3222</v>
      </c>
      <c r="AJ121" s="19">
        <v>1272</v>
      </c>
      <c r="AL121" s="271">
        <v>607</v>
      </c>
      <c r="AM121" s="37">
        <v>9.3176722899999981E-2</v>
      </c>
      <c r="AN121" s="73" t="s">
        <v>262</v>
      </c>
      <c r="AO121" s="112">
        <v>0.94339622641509435</v>
      </c>
      <c r="AP121" s="77">
        <v>0</v>
      </c>
      <c r="AQ121" s="77">
        <v>0</v>
      </c>
      <c r="AR121" s="77">
        <v>0.66039999999999999</v>
      </c>
      <c r="AS121" s="76">
        <v>1.2491000000000001</v>
      </c>
      <c r="AT121" s="77" t="s">
        <v>262</v>
      </c>
      <c r="AU121" s="77" t="s">
        <v>262</v>
      </c>
      <c r="AV121" s="77">
        <v>0.85798809599999992</v>
      </c>
      <c r="AW121" s="76" t="s">
        <v>262</v>
      </c>
      <c r="AX121" s="77"/>
      <c r="AY121" s="271">
        <v>607</v>
      </c>
      <c r="AZ121" s="77">
        <v>1.1970699999999999E-3</v>
      </c>
      <c r="BA121" s="77" t="s">
        <v>262</v>
      </c>
      <c r="BB121" s="77" t="s">
        <v>262</v>
      </c>
      <c r="BC121" s="77">
        <v>1.7333330000000001E-2</v>
      </c>
      <c r="BD121" s="77">
        <v>2.67253E-2</v>
      </c>
      <c r="BE121" s="76">
        <v>3.3753400000000003E-2</v>
      </c>
      <c r="BF121" s="84">
        <v>1.5372404999999999E-2</v>
      </c>
      <c r="BG121" s="77" t="s">
        <v>262</v>
      </c>
      <c r="BH121" s="77">
        <v>2.5500599999999998E-2</v>
      </c>
      <c r="BI121" s="76">
        <v>4.0794900000000002E-2</v>
      </c>
    </row>
    <row r="122" spans="1:61">
      <c r="A122" s="274"/>
      <c r="B122" s="16" t="s">
        <v>242</v>
      </c>
      <c r="C122" s="6">
        <v>608</v>
      </c>
      <c r="D122" s="17" t="s">
        <v>87</v>
      </c>
      <c r="E122" s="6">
        <v>-30</v>
      </c>
      <c r="F122" s="73">
        <v>0.15</v>
      </c>
      <c r="G122" s="72" t="s">
        <v>248</v>
      </c>
      <c r="H122" s="6" t="s">
        <v>15</v>
      </c>
      <c r="I122" s="104">
        <v>0.55000000000000004</v>
      </c>
      <c r="J122" s="107">
        <v>0.09</v>
      </c>
      <c r="K122" s="79">
        <v>1.1810937414099143</v>
      </c>
      <c r="L122" s="108">
        <v>1108.3717263019273</v>
      </c>
      <c r="M122" s="26"/>
      <c r="N122" s="271">
        <v>608</v>
      </c>
      <c r="O122" s="79">
        <v>8.0809000000000006E-2</v>
      </c>
      <c r="P122" s="73">
        <v>1.1111</v>
      </c>
      <c r="Q122" s="73">
        <v>1.0872999999999999</v>
      </c>
      <c r="R122" s="73">
        <v>1.1636</v>
      </c>
      <c r="S122" s="79">
        <v>0.192</v>
      </c>
      <c r="T122" s="79">
        <v>0.16586000000000004</v>
      </c>
      <c r="U122" s="112">
        <v>1.0744</v>
      </c>
      <c r="V122" s="79">
        <v>7.5854000000000005E-2</v>
      </c>
      <c r="W122" s="73">
        <v>1.0959000000000001</v>
      </c>
      <c r="X122" s="73">
        <v>1.0696000000000001</v>
      </c>
      <c r="Y122" s="73">
        <v>1.1636</v>
      </c>
      <c r="Z122" s="79">
        <v>0.16500000000000001</v>
      </c>
      <c r="AA122" s="79">
        <v>0.16771999999999998</v>
      </c>
      <c r="AB122" s="112">
        <v>1.0691999999999999</v>
      </c>
      <c r="AC122" s="79">
        <v>8.3412E-2</v>
      </c>
      <c r="AD122" s="73">
        <v>1.1113999999999999</v>
      </c>
      <c r="AE122" s="73">
        <v>1.0839000000000001</v>
      </c>
      <c r="AF122" s="73">
        <v>1.2190000000000001</v>
      </c>
      <c r="AG122" s="79">
        <v>0.183</v>
      </c>
      <c r="AH122" s="79">
        <v>0.17934</v>
      </c>
      <c r="AI122" s="112">
        <v>1.0691999999999999</v>
      </c>
      <c r="AJ122" s="19">
        <v>1153</v>
      </c>
      <c r="AL122" s="271">
        <v>608</v>
      </c>
      <c r="AM122" s="37">
        <v>4.4024047199999958E-2</v>
      </c>
      <c r="AN122" s="73" t="s">
        <v>262</v>
      </c>
      <c r="AO122" s="112">
        <v>8.6730268863833476E-2</v>
      </c>
      <c r="AP122" s="77">
        <v>0</v>
      </c>
      <c r="AQ122" s="77">
        <v>0</v>
      </c>
      <c r="AR122" s="77">
        <v>8.5000000000000006E-2</v>
      </c>
      <c r="AS122" s="114">
        <v>0.1812</v>
      </c>
      <c r="AT122" s="37" t="s">
        <v>262</v>
      </c>
      <c r="AU122" s="37" t="s">
        <v>262</v>
      </c>
      <c r="AV122" s="37">
        <v>0.41094092399999993</v>
      </c>
      <c r="AW122" s="114" t="s">
        <v>262</v>
      </c>
      <c r="AX122" s="37"/>
      <c r="AY122" s="271">
        <v>608</v>
      </c>
      <c r="AZ122" s="37" t="s">
        <v>262</v>
      </c>
      <c r="BA122" s="37" t="s">
        <v>262</v>
      </c>
      <c r="BB122" s="77" t="s">
        <v>262</v>
      </c>
      <c r="BC122" s="37">
        <v>1.096948E-2</v>
      </c>
      <c r="BD122" s="37">
        <v>1.259096E-2</v>
      </c>
      <c r="BE122" s="114">
        <v>1.9951160000000003E-2</v>
      </c>
      <c r="BF122" s="84" t="s">
        <v>262</v>
      </c>
      <c r="BG122" s="77" t="s">
        <v>262</v>
      </c>
      <c r="BH122" s="77">
        <v>2.0500600000000001E-2</v>
      </c>
      <c r="BI122" s="76">
        <v>3.6283299999999997E-2</v>
      </c>
    </row>
    <row r="123" spans="1:61">
      <c r="A123" s="274"/>
      <c r="B123" s="16" t="s">
        <v>242</v>
      </c>
      <c r="C123" s="6">
        <v>609</v>
      </c>
      <c r="D123" s="17" t="s">
        <v>88</v>
      </c>
      <c r="E123" s="6">
        <v>-30</v>
      </c>
      <c r="F123" s="73">
        <v>0.15</v>
      </c>
      <c r="G123" s="72" t="s">
        <v>248</v>
      </c>
      <c r="H123" s="6" t="s">
        <v>16</v>
      </c>
      <c r="I123" s="104">
        <v>0.55000000000000004</v>
      </c>
      <c r="J123" s="107">
        <v>0.12</v>
      </c>
      <c r="K123" s="79">
        <v>1.9287180032326616</v>
      </c>
      <c r="L123" s="108">
        <v>1119.9148845915752</v>
      </c>
      <c r="M123" s="26"/>
      <c r="N123" s="271">
        <v>609</v>
      </c>
      <c r="O123" s="79">
        <v>0.11809</v>
      </c>
      <c r="P123" s="73">
        <v>1.6428</v>
      </c>
      <c r="Q123" s="73">
        <v>1.548</v>
      </c>
      <c r="R123" s="73">
        <v>1.9692000000000001</v>
      </c>
      <c r="S123" s="79">
        <v>0.245</v>
      </c>
      <c r="T123" s="79">
        <v>0.26062000000000002</v>
      </c>
      <c r="U123" s="112">
        <v>1.5289999999999999</v>
      </c>
      <c r="V123" s="79">
        <v>0.10797</v>
      </c>
      <c r="W123" s="73">
        <v>1.6156999999999999</v>
      </c>
      <c r="X123" s="73">
        <v>1.5269999999999999</v>
      </c>
      <c r="Y123" s="73">
        <v>1.8286</v>
      </c>
      <c r="Z123" s="79">
        <v>0.27400000000000002</v>
      </c>
      <c r="AA123" s="79">
        <v>0.21236000000000002</v>
      </c>
      <c r="AB123" s="112">
        <v>1.5025999999999999</v>
      </c>
      <c r="AC123" s="79">
        <v>0.12126000000000001</v>
      </c>
      <c r="AD123" s="73">
        <v>1.6408</v>
      </c>
      <c r="AE123" s="73">
        <v>1.546</v>
      </c>
      <c r="AF123" s="73">
        <v>1.9692000000000001</v>
      </c>
      <c r="AG123" s="79">
        <v>0.26500000000000001</v>
      </c>
      <c r="AH123" s="79">
        <v>0.23081999999999997</v>
      </c>
      <c r="AI123" s="112">
        <v>1.4923999999999999</v>
      </c>
      <c r="AJ123" s="19">
        <v>1347</v>
      </c>
      <c r="AL123" s="271">
        <v>609</v>
      </c>
      <c r="AM123" s="37">
        <v>0.12525766599999996</v>
      </c>
      <c r="AN123" s="73">
        <v>0.14847809948032664</v>
      </c>
      <c r="AO123" s="112">
        <v>12.100965107646623</v>
      </c>
      <c r="AP123" s="77">
        <v>5.8299999999999998E-2</v>
      </c>
      <c r="AQ123" s="77">
        <v>3.04E-2</v>
      </c>
      <c r="AR123" s="77">
        <v>2.9695</v>
      </c>
      <c r="AS123" s="114">
        <v>3.6044</v>
      </c>
      <c r="AT123" s="37" t="s">
        <v>262</v>
      </c>
      <c r="AU123" s="37" t="s">
        <v>262</v>
      </c>
      <c r="AV123" s="37">
        <v>1.2396971349999999</v>
      </c>
      <c r="AW123" s="114" t="s">
        <v>262</v>
      </c>
      <c r="AX123" s="37"/>
      <c r="AY123" s="271">
        <v>609</v>
      </c>
      <c r="AZ123" s="37">
        <v>1.0852259999999999E-2</v>
      </c>
      <c r="BA123" s="37">
        <v>6.4371200000000002E-3</v>
      </c>
      <c r="BB123" s="77">
        <v>1.8547000000000001E-2</v>
      </c>
      <c r="BC123" s="37">
        <v>2.4644699999999999E-2</v>
      </c>
      <c r="BD123" s="37">
        <v>3.8937700000000006E-2</v>
      </c>
      <c r="BE123" s="114">
        <v>4.6954800000000005E-2</v>
      </c>
      <c r="BF123" s="77">
        <v>2.0372405E-2</v>
      </c>
      <c r="BG123" s="77" t="s">
        <v>262</v>
      </c>
      <c r="BH123" s="77">
        <v>3.1500599999999997E-2</v>
      </c>
      <c r="BI123" s="76">
        <v>5.1306500000000005E-2</v>
      </c>
    </row>
    <row r="124" spans="1:61">
      <c r="A124" s="274"/>
      <c r="B124" s="16" t="s">
        <v>242</v>
      </c>
      <c r="C124" s="6">
        <v>610</v>
      </c>
      <c r="D124" s="17" t="s">
        <v>89</v>
      </c>
      <c r="E124" s="6">
        <v>-30</v>
      </c>
      <c r="F124" s="73">
        <v>0.15</v>
      </c>
      <c r="G124" s="72" t="s">
        <v>248</v>
      </c>
      <c r="H124" s="6" t="s">
        <v>17</v>
      </c>
      <c r="I124" s="104">
        <v>0.55000000000000004</v>
      </c>
      <c r="J124" s="107">
        <v>0.12</v>
      </c>
      <c r="K124" s="79">
        <v>1.3638095790823928</v>
      </c>
      <c r="L124" s="108">
        <v>1103.8597825859642</v>
      </c>
      <c r="M124" s="26"/>
      <c r="N124" s="271">
        <v>610</v>
      </c>
      <c r="O124" s="79">
        <v>0.11026</v>
      </c>
      <c r="P124" s="73">
        <v>1.2411000000000001</v>
      </c>
      <c r="Q124" s="73">
        <v>1.2050000000000001</v>
      </c>
      <c r="R124" s="73">
        <v>1.4221999999999999</v>
      </c>
      <c r="S124" s="79">
        <v>0.20799999999999999</v>
      </c>
      <c r="T124" s="79">
        <v>0.21256</v>
      </c>
      <c r="U124" s="112">
        <v>1.2067999999999999</v>
      </c>
      <c r="V124" s="79">
        <v>0.10682</v>
      </c>
      <c r="W124" s="73">
        <v>1.2392000000000001</v>
      </c>
      <c r="X124" s="73">
        <v>1.2012</v>
      </c>
      <c r="Y124" s="73">
        <v>1.3473999999999999</v>
      </c>
      <c r="Z124" s="79">
        <v>0.16300000000000001</v>
      </c>
      <c r="AA124" s="79">
        <v>0.21196000000000001</v>
      </c>
      <c r="AB124" s="112">
        <v>1.2142000000000002</v>
      </c>
      <c r="AC124" s="79">
        <v>0.11890000000000001</v>
      </c>
      <c r="AD124" s="73">
        <v>1.2511000000000001</v>
      </c>
      <c r="AE124" s="73">
        <v>1.2141</v>
      </c>
      <c r="AF124" s="73">
        <v>1.3473999999999999</v>
      </c>
      <c r="AG124" s="79">
        <v>0.189</v>
      </c>
      <c r="AH124" s="79">
        <v>0.23944000000000001</v>
      </c>
      <c r="AI124" s="112">
        <v>1.2142000000000002</v>
      </c>
      <c r="AJ124" s="19">
        <v>1164</v>
      </c>
      <c r="AL124" s="271">
        <v>610</v>
      </c>
      <c r="AM124" s="37">
        <v>8.2895661299999951E-2</v>
      </c>
      <c r="AN124" s="73" t="s">
        <v>262</v>
      </c>
      <c r="AO124" s="112">
        <v>0.42955326460481102</v>
      </c>
      <c r="AP124" s="77">
        <v>0</v>
      </c>
      <c r="AQ124" s="77">
        <v>0</v>
      </c>
      <c r="AR124" s="77">
        <v>0.58689999999999998</v>
      </c>
      <c r="AS124" s="114">
        <v>0.80640000000000001</v>
      </c>
      <c r="AT124" s="37" t="s">
        <v>262</v>
      </c>
      <c r="AU124" s="37" t="s">
        <v>262</v>
      </c>
      <c r="AV124" s="37">
        <v>0.81557545899999995</v>
      </c>
      <c r="AW124" s="114" t="s">
        <v>262</v>
      </c>
      <c r="AX124" s="37"/>
      <c r="AY124" s="271">
        <v>610</v>
      </c>
      <c r="AZ124" s="37" t="s">
        <v>262</v>
      </c>
      <c r="BA124" s="37" t="s">
        <v>262</v>
      </c>
      <c r="BB124" s="77" t="s">
        <v>262</v>
      </c>
      <c r="BC124" s="37">
        <v>1.7286940000000001E-2</v>
      </c>
      <c r="BD124" s="37">
        <v>2.53285E-2</v>
      </c>
      <c r="BE124" s="114">
        <v>3.3367500000000001E-2</v>
      </c>
      <c r="BF124" s="77" t="s">
        <v>262</v>
      </c>
      <c r="BG124" s="77" t="s">
        <v>262</v>
      </c>
      <c r="BH124" s="77">
        <v>2.5500599999999998E-2</v>
      </c>
      <c r="BI124" s="76">
        <v>4.1283300000000002E-2</v>
      </c>
    </row>
    <row r="125" spans="1:61">
      <c r="A125" s="274"/>
      <c r="B125" s="16" t="s">
        <v>242</v>
      </c>
      <c r="C125" s="6">
        <v>611</v>
      </c>
      <c r="D125" s="17" t="s">
        <v>90</v>
      </c>
      <c r="E125" s="6">
        <v>-30</v>
      </c>
      <c r="F125" s="73">
        <v>0.15</v>
      </c>
      <c r="G125" s="72" t="s">
        <v>248</v>
      </c>
      <c r="H125" s="6" t="s">
        <v>18</v>
      </c>
      <c r="I125" s="104">
        <v>0.55000000000000004</v>
      </c>
      <c r="J125" s="107">
        <v>0.15</v>
      </c>
      <c r="K125" s="79">
        <v>2.1563722823279452</v>
      </c>
      <c r="L125" s="108">
        <v>1092.7443538737139</v>
      </c>
      <c r="M125" s="26"/>
      <c r="N125" s="271">
        <v>611</v>
      </c>
      <c r="O125" s="79">
        <v>0.15634000000000001</v>
      </c>
      <c r="P125" s="73">
        <v>1.804</v>
      </c>
      <c r="Q125" s="73">
        <v>1.6892</v>
      </c>
      <c r="R125" s="73">
        <v>2.1333000000000002</v>
      </c>
      <c r="S125" s="79">
        <v>0.23799999999999999</v>
      </c>
      <c r="T125" s="79">
        <v>0.35134000000000004</v>
      </c>
      <c r="U125" s="112">
        <v>1.7448000000000001</v>
      </c>
      <c r="V125" s="79">
        <v>0.13531000000000001</v>
      </c>
      <c r="W125" s="73">
        <v>1.7430000000000001</v>
      </c>
      <c r="X125" s="73">
        <v>1.6274999999999999</v>
      </c>
      <c r="Y125" s="73">
        <v>2.1333000000000002</v>
      </c>
      <c r="Z125" s="79">
        <v>0.27500000000000002</v>
      </c>
      <c r="AA125" s="79">
        <v>0.28876000000000002</v>
      </c>
      <c r="AB125" s="112">
        <v>1.6936</v>
      </c>
      <c r="AC125" s="79">
        <v>0.14968999999999999</v>
      </c>
      <c r="AD125" s="73">
        <v>1.7617</v>
      </c>
      <c r="AE125" s="73">
        <v>1.6477999999999999</v>
      </c>
      <c r="AF125" s="73">
        <v>2.1333000000000002</v>
      </c>
      <c r="AG125" s="79">
        <v>0.26</v>
      </c>
      <c r="AH125" s="79">
        <v>0.30408000000000002</v>
      </c>
      <c r="AI125" s="112">
        <v>1.6968000000000003</v>
      </c>
      <c r="AJ125" s="19">
        <v>1313</v>
      </c>
      <c r="AL125" s="271">
        <v>611</v>
      </c>
      <c r="AM125" s="77">
        <v>0.17001840809999996</v>
      </c>
      <c r="AN125" s="73">
        <v>0.53313023610053312</v>
      </c>
      <c r="AO125" s="112">
        <v>0</v>
      </c>
      <c r="AP125" s="77">
        <v>0.39219999999999999</v>
      </c>
      <c r="AQ125" s="77">
        <v>0.17480000000000001</v>
      </c>
      <c r="AR125" s="77">
        <v>6.4911000000000003</v>
      </c>
      <c r="AS125" s="76">
        <v>6.3955000000000002</v>
      </c>
      <c r="AT125" s="77">
        <v>0.67325176800000008</v>
      </c>
      <c r="AU125" s="77">
        <v>0.44668819799999998</v>
      </c>
      <c r="AV125" s="77">
        <v>1.591603968</v>
      </c>
      <c r="AW125" s="76">
        <v>0.93134925000000002</v>
      </c>
      <c r="AX125" s="77"/>
      <c r="AY125" s="271">
        <v>611</v>
      </c>
      <c r="AZ125" s="77">
        <v>2.2107500000000002E-2</v>
      </c>
      <c r="BA125" s="77">
        <v>1.2710620000000001E-2</v>
      </c>
      <c r="BB125" s="77">
        <v>3.0896199999999999E-2</v>
      </c>
      <c r="BC125" s="77">
        <v>3.84689E-2</v>
      </c>
      <c r="BD125" s="77">
        <v>5.74408E-2</v>
      </c>
      <c r="BE125" s="76">
        <v>7.1555599999999997E-2</v>
      </c>
      <c r="BF125" s="77">
        <v>2.0372405E-2</v>
      </c>
      <c r="BG125" s="77">
        <v>8.330698000000001E-3</v>
      </c>
      <c r="BH125" s="77">
        <v>3.8500600000000003E-2</v>
      </c>
      <c r="BI125" s="76">
        <v>5.6306499999999995E-2</v>
      </c>
    </row>
    <row r="126" spans="1:61">
      <c r="A126" s="274"/>
      <c r="B126" s="115" t="s">
        <v>242</v>
      </c>
      <c r="C126" s="116">
        <v>612</v>
      </c>
      <c r="D126" s="147" t="s">
        <v>91</v>
      </c>
      <c r="E126" s="116">
        <v>-30</v>
      </c>
      <c r="F126" s="118">
        <v>0.15</v>
      </c>
      <c r="G126" s="117" t="s">
        <v>248</v>
      </c>
      <c r="H126" s="116" t="s">
        <v>19</v>
      </c>
      <c r="I126" s="120">
        <v>0.55000000000000004</v>
      </c>
      <c r="J126" s="121">
        <v>0.15</v>
      </c>
      <c r="K126" s="122">
        <v>1.5247854635968026</v>
      </c>
      <c r="L126" s="123">
        <v>1116.1033617173778</v>
      </c>
      <c r="M126" s="26"/>
      <c r="N126" s="278">
        <v>612</v>
      </c>
      <c r="O126" s="122">
        <v>0.14265</v>
      </c>
      <c r="P126" s="118">
        <v>1.3560000000000001</v>
      </c>
      <c r="Q126" s="118">
        <v>1.3069</v>
      </c>
      <c r="R126" s="118">
        <v>1.5059</v>
      </c>
      <c r="S126" s="122">
        <v>0.19900000000000001</v>
      </c>
      <c r="T126" s="122">
        <v>0.28315999999999997</v>
      </c>
      <c r="U126" s="124">
        <v>1.3186</v>
      </c>
      <c r="V126" s="122">
        <v>0.13369</v>
      </c>
      <c r="W126" s="118">
        <v>1.3619000000000001</v>
      </c>
      <c r="X126" s="118">
        <v>1.3122</v>
      </c>
      <c r="Y126" s="118">
        <v>1.5059</v>
      </c>
      <c r="Z126" s="122">
        <v>0.17499999999999999</v>
      </c>
      <c r="AA126" s="122">
        <v>0.25368000000000002</v>
      </c>
      <c r="AB126" s="124">
        <v>1.3388000000000002</v>
      </c>
      <c r="AC126" s="122">
        <v>0.14191999999999999</v>
      </c>
      <c r="AD126" s="118">
        <v>1.3624000000000001</v>
      </c>
      <c r="AE126" s="118">
        <v>1.3129999999999999</v>
      </c>
      <c r="AF126" s="118">
        <v>1.5059</v>
      </c>
      <c r="AG126" s="122">
        <v>0.20200000000000001</v>
      </c>
      <c r="AH126" s="122">
        <v>0.2447</v>
      </c>
      <c r="AI126" s="124">
        <v>1.3208000000000002</v>
      </c>
      <c r="AJ126" s="125">
        <v>1204</v>
      </c>
      <c r="AL126" s="278">
        <v>612</v>
      </c>
      <c r="AM126" s="126">
        <v>0.11032176329999996</v>
      </c>
      <c r="AN126" s="118" t="s">
        <v>262</v>
      </c>
      <c r="AO126" s="124">
        <v>4.5681063122923593</v>
      </c>
      <c r="AP126" s="126">
        <v>0</v>
      </c>
      <c r="AQ126" s="126">
        <v>0</v>
      </c>
      <c r="AR126" s="126">
        <v>2.0335000000000001</v>
      </c>
      <c r="AS126" s="127">
        <v>2.5192000000000001</v>
      </c>
      <c r="AT126" s="126" t="s">
        <v>262</v>
      </c>
      <c r="AU126" s="126" t="s">
        <v>262</v>
      </c>
      <c r="AV126" s="126">
        <v>1.1560195440000001</v>
      </c>
      <c r="AW126" s="127">
        <v>0.65992062500000004</v>
      </c>
      <c r="AX126" s="77"/>
      <c r="AY126" s="278">
        <v>612</v>
      </c>
      <c r="AZ126" s="126">
        <v>7.3260080000000002E-3</v>
      </c>
      <c r="BA126" s="126">
        <v>4.8913310000000005E-3</v>
      </c>
      <c r="BB126" s="126">
        <v>1.3853480000000001E-2</v>
      </c>
      <c r="BC126" s="126">
        <v>2.4329700000000003E-2</v>
      </c>
      <c r="BD126" s="126">
        <v>3.8720400000000002E-2</v>
      </c>
      <c r="BE126" s="127">
        <v>4.8246600000000001E-2</v>
      </c>
      <c r="BF126" s="126">
        <v>2.0372405E-2</v>
      </c>
      <c r="BG126" s="126">
        <v>4.330698E-3</v>
      </c>
      <c r="BH126" s="126">
        <v>3.1500599999999997E-2</v>
      </c>
      <c r="BI126" s="127">
        <v>4.72833E-2</v>
      </c>
    </row>
    <row r="127" spans="1:61">
      <c r="A127" s="274"/>
      <c r="B127" s="16" t="s">
        <v>243</v>
      </c>
      <c r="C127" s="6">
        <v>601</v>
      </c>
      <c r="D127" s="17" t="s">
        <v>80</v>
      </c>
      <c r="E127" s="6">
        <v>-45</v>
      </c>
      <c r="F127" s="73">
        <v>0.15</v>
      </c>
      <c r="G127" s="72" t="s">
        <v>248</v>
      </c>
      <c r="H127" s="6" t="s">
        <v>14</v>
      </c>
      <c r="I127" s="104">
        <v>0.55000000000000004</v>
      </c>
      <c r="J127" s="107">
        <v>0.09</v>
      </c>
      <c r="K127" s="79">
        <v>1.6703187875358823</v>
      </c>
      <c r="L127" s="108">
        <v>1097.2320292409461</v>
      </c>
      <c r="M127" s="26"/>
      <c r="N127" s="271">
        <v>601</v>
      </c>
      <c r="O127" s="79">
        <v>8.3918999999999994E-2</v>
      </c>
      <c r="P127" s="73">
        <v>1.5018</v>
      </c>
      <c r="Q127" s="73">
        <v>1.4457</v>
      </c>
      <c r="R127" s="73">
        <v>1.7067000000000001</v>
      </c>
      <c r="S127" s="79">
        <v>0.27100000000000002</v>
      </c>
      <c r="T127" s="79">
        <v>0.16646</v>
      </c>
      <c r="U127" s="112">
        <v>1.4076</v>
      </c>
      <c r="V127" s="79">
        <v>8.2053000000000001E-2</v>
      </c>
      <c r="W127" s="73">
        <v>1.5278</v>
      </c>
      <c r="X127" s="73">
        <v>1.4679</v>
      </c>
      <c r="Y127" s="73">
        <v>1.7067000000000001</v>
      </c>
      <c r="Z127" s="79">
        <v>0.20899999999999999</v>
      </c>
      <c r="AA127" s="79">
        <v>0.17073999999999998</v>
      </c>
      <c r="AB127" s="112">
        <v>1.4429999999999998</v>
      </c>
      <c r="AC127" s="79">
        <v>8.8366E-2</v>
      </c>
      <c r="AD127" s="73">
        <v>1.5119</v>
      </c>
      <c r="AE127" s="73">
        <v>1.4538</v>
      </c>
      <c r="AF127" s="73">
        <v>1.7067000000000001</v>
      </c>
      <c r="AG127" s="79">
        <v>0.318</v>
      </c>
      <c r="AH127" s="79">
        <v>0.17807999999999999</v>
      </c>
      <c r="AI127" s="112">
        <v>1.397</v>
      </c>
      <c r="AJ127" s="19">
        <v>1224</v>
      </c>
      <c r="AL127" s="271">
        <v>601</v>
      </c>
      <c r="AM127" s="77">
        <v>7.4251364799999969E-2</v>
      </c>
      <c r="AN127" s="73" t="s">
        <v>262</v>
      </c>
      <c r="AO127" s="112">
        <v>8.1699346405228759E-2</v>
      </c>
      <c r="AP127" s="77">
        <v>0</v>
      </c>
      <c r="AQ127" s="77">
        <v>0</v>
      </c>
      <c r="AR127" s="77">
        <v>0.495</v>
      </c>
      <c r="AS127" s="76">
        <v>0.622</v>
      </c>
      <c r="AT127" s="77" t="s">
        <v>262</v>
      </c>
      <c r="AU127" s="77" t="s">
        <v>262</v>
      </c>
      <c r="AV127" s="77">
        <v>0.87747523699999996</v>
      </c>
      <c r="AW127" s="76">
        <v>0.3869048625</v>
      </c>
      <c r="AX127" s="77"/>
      <c r="AY127" s="271">
        <v>601</v>
      </c>
      <c r="AZ127" s="77">
        <v>2.3829060000000002E-3</v>
      </c>
      <c r="BA127" s="77" t="s">
        <v>262</v>
      </c>
      <c r="BB127" s="77" t="s">
        <v>262</v>
      </c>
      <c r="BC127" s="77">
        <v>1.6324789999999999E-2</v>
      </c>
      <c r="BD127" s="77">
        <v>2.39463E-2</v>
      </c>
      <c r="BE127" s="76">
        <v>2.9352900000000001E-2</v>
      </c>
      <c r="BF127" s="77" t="s">
        <v>262</v>
      </c>
      <c r="BG127" s="77" t="s">
        <v>262</v>
      </c>
      <c r="BH127" s="77">
        <v>2.35006E-2</v>
      </c>
      <c r="BI127" s="76">
        <v>3.92833E-2</v>
      </c>
    </row>
    <row r="128" spans="1:61">
      <c r="A128" s="274"/>
      <c r="B128" s="16" t="s">
        <v>243</v>
      </c>
      <c r="C128" s="6">
        <v>602</v>
      </c>
      <c r="D128" s="17" t="s">
        <v>81</v>
      </c>
      <c r="E128" s="6">
        <v>-45</v>
      </c>
      <c r="F128" s="73">
        <v>0.15</v>
      </c>
      <c r="G128" s="72" t="s">
        <v>248</v>
      </c>
      <c r="H128" s="6" t="s">
        <v>15</v>
      </c>
      <c r="I128" s="104">
        <v>0.55000000000000004</v>
      </c>
      <c r="J128" s="107">
        <v>0.09</v>
      </c>
      <c r="K128" s="79">
        <v>1.1810937414099143</v>
      </c>
      <c r="L128" s="108">
        <v>1108.3717263019273</v>
      </c>
      <c r="M128" s="26"/>
      <c r="N128" s="271">
        <v>602</v>
      </c>
      <c r="O128" s="79">
        <v>7.0091000000000001E-2</v>
      </c>
      <c r="P128" s="73">
        <v>1.1377999999999999</v>
      </c>
      <c r="Q128" s="73">
        <v>1.1168</v>
      </c>
      <c r="R128" s="73">
        <v>1.1636</v>
      </c>
      <c r="S128" s="79">
        <v>0.23200000000000001</v>
      </c>
      <c r="T128" s="79">
        <v>0.15004000000000001</v>
      </c>
      <c r="U128" s="112">
        <v>1.1006</v>
      </c>
      <c r="V128" s="79">
        <v>6.6927E-2</v>
      </c>
      <c r="W128" s="73">
        <v>1.1261000000000001</v>
      </c>
      <c r="X128" s="73">
        <v>1.105</v>
      </c>
      <c r="Y128" s="73">
        <v>1.1636</v>
      </c>
      <c r="Z128" s="79">
        <v>0.19600000000000001</v>
      </c>
      <c r="AA128" s="79">
        <v>0.15011999999999998</v>
      </c>
      <c r="AB128" s="112">
        <v>1.0893999999999999</v>
      </c>
      <c r="AC128" s="79">
        <v>7.3192999999999994E-2</v>
      </c>
      <c r="AD128" s="73">
        <v>1.1329</v>
      </c>
      <c r="AE128" s="73">
        <v>1.111</v>
      </c>
      <c r="AF128" s="73">
        <v>1.1636</v>
      </c>
      <c r="AG128" s="79">
        <v>0.255</v>
      </c>
      <c r="AH128" s="79">
        <v>0.15540000000000001</v>
      </c>
      <c r="AI128" s="112">
        <v>1.093</v>
      </c>
      <c r="AJ128" s="19">
        <v>1126</v>
      </c>
      <c r="AL128" s="271">
        <v>602</v>
      </c>
      <c r="AM128" s="77">
        <v>2.0729319599999976E-2</v>
      </c>
      <c r="AN128" s="73" t="s">
        <v>262</v>
      </c>
      <c r="AO128" s="112" t="s">
        <v>262</v>
      </c>
      <c r="AP128" s="77">
        <v>0</v>
      </c>
      <c r="AQ128" s="77">
        <v>0</v>
      </c>
      <c r="AR128" s="77">
        <v>2.4799999999999999E-2</v>
      </c>
      <c r="AS128" s="76">
        <v>5.2900000000000003E-2</v>
      </c>
      <c r="AT128" s="77" t="s">
        <v>262</v>
      </c>
      <c r="AU128" s="77" t="s">
        <v>262</v>
      </c>
      <c r="AV128" s="77">
        <v>0.37884335200000002</v>
      </c>
      <c r="AW128" s="76" t="s">
        <v>262</v>
      </c>
      <c r="AX128" s="77"/>
      <c r="AY128" s="271">
        <v>602</v>
      </c>
      <c r="AZ128" s="77" t="s">
        <v>262</v>
      </c>
      <c r="BA128" s="77" t="s">
        <v>262</v>
      </c>
      <c r="BB128" s="77" t="s">
        <v>262</v>
      </c>
      <c r="BC128" s="77">
        <v>8.4835200000000013E-3</v>
      </c>
      <c r="BD128" s="77">
        <v>1.0634919999999999E-2</v>
      </c>
      <c r="BE128" s="76">
        <v>1.71404E-2</v>
      </c>
      <c r="BF128" s="77" t="s">
        <v>262</v>
      </c>
      <c r="BG128" s="77" t="s">
        <v>262</v>
      </c>
      <c r="BH128" s="77">
        <v>1.95006E-2</v>
      </c>
      <c r="BI128" s="76">
        <v>3.7283299999999998E-2</v>
      </c>
    </row>
    <row r="129" spans="1:61">
      <c r="A129" s="274"/>
      <c r="B129" s="16" t="s">
        <v>243</v>
      </c>
      <c r="C129" s="6">
        <v>603</v>
      </c>
      <c r="D129" s="17" t="s">
        <v>82</v>
      </c>
      <c r="E129" s="6">
        <v>-45</v>
      </c>
      <c r="F129" s="73">
        <v>0.15</v>
      </c>
      <c r="G129" s="72" t="s">
        <v>248</v>
      </c>
      <c r="H129" s="6" t="s">
        <v>16</v>
      </c>
      <c r="I129" s="104">
        <v>0.55000000000000004</v>
      </c>
      <c r="J129" s="107">
        <v>0.12</v>
      </c>
      <c r="K129" s="79">
        <v>1.9287180032326616</v>
      </c>
      <c r="L129" s="108">
        <v>1119.9148845915752</v>
      </c>
      <c r="M129" s="26"/>
      <c r="N129" s="271">
        <v>603</v>
      </c>
      <c r="O129" s="79">
        <v>0.11158</v>
      </c>
      <c r="P129" s="73">
        <v>1.6603000000000001</v>
      </c>
      <c r="Q129" s="73">
        <v>1.5786</v>
      </c>
      <c r="R129" s="73">
        <v>1.9692000000000001</v>
      </c>
      <c r="S129" s="79">
        <v>0.29599999999999999</v>
      </c>
      <c r="T129" s="79">
        <v>0.23209999999999997</v>
      </c>
      <c r="U129" s="112">
        <v>1.5304</v>
      </c>
      <c r="V129" s="79">
        <v>0.12094000000000001</v>
      </c>
      <c r="W129" s="73">
        <v>1.7335</v>
      </c>
      <c r="X129" s="73">
        <v>1.6541999999999999</v>
      </c>
      <c r="Y129" s="73">
        <v>1.9692000000000001</v>
      </c>
      <c r="Z129" s="79">
        <v>0.19</v>
      </c>
      <c r="AA129" s="79">
        <v>0.22858000000000001</v>
      </c>
      <c r="AB129" s="112">
        <v>1.6674</v>
      </c>
      <c r="AC129" s="79">
        <v>0.12453</v>
      </c>
      <c r="AD129" s="73">
        <v>1.7057</v>
      </c>
      <c r="AE129" s="73">
        <v>1.6274999999999999</v>
      </c>
      <c r="AF129" s="73">
        <v>1.9692000000000001</v>
      </c>
      <c r="AG129" s="79">
        <v>0.34399999999999997</v>
      </c>
      <c r="AH129" s="79">
        <v>0.22561999999999999</v>
      </c>
      <c r="AI129" s="112">
        <v>1.591</v>
      </c>
      <c r="AJ129" s="19">
        <v>1313</v>
      </c>
      <c r="AL129" s="271">
        <v>603</v>
      </c>
      <c r="AM129" s="77">
        <v>0.11245851209999994</v>
      </c>
      <c r="AN129" s="73" t="s">
        <v>262</v>
      </c>
      <c r="AO129" s="112">
        <v>4.8743335872048741</v>
      </c>
      <c r="AP129" s="77">
        <v>0</v>
      </c>
      <c r="AQ129" s="77">
        <v>0</v>
      </c>
      <c r="AR129" s="77">
        <v>2.0554000000000001</v>
      </c>
      <c r="AS129" s="76">
        <v>1.7551000000000001</v>
      </c>
      <c r="AT129" s="77">
        <v>0.11842062624000001</v>
      </c>
      <c r="AU129" s="77" t="s">
        <v>262</v>
      </c>
      <c r="AV129" s="77">
        <v>1.1216313</v>
      </c>
      <c r="AW129" s="76">
        <v>0.67341300000000004</v>
      </c>
      <c r="AX129" s="77"/>
      <c r="AY129" s="271">
        <v>603</v>
      </c>
      <c r="AZ129" s="77">
        <v>1.0832719999999999E-2</v>
      </c>
      <c r="BA129" s="77">
        <v>6.4249100000000007E-3</v>
      </c>
      <c r="BB129" s="77">
        <v>1.6605600000000002E-2</v>
      </c>
      <c r="BC129" s="77">
        <v>2.1663000000000002E-2</v>
      </c>
      <c r="BD129" s="77">
        <v>3.4061099999999997E-2</v>
      </c>
      <c r="BE129" s="76">
        <v>4.1599499999999998E-2</v>
      </c>
      <c r="BF129" s="77">
        <v>2.0372405E-2</v>
      </c>
      <c r="BG129" s="77">
        <v>4.330698E-3</v>
      </c>
      <c r="BH129" s="77">
        <v>2.75006E-2</v>
      </c>
      <c r="BI129" s="76">
        <v>4.63065E-2</v>
      </c>
    </row>
    <row r="130" spans="1:61">
      <c r="A130" s="274"/>
      <c r="B130" s="16" t="s">
        <v>243</v>
      </c>
      <c r="C130" s="6">
        <v>604</v>
      </c>
      <c r="D130" s="17" t="s">
        <v>83</v>
      </c>
      <c r="E130" s="6">
        <v>-45</v>
      </c>
      <c r="F130" s="73">
        <v>0.15</v>
      </c>
      <c r="G130" s="72" t="s">
        <v>248</v>
      </c>
      <c r="H130" s="6" t="s">
        <v>17</v>
      </c>
      <c r="I130" s="104">
        <v>0.55000000000000004</v>
      </c>
      <c r="J130" s="107">
        <v>0.12</v>
      </c>
      <c r="K130" s="79">
        <v>1.3638095790823928</v>
      </c>
      <c r="L130" s="108">
        <v>1103.8597825859642</v>
      </c>
      <c r="M130" s="26"/>
      <c r="N130" s="271">
        <v>604</v>
      </c>
      <c r="O130" s="79">
        <v>0.10261000000000001</v>
      </c>
      <c r="P130" s="73">
        <v>1.2810999999999999</v>
      </c>
      <c r="Q130" s="73">
        <v>1.2495000000000001</v>
      </c>
      <c r="R130" s="73">
        <v>1.3473999999999999</v>
      </c>
      <c r="S130" s="79">
        <v>0.215</v>
      </c>
      <c r="T130" s="79">
        <v>0.22524000000000002</v>
      </c>
      <c r="U130" s="112">
        <v>1.2323999999999999</v>
      </c>
      <c r="V130" s="79">
        <v>9.3765000000000001E-2</v>
      </c>
      <c r="W130" s="73">
        <v>1.2670999999999999</v>
      </c>
      <c r="X130" s="73">
        <v>1.2317</v>
      </c>
      <c r="Y130" s="73">
        <v>1.3473999999999999</v>
      </c>
      <c r="Z130" s="79">
        <v>0.19</v>
      </c>
      <c r="AA130" s="79">
        <v>0.19841999999999999</v>
      </c>
      <c r="AB130" s="112">
        <v>1.2251999999999998</v>
      </c>
      <c r="AC130" s="79">
        <v>0.10629</v>
      </c>
      <c r="AD130" s="73">
        <v>1.2836000000000001</v>
      </c>
      <c r="AE130" s="73">
        <v>1.2501</v>
      </c>
      <c r="AF130" s="73">
        <v>1.4221999999999999</v>
      </c>
      <c r="AG130" s="79">
        <v>0.26</v>
      </c>
      <c r="AH130" s="79">
        <v>0.20756000000000002</v>
      </c>
      <c r="AI130" s="112">
        <v>1.2240000000000002</v>
      </c>
      <c r="AJ130" s="19">
        <v>1158</v>
      </c>
      <c r="AL130" s="271">
        <v>604</v>
      </c>
      <c r="AM130" s="77">
        <v>5.1123672799999978E-2</v>
      </c>
      <c r="AN130" s="73" t="s">
        <v>262</v>
      </c>
      <c r="AO130" s="112">
        <v>8.6355785837651119E-2</v>
      </c>
      <c r="AP130" s="77">
        <v>0</v>
      </c>
      <c r="AQ130" s="77">
        <v>0</v>
      </c>
      <c r="AR130" s="77">
        <v>0.28789999999999999</v>
      </c>
      <c r="AS130" s="76">
        <v>0.38850000000000001</v>
      </c>
      <c r="AT130" s="77" t="s">
        <v>262</v>
      </c>
      <c r="AU130" s="77" t="s">
        <v>262</v>
      </c>
      <c r="AV130" s="77">
        <v>0.80640573000000004</v>
      </c>
      <c r="AW130" s="76">
        <v>0.32420651249999999</v>
      </c>
      <c r="AX130" s="77"/>
      <c r="AY130" s="271">
        <v>604</v>
      </c>
      <c r="AZ130" s="77" t="s">
        <v>262</v>
      </c>
      <c r="BA130" s="77" t="s">
        <v>262</v>
      </c>
      <c r="BB130" s="77" t="s">
        <v>262</v>
      </c>
      <c r="BC130" s="77">
        <v>1.385104E-2</v>
      </c>
      <c r="BD130" s="77">
        <v>2.0451799999999999E-2</v>
      </c>
      <c r="BE130" s="76">
        <v>2.6381000000000002E-2</v>
      </c>
      <c r="BF130" s="77" t="s">
        <v>262</v>
      </c>
      <c r="BG130" s="77" t="s">
        <v>262</v>
      </c>
      <c r="BH130" s="77">
        <v>2.2500599999999999E-2</v>
      </c>
      <c r="BI130" s="76">
        <v>3.7283299999999998E-2</v>
      </c>
    </row>
    <row r="131" spans="1:61">
      <c r="A131" s="274"/>
      <c r="B131" s="16" t="s">
        <v>243</v>
      </c>
      <c r="C131" s="6">
        <v>605</v>
      </c>
      <c r="D131" s="17" t="s">
        <v>84</v>
      </c>
      <c r="E131" s="6">
        <v>-45</v>
      </c>
      <c r="F131" s="73">
        <v>0.15</v>
      </c>
      <c r="G131" s="72" t="s">
        <v>248</v>
      </c>
      <c r="H131" s="6" t="s">
        <v>18</v>
      </c>
      <c r="I131" s="104">
        <v>0.55000000000000004</v>
      </c>
      <c r="J131" s="107">
        <v>0.15</v>
      </c>
      <c r="K131" s="79">
        <v>2.1563722823279452</v>
      </c>
      <c r="L131" s="108">
        <v>1092.7443538737139</v>
      </c>
      <c r="M131" s="26"/>
      <c r="N131" s="271">
        <v>605</v>
      </c>
      <c r="O131" s="79">
        <v>0.13755999999999999</v>
      </c>
      <c r="P131" s="73">
        <v>1.8002</v>
      </c>
      <c r="Q131" s="73">
        <v>1.6870000000000001</v>
      </c>
      <c r="R131" s="73">
        <v>2.1333000000000002</v>
      </c>
      <c r="S131" s="79">
        <v>0.253</v>
      </c>
      <c r="T131" s="79">
        <v>0.3115</v>
      </c>
      <c r="U131" s="112">
        <v>1.6963999999999999</v>
      </c>
      <c r="V131" s="79">
        <v>0.15462000000000001</v>
      </c>
      <c r="W131" s="73">
        <v>1.8476999999999999</v>
      </c>
      <c r="X131" s="73">
        <v>1.7482</v>
      </c>
      <c r="Y131" s="73">
        <v>2.1333000000000002</v>
      </c>
      <c r="Z131" s="79">
        <v>0.187</v>
      </c>
      <c r="AA131" s="79">
        <v>0.30728</v>
      </c>
      <c r="AB131" s="112">
        <v>1.8483999999999998</v>
      </c>
      <c r="AC131" s="79">
        <v>0.15146000000000001</v>
      </c>
      <c r="AD131" s="73">
        <v>1.8109</v>
      </c>
      <c r="AE131" s="73">
        <v>1.7059</v>
      </c>
      <c r="AF131" s="73">
        <v>2.1333000000000002</v>
      </c>
      <c r="AG131" s="79">
        <v>0.32300000000000001</v>
      </c>
      <c r="AH131" s="79">
        <v>0.32213999999999998</v>
      </c>
      <c r="AI131" s="112">
        <v>1.7692000000000001</v>
      </c>
      <c r="AJ131" s="19">
        <v>1294</v>
      </c>
      <c r="AL131" s="271">
        <v>605</v>
      </c>
      <c r="AM131" s="77">
        <v>0.13834127049999997</v>
      </c>
      <c r="AN131" s="73" t="s">
        <v>262</v>
      </c>
      <c r="AO131" s="112">
        <v>79.984544049459032</v>
      </c>
      <c r="AP131" s="77">
        <v>7.7799999999999994E-2</v>
      </c>
      <c r="AQ131" s="77">
        <v>0.1016</v>
      </c>
      <c r="AR131" s="77">
        <v>3.4241000000000001</v>
      </c>
      <c r="AS131" s="76">
        <v>3.2686000000000002</v>
      </c>
      <c r="AT131" s="77">
        <v>0.75439963200000004</v>
      </c>
      <c r="AU131" s="77">
        <v>0.38218761900000003</v>
      </c>
      <c r="AV131" s="77">
        <v>1.3726664199999998</v>
      </c>
      <c r="AW131" s="76">
        <v>0.82499949999999989</v>
      </c>
      <c r="AX131" s="77"/>
      <c r="AY131" s="271">
        <v>605</v>
      </c>
      <c r="AZ131" s="77">
        <v>2.1611700000000001E-2</v>
      </c>
      <c r="BA131" s="77">
        <v>9.8461499999999997E-3</v>
      </c>
      <c r="BB131" s="77">
        <v>2.5853500000000001E-2</v>
      </c>
      <c r="BC131" s="77">
        <v>2.6100100000000001E-2</v>
      </c>
      <c r="BD131" s="77">
        <v>4.1850999999999999E-2</v>
      </c>
      <c r="BE131" s="76">
        <v>5.14212E-2</v>
      </c>
      <c r="BF131" s="77">
        <v>1.6372405E-2</v>
      </c>
      <c r="BG131" s="77">
        <v>7.3306980000000001E-3</v>
      </c>
      <c r="BH131" s="77">
        <v>2.9500600000000002E-2</v>
      </c>
      <c r="BI131" s="76">
        <v>4.63065E-2</v>
      </c>
    </row>
    <row r="132" spans="1:61">
      <c r="A132" s="274"/>
      <c r="B132" s="115" t="s">
        <v>243</v>
      </c>
      <c r="C132" s="116">
        <v>606</v>
      </c>
      <c r="D132" s="147" t="s">
        <v>85</v>
      </c>
      <c r="E132" s="116">
        <v>-45</v>
      </c>
      <c r="F132" s="118">
        <v>0.15</v>
      </c>
      <c r="G132" s="117" t="s">
        <v>248</v>
      </c>
      <c r="H132" s="116" t="s">
        <v>19</v>
      </c>
      <c r="I132" s="120">
        <v>0.55000000000000004</v>
      </c>
      <c r="J132" s="121">
        <v>0.15</v>
      </c>
      <c r="K132" s="122">
        <v>1.5247854635968026</v>
      </c>
      <c r="L132" s="123">
        <v>1116.1033617173778</v>
      </c>
      <c r="M132" s="26"/>
      <c r="N132" s="278">
        <v>606</v>
      </c>
      <c r="O132" s="122">
        <v>0.13225000000000001</v>
      </c>
      <c r="P132" s="118">
        <v>1.3883000000000001</v>
      </c>
      <c r="Q132" s="118">
        <v>1.3426</v>
      </c>
      <c r="R132" s="118">
        <v>1.5059</v>
      </c>
      <c r="S132" s="122">
        <v>0.21299999999999999</v>
      </c>
      <c r="T132" s="122">
        <v>0.26294000000000001</v>
      </c>
      <c r="U132" s="124">
        <v>1.345</v>
      </c>
      <c r="V132" s="122">
        <v>0.12956999999999999</v>
      </c>
      <c r="W132" s="118">
        <v>1.4083000000000001</v>
      </c>
      <c r="X132" s="118">
        <v>1.3573</v>
      </c>
      <c r="Y132" s="118">
        <v>1.5059</v>
      </c>
      <c r="Z132" s="122">
        <v>0.16700000000000001</v>
      </c>
      <c r="AA132" s="122">
        <v>0.25007999999999997</v>
      </c>
      <c r="AB132" s="124">
        <v>1.3856000000000002</v>
      </c>
      <c r="AC132" s="122">
        <v>0.1401</v>
      </c>
      <c r="AD132" s="118">
        <v>1.4118999999999999</v>
      </c>
      <c r="AE132" s="118">
        <v>1.3652</v>
      </c>
      <c r="AF132" s="118">
        <v>1.5059</v>
      </c>
      <c r="AG132" s="122">
        <v>0.253</v>
      </c>
      <c r="AH132" s="122">
        <v>0.28099999999999997</v>
      </c>
      <c r="AI132" s="124">
        <v>1.3641999999999999</v>
      </c>
      <c r="AJ132" s="125">
        <v>1182</v>
      </c>
      <c r="AL132" s="278">
        <v>606</v>
      </c>
      <c r="AM132" s="126">
        <v>7.805122049999999E-2</v>
      </c>
      <c r="AN132" s="118" t="s">
        <v>262</v>
      </c>
      <c r="AO132" s="124">
        <v>0.16920473773265651</v>
      </c>
      <c r="AP132" s="126">
        <v>0</v>
      </c>
      <c r="AQ132" s="126">
        <v>0</v>
      </c>
      <c r="AR132" s="126">
        <v>1.3132999999999999</v>
      </c>
      <c r="AS132" s="127">
        <v>1.5854999999999999</v>
      </c>
      <c r="AT132" s="126" t="s">
        <v>262</v>
      </c>
      <c r="AU132" s="126" t="s">
        <v>262</v>
      </c>
      <c r="AV132" s="126">
        <v>1.1021441590000001</v>
      </c>
      <c r="AW132" s="127" t="s">
        <v>262</v>
      </c>
      <c r="AX132" s="77"/>
      <c r="AY132" s="278">
        <v>606</v>
      </c>
      <c r="AZ132" s="126">
        <v>3.41392E-3</v>
      </c>
      <c r="BA132" s="126" t="s">
        <v>262</v>
      </c>
      <c r="BB132" s="126">
        <v>6.8522600000000006E-3</v>
      </c>
      <c r="BC132" s="126">
        <v>1.7306469999999997E-2</v>
      </c>
      <c r="BD132" s="126">
        <v>2.8227099999999998E-2</v>
      </c>
      <c r="BE132" s="127">
        <v>3.6420000000000001E-2</v>
      </c>
      <c r="BF132" s="126">
        <v>6.3724050000000003E-3</v>
      </c>
      <c r="BG132" s="126">
        <v>2.330698E-3</v>
      </c>
      <c r="BH132" s="126">
        <v>2.6500599999999999E-2</v>
      </c>
      <c r="BI132" s="127">
        <v>4.3283299999999997E-2</v>
      </c>
    </row>
    <row r="133" spans="1:61">
      <c r="A133" s="274"/>
      <c r="B133" s="16" t="s">
        <v>244</v>
      </c>
      <c r="C133" s="6">
        <v>625</v>
      </c>
      <c r="D133" s="17" t="s">
        <v>92</v>
      </c>
      <c r="E133" s="6">
        <v>-30</v>
      </c>
      <c r="F133" s="73">
        <v>0.3</v>
      </c>
      <c r="G133" s="72" t="s">
        <v>248</v>
      </c>
      <c r="H133" s="6" t="s">
        <v>14</v>
      </c>
      <c r="I133" s="104">
        <v>0.55000000000000004</v>
      </c>
      <c r="J133" s="107">
        <v>0.09</v>
      </c>
      <c r="K133" s="79">
        <v>1.6703187875358823</v>
      </c>
      <c r="L133" s="108">
        <v>1097.2320292409461</v>
      </c>
      <c r="M133" s="26"/>
      <c r="N133" s="271">
        <v>625</v>
      </c>
      <c r="O133" s="79">
        <v>8.7941000000000005E-2</v>
      </c>
      <c r="P133" s="73">
        <v>1.4769000000000001</v>
      </c>
      <c r="Q133" s="73">
        <v>1.4194</v>
      </c>
      <c r="R133" s="73">
        <v>1.6</v>
      </c>
      <c r="S133" s="79">
        <v>0.253</v>
      </c>
      <c r="T133" s="79">
        <v>0.18686</v>
      </c>
      <c r="U133" s="112">
        <v>1.3620000000000001</v>
      </c>
      <c r="V133" s="79">
        <v>8.7176000000000003E-2</v>
      </c>
      <c r="W133" s="73">
        <v>1.4824999999999999</v>
      </c>
      <c r="X133" s="73">
        <v>1.4246000000000001</v>
      </c>
      <c r="Y133" s="73">
        <v>1.7067000000000001</v>
      </c>
      <c r="Z133" s="79">
        <v>0.23300000000000001</v>
      </c>
      <c r="AA133" s="79">
        <v>0.18117999999999998</v>
      </c>
      <c r="AB133" s="112">
        <v>1.4005999999999998</v>
      </c>
      <c r="AC133" s="79">
        <v>8.7626999999999997E-2</v>
      </c>
      <c r="AD133" s="73">
        <v>1.4493</v>
      </c>
      <c r="AE133" s="73">
        <v>1.3855</v>
      </c>
      <c r="AF133" s="73">
        <v>1.6</v>
      </c>
      <c r="AG133" s="79">
        <v>0.26100000000000001</v>
      </c>
      <c r="AH133" s="79">
        <v>0.16832000000000003</v>
      </c>
      <c r="AI133" s="112">
        <v>1.3266</v>
      </c>
      <c r="AJ133" s="19">
        <v>1286</v>
      </c>
      <c r="AL133" s="271">
        <v>625</v>
      </c>
      <c r="AM133" s="77">
        <v>7.3777722899999981E-2</v>
      </c>
      <c r="AN133" s="73" t="s">
        <v>262</v>
      </c>
      <c r="AO133" s="112">
        <v>0.31104199066874028</v>
      </c>
      <c r="AP133" s="77">
        <v>0</v>
      </c>
      <c r="AQ133" s="77">
        <v>0</v>
      </c>
      <c r="AR133" s="77">
        <v>0.76739999999999997</v>
      </c>
      <c r="AS133" s="76">
        <v>1.1632</v>
      </c>
      <c r="AT133" s="77" t="s">
        <v>262</v>
      </c>
      <c r="AU133" s="77">
        <v>0.52601735999999999</v>
      </c>
      <c r="AV133" s="77">
        <v>0.81328244000000005</v>
      </c>
      <c r="AW133" s="78">
        <v>0.40515962500000002</v>
      </c>
      <c r="AX133" s="199"/>
      <c r="AY133" s="271">
        <v>625</v>
      </c>
      <c r="AZ133" s="77" t="s">
        <v>262</v>
      </c>
      <c r="BA133" s="77">
        <v>1.0774115000000001E-3</v>
      </c>
      <c r="BB133" s="77">
        <v>5.0964600000000006E-3</v>
      </c>
      <c r="BC133" s="77">
        <v>1.7489600000000001E-2</v>
      </c>
      <c r="BD133" s="77">
        <v>2.8632499999999998E-2</v>
      </c>
      <c r="BE133" s="76">
        <v>3.59487E-2</v>
      </c>
      <c r="BF133" s="77" t="s">
        <v>262</v>
      </c>
      <c r="BG133" s="77">
        <v>2.330698E-3</v>
      </c>
      <c r="BH133" s="77">
        <v>2.2500599999999999E-2</v>
      </c>
      <c r="BI133" s="76">
        <v>3.83065E-2</v>
      </c>
    </row>
    <row r="134" spans="1:61">
      <c r="A134" s="274"/>
      <c r="B134" s="16" t="s">
        <v>244</v>
      </c>
      <c r="C134" s="6">
        <v>626</v>
      </c>
      <c r="D134" s="17" t="s">
        <v>93</v>
      </c>
      <c r="E134" s="6">
        <v>-30</v>
      </c>
      <c r="F134" s="73">
        <v>0.3</v>
      </c>
      <c r="G134" s="72" t="s">
        <v>248</v>
      </c>
      <c r="H134" s="6" t="s">
        <v>15</v>
      </c>
      <c r="I134" s="104">
        <v>0.55000000000000004</v>
      </c>
      <c r="J134" s="107">
        <v>0.09</v>
      </c>
      <c r="K134" s="79">
        <v>1.1810937414099143</v>
      </c>
      <c r="L134" s="108">
        <v>1108.3717263019273</v>
      </c>
      <c r="M134" s="26"/>
      <c r="N134" s="271">
        <v>626</v>
      </c>
      <c r="O134" s="79">
        <v>7.7712000000000003E-2</v>
      </c>
      <c r="P134" s="73">
        <v>1.1267</v>
      </c>
      <c r="Q134" s="73">
        <v>1.1051</v>
      </c>
      <c r="R134" s="73">
        <v>1.1636</v>
      </c>
      <c r="S134" s="79">
        <v>0.247</v>
      </c>
      <c r="T134" s="79">
        <v>0.17221999999999998</v>
      </c>
      <c r="U134" s="112">
        <v>1.0888</v>
      </c>
      <c r="V134" s="79">
        <v>7.5332999999999997E-2</v>
      </c>
      <c r="W134" s="73">
        <v>1.1165</v>
      </c>
      <c r="X134" s="73">
        <v>1.0931</v>
      </c>
      <c r="Y134" s="73">
        <v>1.1636</v>
      </c>
      <c r="Z134" s="79">
        <v>0.19900000000000001</v>
      </c>
      <c r="AA134" s="79">
        <v>0.15954000000000002</v>
      </c>
      <c r="AB134" s="112">
        <v>1.0878000000000001</v>
      </c>
      <c r="AC134" s="79">
        <v>8.3200999999999997E-2</v>
      </c>
      <c r="AD134" s="73">
        <v>1.1122000000000001</v>
      </c>
      <c r="AE134" s="73">
        <v>1.0899000000000001</v>
      </c>
      <c r="AF134" s="73">
        <v>1.1636</v>
      </c>
      <c r="AG134" s="79">
        <v>0.21099999999999999</v>
      </c>
      <c r="AH134" s="79">
        <v>0.18491999999999997</v>
      </c>
      <c r="AI134" s="112">
        <v>1.0737999999999999</v>
      </c>
      <c r="AJ134" s="19">
        <v>1145</v>
      </c>
      <c r="AL134" s="271">
        <v>626</v>
      </c>
      <c r="AM134" s="77">
        <v>3.1914170399999969E-2</v>
      </c>
      <c r="AN134" s="73" t="s">
        <v>262</v>
      </c>
      <c r="AO134" s="112">
        <v>8.7336244541484712E-2</v>
      </c>
      <c r="AP134" s="77">
        <v>0</v>
      </c>
      <c r="AQ134" s="77">
        <v>0</v>
      </c>
      <c r="AR134" s="77">
        <v>0.13719999999999999</v>
      </c>
      <c r="AS134" s="76">
        <v>0.248</v>
      </c>
      <c r="AT134" s="77" t="s">
        <v>262</v>
      </c>
      <c r="AU134" s="77" t="s">
        <v>262</v>
      </c>
      <c r="AV134" s="77">
        <v>0.40062351200000001</v>
      </c>
      <c r="AW134" s="78" t="s">
        <v>262</v>
      </c>
      <c r="AX134" s="199"/>
      <c r="AY134" s="271">
        <v>626</v>
      </c>
      <c r="AZ134" s="77" t="s">
        <v>262</v>
      </c>
      <c r="BA134" s="77" t="s">
        <v>262</v>
      </c>
      <c r="BB134" s="77" t="s">
        <v>262</v>
      </c>
      <c r="BC134" s="77">
        <v>1.0642249999999999E-2</v>
      </c>
      <c r="BD134" s="77" t="s">
        <v>262</v>
      </c>
      <c r="BE134" s="76">
        <v>1.4642249999999999E-2</v>
      </c>
      <c r="BF134" s="77" t="s">
        <v>262</v>
      </c>
      <c r="BG134" s="77" t="s">
        <v>262</v>
      </c>
      <c r="BH134" s="77">
        <v>1.95006E-2</v>
      </c>
      <c r="BI134" s="76">
        <v>3.7283299999999998E-2</v>
      </c>
    </row>
    <row r="135" spans="1:61">
      <c r="A135" s="274"/>
      <c r="B135" s="16" t="s">
        <v>244</v>
      </c>
      <c r="C135" s="6">
        <v>627</v>
      </c>
      <c r="D135" s="17" t="s">
        <v>94</v>
      </c>
      <c r="E135" s="6">
        <v>-30</v>
      </c>
      <c r="F135" s="73">
        <v>0.3</v>
      </c>
      <c r="G135" s="72" t="s">
        <v>248</v>
      </c>
      <c r="H135" s="6" t="s">
        <v>16</v>
      </c>
      <c r="I135" s="104">
        <v>0.55000000000000004</v>
      </c>
      <c r="J135" s="107">
        <v>0.12</v>
      </c>
      <c r="K135" s="79">
        <v>1.9287180032326616</v>
      </c>
      <c r="L135" s="108">
        <v>1119.9148845915752</v>
      </c>
      <c r="M135" s="26"/>
      <c r="N135" s="271">
        <v>627</v>
      </c>
      <c r="O135" s="79">
        <v>0.12099</v>
      </c>
      <c r="P135" s="73">
        <v>1.6604000000000001</v>
      </c>
      <c r="Q135" s="73">
        <v>1.5709</v>
      </c>
      <c r="R135" s="73">
        <v>1.9692000000000001</v>
      </c>
      <c r="S135" s="79">
        <v>0.254</v>
      </c>
      <c r="T135" s="79">
        <v>0.26704000000000006</v>
      </c>
      <c r="U135" s="112">
        <v>1.5615999999999999</v>
      </c>
      <c r="V135" s="79">
        <v>0.11342000000000001</v>
      </c>
      <c r="W135" s="73">
        <v>1.6495</v>
      </c>
      <c r="X135" s="73">
        <v>1.5669999999999999</v>
      </c>
      <c r="Y135" s="73">
        <v>1.8286</v>
      </c>
      <c r="Z135" s="79">
        <v>0.27</v>
      </c>
      <c r="AA135" s="79">
        <v>0.22739999999999999</v>
      </c>
      <c r="AB135" s="112">
        <v>1.5512000000000001</v>
      </c>
      <c r="AC135" s="79">
        <v>0.11995</v>
      </c>
      <c r="AD135" s="73">
        <v>1.6648000000000001</v>
      </c>
      <c r="AE135" s="73">
        <v>1.5698000000000001</v>
      </c>
      <c r="AF135" s="73">
        <v>1.9692000000000001</v>
      </c>
      <c r="AG135" s="79">
        <v>0.246</v>
      </c>
      <c r="AH135" s="79">
        <v>0.24948000000000001</v>
      </c>
      <c r="AI135" s="112">
        <v>1.5165999999999999</v>
      </c>
      <c r="AJ135" s="19">
        <v>1325</v>
      </c>
      <c r="AL135" s="271">
        <v>627</v>
      </c>
      <c r="AM135" s="77">
        <v>0.24222787499999995</v>
      </c>
      <c r="AN135" s="73" t="s">
        <v>262</v>
      </c>
      <c r="AO135" s="112">
        <v>18.79245283018868</v>
      </c>
      <c r="AP135" s="77">
        <v>0.1157</v>
      </c>
      <c r="AQ135" s="77">
        <v>4.1700000000000001E-2</v>
      </c>
      <c r="AR135" s="77">
        <v>3.3498999999999999</v>
      </c>
      <c r="AS135" s="76">
        <v>3.4672999999999998</v>
      </c>
      <c r="AT135" s="77">
        <v>0.5878573680000001</v>
      </c>
      <c r="AU135" s="77">
        <v>0.18608949479999998</v>
      </c>
      <c r="AV135" s="77">
        <v>2.4025933889999997</v>
      </c>
      <c r="AW135" s="78">
        <v>1.31508</v>
      </c>
      <c r="AX135" s="199"/>
      <c r="AY135" s="271">
        <v>627</v>
      </c>
      <c r="AZ135" s="77">
        <v>2.2485959999999999E-2</v>
      </c>
      <c r="BA135" s="77">
        <v>4.9328440000000005E-3</v>
      </c>
      <c r="BB135" s="77">
        <v>3.72894E-2</v>
      </c>
      <c r="BC135" s="77">
        <v>5.24494E-2</v>
      </c>
      <c r="BD135" s="77">
        <v>8.6339399999999997E-2</v>
      </c>
      <c r="BE135" s="76">
        <v>9.3689800000000004E-2</v>
      </c>
      <c r="BF135" s="77">
        <v>2.4744809999999999E-2</v>
      </c>
      <c r="BG135" s="77">
        <v>8.661396E-3</v>
      </c>
      <c r="BH135" s="77">
        <v>5.9001200000000004E-2</v>
      </c>
      <c r="BI135" s="76">
        <v>9.2613000000000001E-2</v>
      </c>
    </row>
    <row r="136" spans="1:61">
      <c r="A136" s="274"/>
      <c r="B136" s="16" t="s">
        <v>244</v>
      </c>
      <c r="C136" s="6">
        <v>628</v>
      </c>
      <c r="D136" s="17" t="s">
        <v>95</v>
      </c>
      <c r="E136" s="6">
        <v>-30</v>
      </c>
      <c r="F136" s="73">
        <v>0.3</v>
      </c>
      <c r="G136" s="72" t="s">
        <v>248</v>
      </c>
      <c r="H136" s="6" t="s">
        <v>17</v>
      </c>
      <c r="I136" s="104">
        <v>0.55000000000000004</v>
      </c>
      <c r="J136" s="107">
        <v>0.12</v>
      </c>
      <c r="K136" s="79">
        <v>1.3638095790823928</v>
      </c>
      <c r="L136" s="108">
        <v>1103.8597825859642</v>
      </c>
      <c r="M136" s="26"/>
      <c r="N136" s="271">
        <v>628</v>
      </c>
      <c r="O136" s="79">
        <v>0.11139</v>
      </c>
      <c r="P136" s="73">
        <v>1.2623</v>
      </c>
      <c r="Q136" s="73">
        <v>1.2282999999999999</v>
      </c>
      <c r="R136" s="73">
        <v>1.3473999999999999</v>
      </c>
      <c r="S136" s="79">
        <v>0.22800000000000001</v>
      </c>
      <c r="T136" s="79">
        <v>0.22183999999999998</v>
      </c>
      <c r="U136" s="112">
        <v>1.224</v>
      </c>
      <c r="V136" s="79">
        <v>0.10428999999999999</v>
      </c>
      <c r="W136" s="73">
        <v>1.2571000000000001</v>
      </c>
      <c r="X136" s="73">
        <v>1.2208000000000001</v>
      </c>
      <c r="Y136" s="73">
        <v>1.3473999999999999</v>
      </c>
      <c r="Z136" s="79">
        <v>0.20499999999999999</v>
      </c>
      <c r="AA136" s="79">
        <v>0.19955999999999999</v>
      </c>
      <c r="AB136" s="112">
        <v>1.2272000000000001</v>
      </c>
      <c r="AC136" s="79">
        <v>0.11289</v>
      </c>
      <c r="AD136" s="73">
        <v>1.2432000000000001</v>
      </c>
      <c r="AE136" s="73">
        <v>1.2081</v>
      </c>
      <c r="AF136" s="73">
        <v>1.3473999999999999</v>
      </c>
      <c r="AG136" s="79">
        <v>0.22500000000000001</v>
      </c>
      <c r="AH136" s="79">
        <v>0.21713999999999997</v>
      </c>
      <c r="AI136" s="112">
        <v>1.1958</v>
      </c>
      <c r="AJ136" s="19">
        <v>1180</v>
      </c>
      <c r="AL136" s="271">
        <v>628</v>
      </c>
      <c r="AM136" s="77">
        <v>7.1402774799999985E-2</v>
      </c>
      <c r="AN136" s="73" t="s">
        <v>262</v>
      </c>
      <c r="AO136" s="112">
        <v>8.4745762711864403E-2</v>
      </c>
      <c r="AP136" s="77">
        <v>0</v>
      </c>
      <c r="AQ136" s="77">
        <v>0</v>
      </c>
      <c r="AR136" s="77">
        <v>0.77610000000000001</v>
      </c>
      <c r="AS136" s="76">
        <v>0.90549999999999997</v>
      </c>
      <c r="AT136" s="77" t="s">
        <v>262</v>
      </c>
      <c r="AU136" s="77" t="s">
        <v>262</v>
      </c>
      <c r="AV136" s="77">
        <v>0.74909198999999993</v>
      </c>
      <c r="AW136" s="78" t="s">
        <v>262</v>
      </c>
      <c r="AX136" s="199"/>
      <c r="AY136" s="271">
        <v>628</v>
      </c>
      <c r="AZ136" s="77">
        <v>2.1536020000000001E-3</v>
      </c>
      <c r="BA136" s="77" t="s">
        <v>262</v>
      </c>
      <c r="BB136" s="77" t="s">
        <v>262</v>
      </c>
      <c r="BC136" s="77">
        <v>1.5963370000000001E-2</v>
      </c>
      <c r="BD136" s="77">
        <v>2.7531100000000003E-2</v>
      </c>
      <c r="BE136" s="76">
        <v>3.2681299999999996E-2</v>
      </c>
      <c r="BF136" s="77" t="s">
        <v>262</v>
      </c>
      <c r="BG136" s="77">
        <v>1.330698E-3</v>
      </c>
      <c r="BH136" s="77">
        <v>2.35006E-2</v>
      </c>
      <c r="BI136" s="76">
        <v>3.92833E-2</v>
      </c>
    </row>
    <row r="137" spans="1:61">
      <c r="A137" s="274"/>
      <c r="B137" s="16" t="s">
        <v>244</v>
      </c>
      <c r="C137" s="6">
        <v>629</v>
      </c>
      <c r="D137" s="17" t="s">
        <v>96</v>
      </c>
      <c r="E137" s="6">
        <v>-30</v>
      </c>
      <c r="F137" s="73">
        <v>0.3</v>
      </c>
      <c r="G137" s="72" t="s">
        <v>248</v>
      </c>
      <c r="H137" s="6" t="s">
        <v>18</v>
      </c>
      <c r="I137" s="104">
        <v>0.55000000000000004</v>
      </c>
      <c r="J137" s="107">
        <v>0.15</v>
      </c>
      <c r="K137" s="79">
        <v>2.1563722823279452</v>
      </c>
      <c r="L137" s="108">
        <v>1092.7443538737139</v>
      </c>
      <c r="M137" s="26"/>
      <c r="N137" s="271">
        <v>629</v>
      </c>
      <c r="O137" s="79">
        <v>0.16316</v>
      </c>
      <c r="P137" s="73">
        <v>1.8230999999999999</v>
      </c>
      <c r="Q137" s="73">
        <v>1.7095</v>
      </c>
      <c r="R137" s="73">
        <v>2.1333000000000002</v>
      </c>
      <c r="S137" s="79">
        <v>0.24299999999999999</v>
      </c>
      <c r="T137" s="79">
        <v>0.34585999999999995</v>
      </c>
      <c r="U137" s="112">
        <v>1.7735999999999996</v>
      </c>
      <c r="V137" s="79">
        <v>0.14072999999999999</v>
      </c>
      <c r="W137" s="73">
        <v>1.7734000000000001</v>
      </c>
      <c r="X137" s="73">
        <v>1.6649</v>
      </c>
      <c r="Y137" s="73">
        <v>2.1333000000000002</v>
      </c>
      <c r="Z137" s="79">
        <v>0.28399999999999997</v>
      </c>
      <c r="AA137" s="79">
        <v>0.28298000000000001</v>
      </c>
      <c r="AB137" s="112">
        <v>1.6934</v>
      </c>
      <c r="AC137" s="79">
        <v>0.16084999999999999</v>
      </c>
      <c r="AD137" s="73">
        <v>1.8179000000000001</v>
      </c>
      <c r="AE137" s="73">
        <v>1.7013</v>
      </c>
      <c r="AF137" s="73">
        <v>2.1333000000000002</v>
      </c>
      <c r="AG137" s="79">
        <v>0.23400000000000001</v>
      </c>
      <c r="AH137" s="79">
        <v>0.32185999999999998</v>
      </c>
      <c r="AI137" s="112">
        <v>1.7352000000000001</v>
      </c>
      <c r="AJ137" s="19">
        <v>1291</v>
      </c>
      <c r="AL137" s="271">
        <v>629</v>
      </c>
      <c r="AM137" s="77">
        <v>0.16614759289999997</v>
      </c>
      <c r="AN137" s="73">
        <v>0.46475600309837334</v>
      </c>
      <c r="AO137" s="112">
        <v>57.629744384198297</v>
      </c>
      <c r="AP137" s="77">
        <v>0.57250000000000001</v>
      </c>
      <c r="AQ137" s="77">
        <v>0.219</v>
      </c>
      <c r="AR137" s="77">
        <v>6.3696000000000002</v>
      </c>
      <c r="AS137" s="76">
        <v>7.5251999999999999</v>
      </c>
      <c r="AT137" s="77">
        <v>0.64399935600000002</v>
      </c>
      <c r="AU137" s="77">
        <v>0.44891358600000003</v>
      </c>
      <c r="AV137" s="77">
        <v>1.6557967649999998</v>
      </c>
      <c r="AW137" s="78">
        <v>0.91230100000000003</v>
      </c>
      <c r="AX137" s="199"/>
      <c r="AY137" s="271">
        <v>629</v>
      </c>
      <c r="AZ137" s="77">
        <v>2.24689E-2</v>
      </c>
      <c r="BA137" s="77">
        <v>8.8107499999999991E-3</v>
      </c>
      <c r="BB137" s="77">
        <v>3.2820500000000002E-2</v>
      </c>
      <c r="BC137" s="77">
        <v>4.0358999999999999E-2</v>
      </c>
      <c r="BD137" s="77">
        <v>6.2669100000000005E-2</v>
      </c>
      <c r="BE137" s="76">
        <v>6.8368700000000004E-2</v>
      </c>
      <c r="BF137" s="77">
        <v>1.0372404999999999E-2</v>
      </c>
      <c r="BG137" s="77">
        <v>7.3306980000000001E-3</v>
      </c>
      <c r="BH137" s="77">
        <v>3.3500599999999998E-2</v>
      </c>
      <c r="BI137" s="76">
        <v>5.6306499999999995E-2</v>
      </c>
    </row>
    <row r="138" spans="1:61">
      <c r="A138" s="274"/>
      <c r="B138" s="115" t="s">
        <v>244</v>
      </c>
      <c r="C138" s="116">
        <v>630</v>
      </c>
      <c r="D138" s="147" t="s">
        <v>97</v>
      </c>
      <c r="E138" s="116">
        <v>-30</v>
      </c>
      <c r="F138" s="118">
        <v>0.3</v>
      </c>
      <c r="G138" s="117" t="s">
        <v>248</v>
      </c>
      <c r="H138" s="116" t="s">
        <v>19</v>
      </c>
      <c r="I138" s="120">
        <v>0.55000000000000004</v>
      </c>
      <c r="J138" s="121">
        <v>0.15</v>
      </c>
      <c r="K138" s="122">
        <v>1.5247854635968026</v>
      </c>
      <c r="L138" s="123">
        <v>1116.1033617173778</v>
      </c>
      <c r="M138" s="26"/>
      <c r="N138" s="278">
        <v>630</v>
      </c>
      <c r="O138" s="122">
        <v>0.14546999999999999</v>
      </c>
      <c r="P138" s="118">
        <v>1.3729</v>
      </c>
      <c r="Q138" s="118">
        <v>1.3253999999999999</v>
      </c>
      <c r="R138" s="118">
        <v>1.5059</v>
      </c>
      <c r="S138" s="122">
        <v>0.20499999999999999</v>
      </c>
      <c r="T138" s="122">
        <v>0.29344000000000003</v>
      </c>
      <c r="U138" s="124">
        <v>1.3382000000000001</v>
      </c>
      <c r="V138" s="122">
        <v>0.13699</v>
      </c>
      <c r="W138" s="118">
        <v>1.3944000000000001</v>
      </c>
      <c r="X138" s="118">
        <v>1.3460000000000001</v>
      </c>
      <c r="Y138" s="118">
        <v>1.6</v>
      </c>
      <c r="Z138" s="122">
        <v>0.191</v>
      </c>
      <c r="AA138" s="122">
        <v>0.24020000000000002</v>
      </c>
      <c r="AB138" s="124">
        <v>1.3687999999999998</v>
      </c>
      <c r="AC138" s="122">
        <v>0.13902</v>
      </c>
      <c r="AD138" s="118">
        <v>1.3647</v>
      </c>
      <c r="AE138" s="118">
        <v>1.3136000000000001</v>
      </c>
      <c r="AF138" s="118">
        <v>1.5059</v>
      </c>
      <c r="AG138" s="122">
        <v>0.224</v>
      </c>
      <c r="AH138" s="122">
        <v>0.24764</v>
      </c>
      <c r="AI138" s="124">
        <v>1.3182</v>
      </c>
      <c r="AJ138" s="125">
        <v>1202</v>
      </c>
      <c r="AL138" s="278">
        <v>630</v>
      </c>
      <c r="AM138" s="126">
        <v>9.9327635299999967E-2</v>
      </c>
      <c r="AN138" s="118" t="s">
        <v>262</v>
      </c>
      <c r="AO138" s="124">
        <v>1.9134775374376041</v>
      </c>
      <c r="AP138" s="126">
        <v>3.85E-2</v>
      </c>
      <c r="AQ138" s="126">
        <v>0</v>
      </c>
      <c r="AR138" s="126">
        <v>2.3237000000000001</v>
      </c>
      <c r="AS138" s="127">
        <v>2.7667000000000002</v>
      </c>
      <c r="AT138" s="126" t="s">
        <v>262</v>
      </c>
      <c r="AU138" s="126" t="s">
        <v>262</v>
      </c>
      <c r="AV138" s="126">
        <v>1.0929744299999999</v>
      </c>
      <c r="AW138" s="148">
        <v>0.50833347500000003</v>
      </c>
      <c r="AX138" s="199"/>
      <c r="AY138" s="278">
        <v>630</v>
      </c>
      <c r="AZ138" s="126">
        <v>5.8656899999999998E-3</v>
      </c>
      <c r="BA138" s="126" t="s">
        <v>262</v>
      </c>
      <c r="BB138" s="126">
        <v>1.1308909999999998E-2</v>
      </c>
      <c r="BC138" s="126">
        <v>2.4202700000000001E-2</v>
      </c>
      <c r="BD138" s="126">
        <v>3.6823000000000002E-2</v>
      </c>
      <c r="BE138" s="127">
        <v>4.32723E-2</v>
      </c>
      <c r="BF138" s="126">
        <v>6.3724050000000003E-3</v>
      </c>
      <c r="BG138" s="126">
        <v>3.330698E-3</v>
      </c>
      <c r="BH138" s="126">
        <v>2.5500599999999998E-2</v>
      </c>
      <c r="BI138" s="127">
        <v>4.5283299999999999E-2</v>
      </c>
    </row>
    <row r="139" spans="1:61">
      <c r="A139" s="274"/>
      <c r="B139" s="16" t="s">
        <v>245</v>
      </c>
      <c r="C139" s="6">
        <v>619</v>
      </c>
      <c r="D139" s="17" t="s">
        <v>98</v>
      </c>
      <c r="E139" s="6">
        <v>-45</v>
      </c>
      <c r="F139" s="73">
        <v>0.3</v>
      </c>
      <c r="G139" s="72" t="s">
        <v>248</v>
      </c>
      <c r="H139" s="6" t="s">
        <v>14</v>
      </c>
      <c r="I139" s="104">
        <v>0.55000000000000004</v>
      </c>
      <c r="J139" s="107">
        <v>0.09</v>
      </c>
      <c r="K139" s="79">
        <v>1.6703187875358823</v>
      </c>
      <c r="L139" s="108">
        <v>1097.2320292409461</v>
      </c>
      <c r="M139" s="26"/>
      <c r="N139" s="271">
        <v>619</v>
      </c>
      <c r="O139" s="79">
        <v>8.7845999999999994E-2</v>
      </c>
      <c r="P139" s="73">
        <v>1.5508</v>
      </c>
      <c r="Q139" s="73">
        <v>1.4988999999999999</v>
      </c>
      <c r="R139" s="73">
        <v>1.7067000000000001</v>
      </c>
      <c r="S139" s="79">
        <v>0.32400000000000001</v>
      </c>
      <c r="T139" s="79">
        <v>0.18205999999999997</v>
      </c>
      <c r="U139" s="112">
        <v>1.4411999999999998</v>
      </c>
      <c r="V139" s="79">
        <v>7.6097999999999999E-2</v>
      </c>
      <c r="W139" s="73">
        <v>1.518</v>
      </c>
      <c r="X139" s="73">
        <v>1.458</v>
      </c>
      <c r="Y139" s="73">
        <v>1.7067000000000001</v>
      </c>
      <c r="Z139" s="79">
        <v>0.33100000000000002</v>
      </c>
      <c r="AA139" s="79">
        <v>0.15089999999999998</v>
      </c>
      <c r="AB139" s="112">
        <v>1.4125999999999999</v>
      </c>
      <c r="AC139" s="79">
        <v>9.3571000000000001E-2</v>
      </c>
      <c r="AD139" s="73">
        <v>1.546</v>
      </c>
      <c r="AE139" s="73">
        <v>1.4959</v>
      </c>
      <c r="AF139" s="73">
        <v>1.7067000000000001</v>
      </c>
      <c r="AG139" s="79">
        <v>0.309</v>
      </c>
      <c r="AH139" s="79">
        <v>0.18694</v>
      </c>
      <c r="AI139" s="112">
        <v>1.4378</v>
      </c>
      <c r="AJ139" s="19">
        <v>1215</v>
      </c>
      <c r="AL139" s="271">
        <v>619</v>
      </c>
      <c r="AM139" s="77">
        <v>8.560212809999998E-2</v>
      </c>
      <c r="AN139" s="73" t="s">
        <v>262</v>
      </c>
      <c r="AO139" s="112">
        <v>0.49382716049382713</v>
      </c>
      <c r="AP139" s="77">
        <v>0</v>
      </c>
      <c r="AQ139" s="77">
        <v>0</v>
      </c>
      <c r="AR139" s="77">
        <v>0.63300000000000001</v>
      </c>
      <c r="AS139" s="76">
        <v>0.75560000000000005</v>
      </c>
      <c r="AT139" s="77" t="s">
        <v>262</v>
      </c>
      <c r="AU139" s="77" t="s">
        <v>262</v>
      </c>
      <c r="AV139" s="77">
        <v>0.89466935899999989</v>
      </c>
      <c r="AW139" s="78">
        <v>0.47341287500000001</v>
      </c>
      <c r="AX139" s="199"/>
      <c r="AY139" s="271">
        <v>619</v>
      </c>
      <c r="AZ139" s="77" t="s">
        <v>262</v>
      </c>
      <c r="BA139" s="77" t="s">
        <v>262</v>
      </c>
      <c r="BB139" s="77" t="s">
        <v>262</v>
      </c>
      <c r="BC139" s="77">
        <v>1.6537240000000002E-2</v>
      </c>
      <c r="BD139" s="77">
        <v>2.7106199999999997E-2</v>
      </c>
      <c r="BE139" s="76">
        <v>3.3570200000000001E-2</v>
      </c>
      <c r="BF139" s="77" t="s">
        <v>262</v>
      </c>
      <c r="BG139" s="77" t="s">
        <v>262</v>
      </c>
      <c r="BH139" s="77">
        <v>2.2500599999999999E-2</v>
      </c>
      <c r="BI139" s="76">
        <v>3.92833E-2</v>
      </c>
    </row>
    <row r="140" spans="1:61">
      <c r="A140" s="274"/>
      <c r="B140" s="16" t="s">
        <v>245</v>
      </c>
      <c r="C140" s="6">
        <v>620</v>
      </c>
      <c r="D140" s="17" t="s">
        <v>99</v>
      </c>
      <c r="E140" s="6">
        <v>-45</v>
      </c>
      <c r="F140" s="73">
        <v>0.3</v>
      </c>
      <c r="G140" s="72" t="s">
        <v>248</v>
      </c>
      <c r="H140" s="6" t="s">
        <v>15</v>
      </c>
      <c r="I140" s="104">
        <v>0.55000000000000004</v>
      </c>
      <c r="J140" s="107">
        <v>0.09</v>
      </c>
      <c r="K140" s="79">
        <v>1.1810937414099143</v>
      </c>
      <c r="L140" s="108">
        <v>1108.3717263019273</v>
      </c>
      <c r="M140" s="26"/>
      <c r="N140" s="271">
        <v>620</v>
      </c>
      <c r="O140" s="79">
        <v>6.4752000000000004E-2</v>
      </c>
      <c r="P140" s="73">
        <v>1.1694</v>
      </c>
      <c r="Q140" s="73">
        <v>1.1456</v>
      </c>
      <c r="R140" s="73">
        <v>1.2190000000000001</v>
      </c>
      <c r="S140" s="79">
        <v>0.34499999999999997</v>
      </c>
      <c r="T140" s="79">
        <v>0.16624000000000003</v>
      </c>
      <c r="U140" s="112">
        <v>1.1152</v>
      </c>
      <c r="V140" s="79">
        <v>6.3805000000000001E-2</v>
      </c>
      <c r="W140" s="73">
        <v>1.1519999999999999</v>
      </c>
      <c r="X140" s="73">
        <v>1.1298999999999999</v>
      </c>
      <c r="Y140" s="73">
        <v>1.1636</v>
      </c>
      <c r="Z140" s="79">
        <v>0.26800000000000002</v>
      </c>
      <c r="AA140" s="79">
        <v>0.15356</v>
      </c>
      <c r="AB140" s="112">
        <v>1.1108</v>
      </c>
      <c r="AC140" s="79">
        <v>6.7058999999999994E-2</v>
      </c>
      <c r="AD140" s="73">
        <v>1.1548</v>
      </c>
      <c r="AE140" s="73">
        <v>1.1278999999999999</v>
      </c>
      <c r="AF140" s="73">
        <v>1.2190000000000001</v>
      </c>
      <c r="AG140" s="79">
        <v>0.30299999999999999</v>
      </c>
      <c r="AH140" s="79">
        <v>0.15365999999999999</v>
      </c>
      <c r="AI140" s="112">
        <v>1.0968</v>
      </c>
      <c r="AJ140" s="19">
        <v>1121</v>
      </c>
      <c r="AL140" s="271">
        <v>620</v>
      </c>
      <c r="AM140" s="77">
        <v>3.3006231999999969E-2</v>
      </c>
      <c r="AN140" s="73" t="s">
        <v>262</v>
      </c>
      <c r="AO140" s="112">
        <v>8.9206066012488858E-2</v>
      </c>
      <c r="AP140" s="77">
        <v>0</v>
      </c>
      <c r="AQ140" s="77">
        <v>0</v>
      </c>
      <c r="AR140" s="77">
        <v>3.6900000000000002E-2</v>
      </c>
      <c r="AS140" s="76">
        <v>8.3500000000000005E-2</v>
      </c>
      <c r="AT140" s="77" t="s">
        <v>262</v>
      </c>
      <c r="AU140" s="77" t="s">
        <v>262</v>
      </c>
      <c r="AV140" s="77">
        <v>0.33872373400000005</v>
      </c>
      <c r="AW140" s="78" t="s">
        <v>262</v>
      </c>
      <c r="AX140" s="199"/>
      <c r="AY140" s="271">
        <v>620</v>
      </c>
      <c r="AZ140" s="77" t="s">
        <v>262</v>
      </c>
      <c r="BA140" s="77" t="s">
        <v>262</v>
      </c>
      <c r="BB140" s="77" t="s">
        <v>262</v>
      </c>
      <c r="BC140" s="77">
        <v>8.70574E-3</v>
      </c>
      <c r="BD140" s="77">
        <v>1.1501830000000001E-2</v>
      </c>
      <c r="BE140" s="76">
        <v>1.9470100000000001E-2</v>
      </c>
      <c r="BF140" s="77" t="s">
        <v>262</v>
      </c>
      <c r="BG140" s="77" t="s">
        <v>262</v>
      </c>
      <c r="BH140" s="77">
        <v>1.9989E-2</v>
      </c>
      <c r="BI140" s="76">
        <v>3.5283300000000004E-2</v>
      </c>
    </row>
    <row r="141" spans="1:61">
      <c r="A141" s="274"/>
      <c r="B141" s="16" t="s">
        <v>245</v>
      </c>
      <c r="C141" s="6">
        <v>621</v>
      </c>
      <c r="D141" s="17" t="s">
        <v>100</v>
      </c>
      <c r="E141" s="6">
        <v>-45</v>
      </c>
      <c r="F141" s="73">
        <v>0.3</v>
      </c>
      <c r="G141" s="72" t="s">
        <v>248</v>
      </c>
      <c r="H141" s="6" t="s">
        <v>16</v>
      </c>
      <c r="I141" s="104">
        <v>0.55000000000000004</v>
      </c>
      <c r="J141" s="107">
        <v>0.12</v>
      </c>
      <c r="K141" s="79">
        <v>1.9287180032326616</v>
      </c>
      <c r="L141" s="108">
        <v>1119.9148845915752</v>
      </c>
      <c r="M141" s="26"/>
      <c r="N141" s="271">
        <v>621</v>
      </c>
      <c r="O141" s="79">
        <v>0.11854000000000001</v>
      </c>
      <c r="P141" s="73">
        <v>1.6865000000000001</v>
      </c>
      <c r="Q141" s="73">
        <v>1.6085</v>
      </c>
      <c r="R141" s="73">
        <v>1.9692000000000001</v>
      </c>
      <c r="S141" s="79">
        <v>0.314</v>
      </c>
      <c r="T141" s="79">
        <v>0.25162000000000007</v>
      </c>
      <c r="U141" s="112">
        <v>1.5788</v>
      </c>
      <c r="V141" s="79">
        <v>0.1169</v>
      </c>
      <c r="W141" s="73">
        <v>1.7426999999999999</v>
      </c>
      <c r="X141" s="73">
        <v>1.6613</v>
      </c>
      <c r="Y141" s="73">
        <v>1.9692000000000001</v>
      </c>
      <c r="Z141" s="79">
        <v>0.26300000000000001</v>
      </c>
      <c r="AA141" s="79">
        <v>0.23726000000000003</v>
      </c>
      <c r="AB141" s="112">
        <v>1.6426000000000003</v>
      </c>
      <c r="AC141" s="79">
        <v>0.12095</v>
      </c>
      <c r="AD141" s="73">
        <v>1.7003999999999999</v>
      </c>
      <c r="AE141" s="73">
        <v>1.6294999999999999</v>
      </c>
      <c r="AF141" s="73">
        <v>1.9692000000000001</v>
      </c>
      <c r="AG141" s="79">
        <v>0.38100000000000001</v>
      </c>
      <c r="AH141" s="79">
        <v>0.20695999999999998</v>
      </c>
      <c r="AI141" s="112">
        <v>1.5649999999999999</v>
      </c>
      <c r="AJ141" s="19">
        <v>1303</v>
      </c>
      <c r="AL141" s="271">
        <v>621</v>
      </c>
      <c r="AM141" s="77">
        <v>0.11666217329999998</v>
      </c>
      <c r="AN141" s="73" t="s">
        <v>262</v>
      </c>
      <c r="AO141" s="112">
        <v>3.9907904834996164</v>
      </c>
      <c r="AP141" s="77">
        <v>0</v>
      </c>
      <c r="AQ141" s="77">
        <v>2.8400000000000002E-2</v>
      </c>
      <c r="AR141" s="77">
        <v>2.2713999999999999</v>
      </c>
      <c r="AS141" s="76">
        <v>2.7330999999999999</v>
      </c>
      <c r="AT141" s="77" t="s">
        <v>262</v>
      </c>
      <c r="AU141" s="77" t="s">
        <v>262</v>
      </c>
      <c r="AV141" s="77">
        <v>1.2098949290000001</v>
      </c>
      <c r="AW141" s="78">
        <v>0.75039737499999992</v>
      </c>
      <c r="AX141" s="199"/>
      <c r="AY141" s="271">
        <v>621</v>
      </c>
      <c r="AZ141" s="77">
        <v>7.3406600000000006E-3</v>
      </c>
      <c r="BA141" s="77">
        <v>3.4096500000000002E-3</v>
      </c>
      <c r="BB141" s="77">
        <v>1.3851039999999998E-2</v>
      </c>
      <c r="BC141" s="77">
        <v>2.3328500000000002E-2</v>
      </c>
      <c r="BD141" s="77">
        <v>3.7850999999999996E-2</v>
      </c>
      <c r="BE141" s="76">
        <v>4.6302799999999998E-2</v>
      </c>
      <c r="BF141" s="77">
        <v>1.5372404999999999E-2</v>
      </c>
      <c r="BG141" s="77">
        <v>3.330698E-3</v>
      </c>
      <c r="BH141" s="77">
        <v>2.75006E-2</v>
      </c>
      <c r="BI141" s="76">
        <v>4.63065E-2</v>
      </c>
    </row>
    <row r="142" spans="1:61">
      <c r="A142" s="274"/>
      <c r="B142" s="16" t="s">
        <v>245</v>
      </c>
      <c r="C142" s="6">
        <v>622</v>
      </c>
      <c r="D142" s="17" t="s">
        <v>101</v>
      </c>
      <c r="E142" s="6">
        <v>-45</v>
      </c>
      <c r="F142" s="73">
        <v>0.3</v>
      </c>
      <c r="G142" s="72" t="s">
        <v>248</v>
      </c>
      <c r="H142" s="6" t="s">
        <v>17</v>
      </c>
      <c r="I142" s="104">
        <v>0.55000000000000004</v>
      </c>
      <c r="J142" s="107">
        <v>0.12</v>
      </c>
      <c r="K142" s="79">
        <v>1.3638095790823928</v>
      </c>
      <c r="L142" s="108">
        <v>1103.8597825859642</v>
      </c>
      <c r="M142" s="26"/>
      <c r="N142" s="271">
        <v>622</v>
      </c>
      <c r="O142" s="79">
        <v>0.10058</v>
      </c>
      <c r="P142" s="73">
        <v>1.3004</v>
      </c>
      <c r="Q142" s="73">
        <v>1.2655000000000001</v>
      </c>
      <c r="R142" s="73">
        <v>1.3473999999999999</v>
      </c>
      <c r="S142" s="79">
        <v>0.3</v>
      </c>
      <c r="T142" s="79">
        <v>0.21949999999999997</v>
      </c>
      <c r="U142" s="112">
        <v>1.2425999999999999</v>
      </c>
      <c r="V142" s="79">
        <v>9.6351999999999993E-2</v>
      </c>
      <c r="W142" s="73">
        <v>1.2886</v>
      </c>
      <c r="X142" s="73">
        <v>1.2565</v>
      </c>
      <c r="Y142" s="73">
        <v>1.3473999999999999</v>
      </c>
      <c r="Z142" s="79">
        <v>0.249</v>
      </c>
      <c r="AA142" s="79">
        <v>0.18763999999999997</v>
      </c>
      <c r="AB142" s="112">
        <v>1.2484</v>
      </c>
      <c r="AC142" s="79">
        <v>0.10602</v>
      </c>
      <c r="AD142" s="73">
        <v>1.3129</v>
      </c>
      <c r="AE142" s="73">
        <v>1.2784</v>
      </c>
      <c r="AF142" s="73">
        <v>1.3473999999999999</v>
      </c>
      <c r="AG142" s="79">
        <v>0.27100000000000002</v>
      </c>
      <c r="AH142" s="79">
        <v>0.21539999999999998</v>
      </c>
      <c r="AI142" s="112">
        <v>1.2524000000000002</v>
      </c>
      <c r="AJ142" s="19">
        <v>1136</v>
      </c>
      <c r="AL142" s="271">
        <v>622</v>
      </c>
      <c r="AM142" s="77">
        <v>7.0833158899999943E-2</v>
      </c>
      <c r="AN142" s="73" t="s">
        <v>262</v>
      </c>
      <c r="AO142" s="112">
        <v>8.8028169014084515E-2</v>
      </c>
      <c r="AP142" s="77">
        <v>0</v>
      </c>
      <c r="AQ142" s="77">
        <v>0</v>
      </c>
      <c r="AR142" s="77">
        <v>0.30280000000000001</v>
      </c>
      <c r="AS142" s="76">
        <v>0.50829999999999997</v>
      </c>
      <c r="AT142" s="77" t="s">
        <v>262</v>
      </c>
      <c r="AU142" s="77" t="s">
        <v>262</v>
      </c>
      <c r="AV142" s="77">
        <v>0.83276958099999998</v>
      </c>
      <c r="AW142" s="78">
        <v>0.3932540625</v>
      </c>
      <c r="AX142" s="199"/>
      <c r="AY142" s="271">
        <v>622</v>
      </c>
      <c r="AZ142" s="77" t="s">
        <v>262</v>
      </c>
      <c r="BA142" s="77" t="s">
        <v>262</v>
      </c>
      <c r="BB142" s="77" t="s">
        <v>262</v>
      </c>
      <c r="BC142" s="77">
        <v>1.5040290000000001E-2</v>
      </c>
      <c r="BD142" s="77">
        <v>2.2705700000000002E-2</v>
      </c>
      <c r="BE142" s="76">
        <v>3.02686E-2</v>
      </c>
      <c r="BF142" s="77" t="s">
        <v>262</v>
      </c>
      <c r="BG142" s="77" t="s">
        <v>262</v>
      </c>
      <c r="BH142" s="77">
        <v>2.2500599999999999E-2</v>
      </c>
      <c r="BI142" s="76">
        <v>3.92833E-2</v>
      </c>
    </row>
    <row r="143" spans="1:61">
      <c r="A143" s="274"/>
      <c r="B143" s="16" t="s">
        <v>245</v>
      </c>
      <c r="C143" s="6">
        <v>623</v>
      </c>
      <c r="D143" s="17" t="s">
        <v>102</v>
      </c>
      <c r="E143" s="6">
        <v>-45</v>
      </c>
      <c r="F143" s="73">
        <v>0.3</v>
      </c>
      <c r="G143" s="72" t="s">
        <v>248</v>
      </c>
      <c r="H143" s="6" t="s">
        <v>18</v>
      </c>
      <c r="I143" s="104">
        <v>0.55000000000000004</v>
      </c>
      <c r="J143" s="107">
        <v>0.15</v>
      </c>
      <c r="K143" s="79">
        <v>2.1563722823279452</v>
      </c>
      <c r="L143" s="108">
        <v>1092.7443538737139</v>
      </c>
      <c r="M143" s="26"/>
      <c r="N143" s="271">
        <v>623</v>
      </c>
      <c r="O143" s="79">
        <v>0.1459</v>
      </c>
      <c r="P143" s="73">
        <v>1.8222</v>
      </c>
      <c r="Q143" s="73">
        <v>1.7181</v>
      </c>
      <c r="R143" s="73">
        <v>2.1333000000000002</v>
      </c>
      <c r="S143" s="79">
        <v>0.30199999999999999</v>
      </c>
      <c r="T143" s="79">
        <v>0.29246</v>
      </c>
      <c r="U143" s="112">
        <v>1.7247999999999997</v>
      </c>
      <c r="V143" s="79">
        <v>0.15484999999999999</v>
      </c>
      <c r="W143" s="73">
        <v>1.8842000000000001</v>
      </c>
      <c r="X143" s="73">
        <v>1.7839</v>
      </c>
      <c r="Y143" s="73">
        <v>2.1333000000000002</v>
      </c>
      <c r="Z143" s="79">
        <v>0.245</v>
      </c>
      <c r="AA143" s="79">
        <v>0.29333999999999999</v>
      </c>
      <c r="AB143" s="112">
        <v>1.8408000000000002</v>
      </c>
      <c r="AC143" s="79">
        <v>0.14585000000000001</v>
      </c>
      <c r="AD143" s="73">
        <v>1.8165</v>
      </c>
      <c r="AE143" s="73">
        <v>1.7156</v>
      </c>
      <c r="AF143" s="73">
        <v>2.1333000000000002</v>
      </c>
      <c r="AG143" s="79">
        <v>0.39600000000000002</v>
      </c>
      <c r="AH143" s="79">
        <v>0.29743999999999998</v>
      </c>
      <c r="AI143" s="112">
        <v>1.7126000000000001</v>
      </c>
      <c r="AJ143" s="19">
        <v>1282</v>
      </c>
      <c r="AL143" s="271">
        <v>623</v>
      </c>
      <c r="AM143" s="77">
        <v>0.15560474690000001</v>
      </c>
      <c r="AN143" s="73">
        <v>0.234009360374415</v>
      </c>
      <c r="AO143" s="112">
        <v>71.918876755070201</v>
      </c>
      <c r="AP143" s="77">
        <v>7.1999999999999995E-2</v>
      </c>
      <c r="AQ143" s="77">
        <v>0.1484</v>
      </c>
      <c r="AR143" s="77">
        <v>4.0121000000000002</v>
      </c>
      <c r="AS143" s="76">
        <v>4.9922000000000004</v>
      </c>
      <c r="AT143" s="77">
        <v>0.67419458399999999</v>
      </c>
      <c r="AU143" s="77">
        <v>0.32287632300000002</v>
      </c>
      <c r="AV143" s="77">
        <v>1.513657751</v>
      </c>
      <c r="AW143" s="78">
        <v>0.9019838750000001</v>
      </c>
      <c r="AX143" s="199"/>
      <c r="AY143" s="271">
        <v>623</v>
      </c>
      <c r="AZ143" s="77">
        <v>1.7619050000000001E-2</v>
      </c>
      <c r="BA143" s="77">
        <v>7.3284500000000002E-3</v>
      </c>
      <c r="BB143" s="77">
        <v>2.4095200000000001E-2</v>
      </c>
      <c r="BC143" s="77">
        <v>3.0175799999999999E-2</v>
      </c>
      <c r="BD143" s="77" t="s">
        <v>262</v>
      </c>
      <c r="BE143" s="76">
        <v>5.7584900000000001E-2</v>
      </c>
      <c r="BF143" s="77">
        <v>1.2372405E-2</v>
      </c>
      <c r="BG143" s="77">
        <v>6.3306980000000001E-3</v>
      </c>
      <c r="BH143" s="77">
        <v>2.9500600000000002E-2</v>
      </c>
      <c r="BI143" s="76">
        <v>4.63065E-2</v>
      </c>
    </row>
    <row r="144" spans="1:61">
      <c r="A144" s="274"/>
      <c r="B144" s="115" t="s">
        <v>245</v>
      </c>
      <c r="C144" s="116">
        <v>624</v>
      </c>
      <c r="D144" s="147" t="s">
        <v>103</v>
      </c>
      <c r="E144" s="116">
        <v>-45</v>
      </c>
      <c r="F144" s="118">
        <v>0.3</v>
      </c>
      <c r="G144" s="117" t="s">
        <v>248</v>
      </c>
      <c r="H144" s="116" t="s">
        <v>19</v>
      </c>
      <c r="I144" s="120">
        <v>0.55000000000000004</v>
      </c>
      <c r="J144" s="121">
        <v>0.15</v>
      </c>
      <c r="K144" s="122">
        <v>1.5247854635968026</v>
      </c>
      <c r="L144" s="123">
        <v>1116.1033617173778</v>
      </c>
      <c r="M144" s="26"/>
      <c r="N144" s="278">
        <v>624</v>
      </c>
      <c r="O144" s="122">
        <v>0.13574</v>
      </c>
      <c r="P144" s="118">
        <v>1.4244000000000001</v>
      </c>
      <c r="Q144" s="118">
        <v>1.3740000000000001</v>
      </c>
      <c r="R144" s="118">
        <v>1.6</v>
      </c>
      <c r="S144" s="122">
        <v>0.28799999999999998</v>
      </c>
      <c r="T144" s="122">
        <v>0.26834000000000002</v>
      </c>
      <c r="U144" s="124">
        <v>1.3653999999999999</v>
      </c>
      <c r="V144" s="122">
        <v>0.12445000000000001</v>
      </c>
      <c r="W144" s="118">
        <v>1.4123000000000001</v>
      </c>
      <c r="X144" s="118">
        <v>1.3637999999999999</v>
      </c>
      <c r="Y144" s="118">
        <v>1.5059</v>
      </c>
      <c r="Z144" s="122">
        <v>0.25600000000000001</v>
      </c>
      <c r="AA144" s="122">
        <v>0.23658000000000001</v>
      </c>
      <c r="AB144" s="124">
        <v>1.3678000000000001</v>
      </c>
      <c r="AC144" s="122">
        <v>0.14568999999999999</v>
      </c>
      <c r="AD144" s="118">
        <v>1.4457</v>
      </c>
      <c r="AE144" s="118">
        <v>1.4001999999999999</v>
      </c>
      <c r="AF144" s="118">
        <v>1.5059</v>
      </c>
      <c r="AG144" s="122">
        <v>0.27500000000000002</v>
      </c>
      <c r="AH144" s="122">
        <v>0.25494</v>
      </c>
      <c r="AI144" s="124">
        <v>1.3851999999999998</v>
      </c>
      <c r="AJ144" s="125">
        <v>1161</v>
      </c>
      <c r="AL144" s="278">
        <v>624</v>
      </c>
      <c r="AM144" s="126">
        <v>0.10170248129999998</v>
      </c>
      <c r="AN144" s="118" t="s">
        <v>262</v>
      </c>
      <c r="AO144" s="124">
        <v>2.0671834625323</v>
      </c>
      <c r="AP144" s="126">
        <v>0</v>
      </c>
      <c r="AQ144" s="126">
        <v>0</v>
      </c>
      <c r="AR144" s="126">
        <v>1.2336</v>
      </c>
      <c r="AS144" s="127">
        <v>1.6796</v>
      </c>
      <c r="AT144" s="126" t="s">
        <v>262</v>
      </c>
      <c r="AU144" s="126" t="s">
        <v>262</v>
      </c>
      <c r="AV144" s="126">
        <v>1.117045262</v>
      </c>
      <c r="AW144" s="148">
        <v>0.62261875</v>
      </c>
      <c r="AX144" s="199"/>
      <c r="AY144" s="278">
        <v>624</v>
      </c>
      <c r="AZ144" s="126">
        <v>4.3980460000000001E-3</v>
      </c>
      <c r="BA144" s="126">
        <v>2.4542130000000002E-3</v>
      </c>
      <c r="BB144" s="126">
        <v>1.0466420000000001E-2</v>
      </c>
      <c r="BC144" s="126">
        <v>1.8842499999999998E-2</v>
      </c>
      <c r="BD144" s="126">
        <v>2.8852700000000002E-2</v>
      </c>
      <c r="BE144" s="127">
        <v>4.0937699999999994E-2</v>
      </c>
      <c r="BF144" s="126">
        <v>6.3724050000000003E-3</v>
      </c>
      <c r="BG144" s="126">
        <v>3.330698E-3</v>
      </c>
      <c r="BH144" s="126">
        <v>2.35006E-2</v>
      </c>
      <c r="BI144" s="127">
        <v>4.0283300000000001E-2</v>
      </c>
    </row>
    <row r="145" spans="1:61">
      <c r="A145" s="274"/>
      <c r="B145" s="16" t="s">
        <v>246</v>
      </c>
      <c r="C145" s="6">
        <v>637</v>
      </c>
      <c r="D145" s="17" t="s">
        <v>147</v>
      </c>
      <c r="E145" s="6">
        <v>-30</v>
      </c>
      <c r="F145" s="73">
        <v>0.4</v>
      </c>
      <c r="G145" s="72" t="s">
        <v>248</v>
      </c>
      <c r="H145" s="6" t="s">
        <v>14</v>
      </c>
      <c r="I145" s="104">
        <v>0.55000000000000004</v>
      </c>
      <c r="J145" s="107">
        <v>0.09</v>
      </c>
      <c r="K145" s="79">
        <v>1.6703187875358823</v>
      </c>
      <c r="L145" s="108">
        <v>1097.2320292409461</v>
      </c>
      <c r="M145" s="26"/>
      <c r="N145" s="271">
        <v>637</v>
      </c>
      <c r="O145" s="79">
        <v>8.8154999999999997E-2</v>
      </c>
      <c r="P145" s="73">
        <v>1.4951000000000001</v>
      </c>
      <c r="Q145" s="73">
        <v>1.4431</v>
      </c>
      <c r="R145" s="73">
        <v>1.6</v>
      </c>
      <c r="S145" s="79">
        <v>0.26600000000000001</v>
      </c>
      <c r="T145" s="79">
        <v>0.18275999999999998</v>
      </c>
      <c r="U145" s="112">
        <v>1.4074</v>
      </c>
      <c r="V145" s="79">
        <v>8.4654999999999994E-2</v>
      </c>
      <c r="W145" s="73">
        <v>1.4941</v>
      </c>
      <c r="X145" s="73">
        <v>1.4386000000000001</v>
      </c>
      <c r="Y145" s="73">
        <v>1.6</v>
      </c>
      <c r="Z145" s="79">
        <v>0.248</v>
      </c>
      <c r="AA145" s="79">
        <v>0.17484</v>
      </c>
      <c r="AB145" s="112">
        <v>1.3984000000000001</v>
      </c>
      <c r="AC145" s="79">
        <v>8.6576E-2</v>
      </c>
      <c r="AD145" s="73">
        <v>1.4724999999999999</v>
      </c>
      <c r="AE145" s="73">
        <v>1.4118999999999999</v>
      </c>
      <c r="AF145" s="73">
        <v>1.7067000000000001</v>
      </c>
      <c r="AG145" s="79">
        <v>0.28199999999999997</v>
      </c>
      <c r="AH145" s="79">
        <v>0.17904</v>
      </c>
      <c r="AI145" s="112">
        <v>1.3212000000000002</v>
      </c>
      <c r="AJ145" s="19">
        <v>1349</v>
      </c>
      <c r="AL145" s="271">
        <v>637</v>
      </c>
      <c r="AM145" s="77">
        <v>6.8980554399999949E-2</v>
      </c>
      <c r="AN145" s="73" t="s">
        <v>262</v>
      </c>
      <c r="AO145" s="112">
        <v>0.14825796886582654</v>
      </c>
      <c r="AP145" s="77">
        <v>0</v>
      </c>
      <c r="AQ145" s="77">
        <v>0</v>
      </c>
      <c r="AR145" s="77">
        <v>0.85119999999999996</v>
      </c>
      <c r="AS145" s="76">
        <v>0.84660000000000002</v>
      </c>
      <c r="AT145" s="77" t="s">
        <v>262</v>
      </c>
      <c r="AU145" s="77">
        <v>0.517120362</v>
      </c>
      <c r="AV145" s="77">
        <v>0.77201748599999998</v>
      </c>
      <c r="AW145" s="78" t="s">
        <v>262</v>
      </c>
      <c r="AX145" s="199"/>
      <c r="AY145" s="271">
        <v>637</v>
      </c>
      <c r="AZ145" s="77" t="s">
        <v>262</v>
      </c>
      <c r="BA145" s="77">
        <v>2.0726496E-3</v>
      </c>
      <c r="BB145" s="77">
        <v>9.6776600000000011E-3</v>
      </c>
      <c r="BC145" s="77">
        <v>1.6361420000000002E-2</v>
      </c>
      <c r="BD145" s="77">
        <v>2.5413899999999996E-2</v>
      </c>
      <c r="BE145" s="76">
        <v>3.1372400000000002E-2</v>
      </c>
      <c r="BF145" s="77">
        <v>4.3724050000000002E-3</v>
      </c>
      <c r="BG145" s="77">
        <v>3.330698E-3</v>
      </c>
      <c r="BH145" s="77">
        <v>2.4500599999999997E-2</v>
      </c>
      <c r="BI145" s="76">
        <v>4.0306500000000002E-2</v>
      </c>
    </row>
    <row r="146" spans="1:61">
      <c r="A146" s="274"/>
      <c r="B146" s="16" t="s">
        <v>246</v>
      </c>
      <c r="C146" s="6">
        <v>638</v>
      </c>
      <c r="D146" s="17" t="s">
        <v>148</v>
      </c>
      <c r="E146" s="6">
        <v>-30</v>
      </c>
      <c r="F146" s="73">
        <v>0.4</v>
      </c>
      <c r="G146" s="72" t="s">
        <v>248</v>
      </c>
      <c r="H146" s="6" t="s">
        <v>15</v>
      </c>
      <c r="I146" s="104">
        <v>0.55000000000000004</v>
      </c>
      <c r="J146" s="107">
        <v>0.09</v>
      </c>
      <c r="K146" s="79">
        <v>1.1810937414099143</v>
      </c>
      <c r="L146" s="108">
        <v>1108.3717263019273</v>
      </c>
      <c r="M146" s="26"/>
      <c r="N146" s="271">
        <v>638</v>
      </c>
      <c r="O146" s="79">
        <v>7.5452000000000005E-2</v>
      </c>
      <c r="P146" s="73">
        <v>1.1359999999999999</v>
      </c>
      <c r="Q146" s="73">
        <v>1.1144000000000001</v>
      </c>
      <c r="R146" s="73">
        <v>1.1636</v>
      </c>
      <c r="S146" s="79">
        <v>0.29299999999999998</v>
      </c>
      <c r="T146" s="79">
        <v>0.17016000000000003</v>
      </c>
      <c r="U146" s="112">
        <v>1.0931999999999999</v>
      </c>
      <c r="V146" s="79">
        <v>7.4331999999999995E-2</v>
      </c>
      <c r="W146" s="73">
        <v>1.1326000000000001</v>
      </c>
      <c r="X146" s="73">
        <v>1.1106</v>
      </c>
      <c r="Y146" s="73">
        <v>1.1636</v>
      </c>
      <c r="Z146" s="79">
        <v>0.22500000000000001</v>
      </c>
      <c r="AA146" s="79">
        <v>0.15560000000000002</v>
      </c>
      <c r="AB146" s="112">
        <v>1.0846</v>
      </c>
      <c r="AC146" s="79">
        <v>8.0627000000000004E-2</v>
      </c>
      <c r="AD146" s="73">
        <v>1.1123000000000001</v>
      </c>
      <c r="AE146" s="73">
        <v>1.091</v>
      </c>
      <c r="AF146" s="73">
        <v>1.1636</v>
      </c>
      <c r="AG146" s="79">
        <v>0.25</v>
      </c>
      <c r="AH146" s="79">
        <v>0.16839999999999999</v>
      </c>
      <c r="AI146" s="112">
        <v>1.0375799999999997</v>
      </c>
      <c r="AJ146" s="19">
        <v>1283</v>
      </c>
      <c r="AL146" s="271">
        <v>638</v>
      </c>
      <c r="AM146" s="77">
        <v>1.918597599999998E-2</v>
      </c>
      <c r="AN146" s="73" t="s">
        <v>262</v>
      </c>
      <c r="AO146" s="112">
        <v>7.7942322681215898E-2</v>
      </c>
      <c r="AP146" s="77">
        <v>0</v>
      </c>
      <c r="AQ146" s="77">
        <v>0</v>
      </c>
      <c r="AR146" s="77">
        <v>0.1268</v>
      </c>
      <c r="AS146" s="76">
        <v>0.1822</v>
      </c>
      <c r="AT146" s="77" t="s">
        <v>262</v>
      </c>
      <c r="AU146" s="77">
        <v>0.181270452</v>
      </c>
      <c r="AV146" s="77">
        <v>0.33987094759999997</v>
      </c>
      <c r="AW146" s="78" t="s">
        <v>262</v>
      </c>
      <c r="AX146" s="199"/>
      <c r="AY146" s="271">
        <v>638</v>
      </c>
      <c r="AZ146" s="77" t="s">
        <v>262</v>
      </c>
      <c r="BA146" s="77" t="s">
        <v>262</v>
      </c>
      <c r="BB146" s="77" t="s">
        <v>262</v>
      </c>
      <c r="BC146" s="77">
        <v>9.98046E-3</v>
      </c>
      <c r="BD146" s="77">
        <v>1.2715509999999999E-2</v>
      </c>
      <c r="BE146" s="76">
        <v>2.0542100000000001E-2</v>
      </c>
      <c r="BF146" s="77" t="s">
        <v>262</v>
      </c>
      <c r="BG146" s="77" t="s">
        <v>262</v>
      </c>
      <c r="BH146" s="77">
        <v>2.1500600000000002E-2</v>
      </c>
      <c r="BI146" s="76">
        <v>3.83065E-2</v>
      </c>
    </row>
    <row r="147" spans="1:61">
      <c r="A147" s="274"/>
      <c r="B147" s="16" t="s">
        <v>246</v>
      </c>
      <c r="C147" s="6">
        <v>639</v>
      </c>
      <c r="D147" s="17" t="s">
        <v>149</v>
      </c>
      <c r="E147" s="6">
        <v>-30</v>
      </c>
      <c r="F147" s="73">
        <v>0.4</v>
      </c>
      <c r="G147" s="72" t="s">
        <v>248</v>
      </c>
      <c r="H147" s="6" t="s">
        <v>16</v>
      </c>
      <c r="I147" s="104">
        <v>0.55000000000000004</v>
      </c>
      <c r="J147" s="107">
        <v>0.12</v>
      </c>
      <c r="K147" s="79">
        <v>1.9287180032326616</v>
      </c>
      <c r="L147" s="108">
        <v>1119.9148845915752</v>
      </c>
      <c r="M147" s="26"/>
      <c r="N147" s="271">
        <v>639</v>
      </c>
      <c r="O147" s="79">
        <v>0.12539</v>
      </c>
      <c r="P147" s="73">
        <v>1.6783999999999999</v>
      </c>
      <c r="Q147" s="73">
        <v>1.5958000000000001</v>
      </c>
      <c r="R147" s="73">
        <v>1.9692000000000001</v>
      </c>
      <c r="S147" s="79">
        <v>0.255</v>
      </c>
      <c r="T147" s="79">
        <v>0.26606000000000002</v>
      </c>
      <c r="U147" s="112">
        <v>1.5904</v>
      </c>
      <c r="V147" s="79">
        <v>0.11854000000000001</v>
      </c>
      <c r="W147" s="73">
        <v>1.6807000000000001</v>
      </c>
      <c r="X147" s="73">
        <v>1.6004</v>
      </c>
      <c r="Y147" s="73">
        <v>1.8286</v>
      </c>
      <c r="Z147" s="79">
        <v>0.254</v>
      </c>
      <c r="AA147" s="79">
        <v>0.22132000000000002</v>
      </c>
      <c r="AB147" s="112">
        <v>1.5623999999999998</v>
      </c>
      <c r="AC147" s="79">
        <v>0.1236</v>
      </c>
      <c r="AD147" s="73">
        <v>1.6912</v>
      </c>
      <c r="AE147" s="73">
        <v>1.6027</v>
      </c>
      <c r="AF147" s="73">
        <v>1.8286</v>
      </c>
      <c r="AG147" s="79">
        <v>0.254</v>
      </c>
      <c r="AH147" s="79">
        <v>0.26512000000000002</v>
      </c>
      <c r="AI147" s="112">
        <v>1.5173999999999999</v>
      </c>
      <c r="AJ147" s="19">
        <v>1349</v>
      </c>
      <c r="AL147" s="271">
        <v>639</v>
      </c>
      <c r="AM147" s="77">
        <v>0.10630882489999993</v>
      </c>
      <c r="AN147" s="73" t="s">
        <v>262</v>
      </c>
      <c r="AO147" s="112">
        <v>6.8939955522609342</v>
      </c>
      <c r="AP147" s="77">
        <v>0.1472</v>
      </c>
      <c r="AQ147" s="77">
        <v>3.9199999999999999E-2</v>
      </c>
      <c r="AR147" s="77">
        <v>2.8761000000000001</v>
      </c>
      <c r="AS147" s="76">
        <v>3.2906</v>
      </c>
      <c r="AT147" s="77">
        <v>0.37790692799999998</v>
      </c>
      <c r="AU147" s="77">
        <v>0.76252175999999994</v>
      </c>
      <c r="AV147" s="77">
        <v>1.1365324029999999</v>
      </c>
      <c r="AW147" s="78" t="s">
        <v>262</v>
      </c>
      <c r="AX147" s="199"/>
      <c r="AY147" s="271">
        <v>639</v>
      </c>
      <c r="AZ147" s="77">
        <v>1.377045E-2</v>
      </c>
      <c r="BA147" s="77">
        <v>7.3724100000000002E-3</v>
      </c>
      <c r="BB147" s="77">
        <v>2.4319899999999998E-2</v>
      </c>
      <c r="BC147" s="77">
        <v>2.66203E-2</v>
      </c>
      <c r="BD147" s="77">
        <v>4.1575100000000004E-2</v>
      </c>
      <c r="BE147" s="76">
        <v>4.5992699999999997E-2</v>
      </c>
      <c r="BF147" s="77">
        <v>5.3724050000000002E-3</v>
      </c>
      <c r="BG147" s="77">
        <v>6.3306980000000001E-3</v>
      </c>
      <c r="BH147" s="77">
        <v>2.75006E-2</v>
      </c>
      <c r="BI147" s="76">
        <v>4.63065E-2</v>
      </c>
    </row>
    <row r="148" spans="1:61">
      <c r="A148" s="274"/>
      <c r="B148" s="16" t="s">
        <v>246</v>
      </c>
      <c r="C148" s="6">
        <v>640</v>
      </c>
      <c r="D148" s="17" t="s">
        <v>150</v>
      </c>
      <c r="E148" s="6">
        <v>-30</v>
      </c>
      <c r="F148" s="73">
        <v>0.4</v>
      </c>
      <c r="G148" s="72" t="s">
        <v>248</v>
      </c>
      <c r="H148" s="6" t="s">
        <v>17</v>
      </c>
      <c r="I148" s="104">
        <v>0.55000000000000004</v>
      </c>
      <c r="J148" s="107">
        <v>0.12</v>
      </c>
      <c r="K148" s="79">
        <v>1.3638095790823928</v>
      </c>
      <c r="L148" s="108">
        <v>1103.8597825859642</v>
      </c>
      <c r="M148" s="26"/>
      <c r="N148" s="271">
        <v>640</v>
      </c>
      <c r="O148" s="79">
        <v>0.11133</v>
      </c>
      <c r="P148" s="73">
        <v>1.2784</v>
      </c>
      <c r="Q148" s="73">
        <v>1.2444999999999999</v>
      </c>
      <c r="R148" s="73">
        <v>1.3473999999999999</v>
      </c>
      <c r="S148" s="79">
        <v>0.248</v>
      </c>
      <c r="T148" s="79">
        <v>0.23471999999999998</v>
      </c>
      <c r="U148" s="112">
        <v>1.2345999999999999</v>
      </c>
      <c r="V148" s="79">
        <v>0.10591</v>
      </c>
      <c r="W148" s="73">
        <v>1.2783</v>
      </c>
      <c r="X148" s="73">
        <v>1.244</v>
      </c>
      <c r="Y148" s="73">
        <v>1.4221999999999999</v>
      </c>
      <c r="Z148" s="79">
        <v>0.20799999999999999</v>
      </c>
      <c r="AA148" s="79">
        <v>0.20823999999999998</v>
      </c>
      <c r="AB148" s="112">
        <v>1.2332000000000001</v>
      </c>
      <c r="AC148" s="79">
        <v>0.10854999999999999</v>
      </c>
      <c r="AD148" s="73">
        <v>1.2534000000000001</v>
      </c>
      <c r="AE148" s="73">
        <v>1.218</v>
      </c>
      <c r="AF148" s="73">
        <v>1.3473999999999999</v>
      </c>
      <c r="AG148" s="79">
        <v>0.254</v>
      </c>
      <c r="AH148" s="79">
        <v>0.20415999999999998</v>
      </c>
      <c r="AI148" s="112">
        <v>1.1830000000000001</v>
      </c>
      <c r="AJ148" s="19">
        <v>1246</v>
      </c>
      <c r="AL148" s="271">
        <v>640</v>
      </c>
      <c r="AM148" s="77">
        <v>6.0527082799999979E-2</v>
      </c>
      <c r="AN148" s="73" t="s">
        <v>262</v>
      </c>
      <c r="AO148" s="112">
        <v>0.2407704654895666</v>
      </c>
      <c r="AP148" s="77">
        <v>0</v>
      </c>
      <c r="AQ148" s="77">
        <v>0</v>
      </c>
      <c r="AR148" s="77">
        <v>0.65190000000000003</v>
      </c>
      <c r="AS148" s="76">
        <v>0.92079999999999995</v>
      </c>
      <c r="AT148" s="77" t="s">
        <v>262</v>
      </c>
      <c r="AU148" s="77">
        <v>0.50600010119999994</v>
      </c>
      <c r="AV148" s="77">
        <v>0.71470374599999997</v>
      </c>
      <c r="AW148" s="78" t="s">
        <v>262</v>
      </c>
      <c r="AX148" s="199"/>
      <c r="AY148" s="271">
        <v>640</v>
      </c>
      <c r="AZ148" s="77" t="s">
        <v>262</v>
      </c>
      <c r="BA148" s="77" t="s">
        <v>262</v>
      </c>
      <c r="BB148" s="77">
        <v>3.2503060000000001E-3</v>
      </c>
      <c r="BC148" s="77">
        <v>1.7328450000000002E-2</v>
      </c>
      <c r="BD148" s="77">
        <v>2.4004899999999999E-2</v>
      </c>
      <c r="BE148" s="76">
        <v>3.0844900000000001E-2</v>
      </c>
      <c r="BF148" s="77" t="s">
        <v>262</v>
      </c>
      <c r="BG148" s="77">
        <v>99.000330697999999</v>
      </c>
      <c r="BH148" s="77">
        <v>2.4500599999999997E-2</v>
      </c>
      <c r="BI148" s="76">
        <v>3.87949E-2</v>
      </c>
    </row>
    <row r="149" spans="1:61">
      <c r="A149" s="274"/>
      <c r="B149" s="16" t="s">
        <v>246</v>
      </c>
      <c r="C149" s="6">
        <v>641</v>
      </c>
      <c r="D149" s="17" t="s">
        <v>151</v>
      </c>
      <c r="E149" s="6">
        <v>-30</v>
      </c>
      <c r="F149" s="73">
        <v>0.4</v>
      </c>
      <c r="G149" s="72" t="s">
        <v>248</v>
      </c>
      <c r="H149" s="6" t="s">
        <v>18</v>
      </c>
      <c r="I149" s="104">
        <v>0.55000000000000004</v>
      </c>
      <c r="J149" s="107">
        <v>0.15</v>
      </c>
      <c r="K149" s="79">
        <v>2.1563722823279452</v>
      </c>
      <c r="L149" s="108">
        <v>1092.7443538737139</v>
      </c>
      <c r="M149" s="26"/>
      <c r="N149" s="271">
        <v>641</v>
      </c>
      <c r="O149" s="79">
        <v>0.16519</v>
      </c>
      <c r="P149" s="73">
        <v>1.8291999999999999</v>
      </c>
      <c r="Q149" s="73">
        <v>1.7183999999999999</v>
      </c>
      <c r="R149" s="73">
        <v>2.1333000000000002</v>
      </c>
      <c r="S149" s="79">
        <v>0.24399999999999999</v>
      </c>
      <c r="T149" s="79">
        <v>0.34854000000000002</v>
      </c>
      <c r="U149" s="112">
        <v>1.7507999999999999</v>
      </c>
      <c r="V149" s="79">
        <v>0.1487</v>
      </c>
      <c r="W149" s="73">
        <v>1.8092999999999999</v>
      </c>
      <c r="X149" s="73">
        <v>1.7053</v>
      </c>
      <c r="Y149" s="73">
        <v>2.1333000000000002</v>
      </c>
      <c r="Z149" s="79">
        <v>0.26800000000000002</v>
      </c>
      <c r="AA149" s="79">
        <v>0.2903</v>
      </c>
      <c r="AB149" s="112">
        <v>1.7213999999999998</v>
      </c>
      <c r="AC149" s="79">
        <v>0.16431000000000001</v>
      </c>
      <c r="AD149" s="73">
        <v>1.8532999999999999</v>
      </c>
      <c r="AE149" s="73">
        <v>1.7406999999999999</v>
      </c>
      <c r="AF149" s="73">
        <v>2.1333000000000002</v>
      </c>
      <c r="AG149" s="79">
        <v>0.24</v>
      </c>
      <c r="AH149" s="79">
        <v>0.316</v>
      </c>
      <c r="AI149" s="112">
        <v>1.7396</v>
      </c>
      <c r="AJ149" s="19">
        <v>1282</v>
      </c>
      <c r="AL149" s="271">
        <v>641</v>
      </c>
      <c r="AM149" s="77">
        <v>0.16731071609999995</v>
      </c>
      <c r="AN149" s="73">
        <v>0.62402496099843996</v>
      </c>
      <c r="AO149" s="112">
        <v>0</v>
      </c>
      <c r="AP149" s="77">
        <v>1.0241</v>
      </c>
      <c r="AQ149" s="77">
        <v>0.25490000000000002</v>
      </c>
      <c r="AR149" s="77">
        <v>5.1933999999999996</v>
      </c>
      <c r="AS149" s="76">
        <v>7.3840000000000003</v>
      </c>
      <c r="AT149" s="77">
        <v>0.79780587600000008</v>
      </c>
      <c r="AU149" s="77">
        <v>1.0131116819999999</v>
      </c>
      <c r="AV149" s="77">
        <v>1.5640947809999999</v>
      </c>
      <c r="AW149" s="78" t="s">
        <v>262</v>
      </c>
      <c r="AX149" s="199"/>
      <c r="AY149" s="271">
        <v>641</v>
      </c>
      <c r="AZ149" s="77">
        <v>2.5904799999999999E-2</v>
      </c>
      <c r="BA149" s="77">
        <v>1.5640999999999999E-2</v>
      </c>
      <c r="BB149" s="77">
        <v>4.0879100000000002E-2</v>
      </c>
      <c r="BC149" s="77">
        <v>4.1755799999999996E-2</v>
      </c>
      <c r="BD149" s="77">
        <v>5.8166099999999998E-2</v>
      </c>
      <c r="BE149" s="76">
        <v>6.4993899999999993E-2</v>
      </c>
      <c r="BF149" s="77">
        <v>1.0372404999999999E-2</v>
      </c>
      <c r="BG149" s="77">
        <v>8.330698000000001E-3</v>
      </c>
      <c r="BH149" s="77">
        <v>3.3500599999999998E-2</v>
      </c>
      <c r="BI149" s="76">
        <v>5.1306500000000005E-2</v>
      </c>
    </row>
    <row r="150" spans="1:61">
      <c r="A150" s="274"/>
      <c r="B150" s="115" t="s">
        <v>246</v>
      </c>
      <c r="C150" s="116">
        <v>642</v>
      </c>
      <c r="D150" s="147" t="s">
        <v>152</v>
      </c>
      <c r="E150" s="116">
        <v>-30</v>
      </c>
      <c r="F150" s="118">
        <v>0.4</v>
      </c>
      <c r="G150" s="117" t="s">
        <v>248</v>
      </c>
      <c r="H150" s="116" t="s">
        <v>19</v>
      </c>
      <c r="I150" s="120">
        <v>0.55000000000000004</v>
      </c>
      <c r="J150" s="121">
        <v>0.15</v>
      </c>
      <c r="K150" s="122">
        <v>1.5247854635968026</v>
      </c>
      <c r="L150" s="123">
        <v>1116.1033617173778</v>
      </c>
      <c r="M150" s="26"/>
      <c r="N150" s="278">
        <v>642</v>
      </c>
      <c r="O150" s="122">
        <v>0.14524000000000001</v>
      </c>
      <c r="P150" s="118">
        <v>1.3833</v>
      </c>
      <c r="Q150" s="118">
        <v>1.3368</v>
      </c>
      <c r="R150" s="118">
        <v>1.5059</v>
      </c>
      <c r="S150" s="122">
        <v>0.22700000000000001</v>
      </c>
      <c r="T150" s="122">
        <v>0.29088000000000003</v>
      </c>
      <c r="U150" s="124">
        <v>1.3420000000000001</v>
      </c>
      <c r="V150" s="122">
        <v>0.13619999999999999</v>
      </c>
      <c r="W150" s="118">
        <v>1.4026000000000001</v>
      </c>
      <c r="X150" s="118">
        <v>1.3551</v>
      </c>
      <c r="Y150" s="118">
        <v>1.5059</v>
      </c>
      <c r="Z150" s="122">
        <v>0.2</v>
      </c>
      <c r="AA150" s="122">
        <v>0.23826</v>
      </c>
      <c r="AB150" s="124">
        <v>1.3670000000000002</v>
      </c>
      <c r="AC150" s="122">
        <v>0.13600000000000001</v>
      </c>
      <c r="AD150" s="118">
        <v>1.3832</v>
      </c>
      <c r="AE150" s="118">
        <v>1.3317000000000001</v>
      </c>
      <c r="AF150" s="118">
        <v>1.5059</v>
      </c>
      <c r="AG150" s="122">
        <v>0.247</v>
      </c>
      <c r="AH150" s="122">
        <v>0.24887999999999999</v>
      </c>
      <c r="AI150" s="124">
        <v>1.3186</v>
      </c>
      <c r="AJ150" s="125">
        <v>1211</v>
      </c>
      <c r="AL150" s="278">
        <v>642</v>
      </c>
      <c r="AM150" s="126">
        <v>9.2868789299999949E-2</v>
      </c>
      <c r="AN150" s="118" t="s">
        <v>262</v>
      </c>
      <c r="AO150" s="124">
        <v>2.0644095788604457</v>
      </c>
      <c r="AP150" s="126">
        <v>5.9499999999999997E-2</v>
      </c>
      <c r="AQ150" s="126">
        <v>0</v>
      </c>
      <c r="AR150" s="126">
        <v>2.3978999999999999</v>
      </c>
      <c r="AS150" s="127">
        <v>2.5194999999999999</v>
      </c>
      <c r="AT150" s="126">
        <v>0.12125139264000001</v>
      </c>
      <c r="AU150" s="126">
        <v>0.67948564199999995</v>
      </c>
      <c r="AV150" s="126">
        <v>0.95656678999999989</v>
      </c>
      <c r="AW150" s="148" t="s">
        <v>262</v>
      </c>
      <c r="AX150" s="199"/>
      <c r="AY150" s="278">
        <v>642</v>
      </c>
      <c r="AZ150" s="126">
        <v>5.3772899999999998E-3</v>
      </c>
      <c r="BA150" s="126">
        <v>3.4285700000000001E-3</v>
      </c>
      <c r="BB150" s="126">
        <v>1.5914500000000002E-2</v>
      </c>
      <c r="BC150" s="126">
        <v>2.39048E-2</v>
      </c>
      <c r="BD150" s="126">
        <v>3.3496899999999996E-2</v>
      </c>
      <c r="BE150" s="127">
        <v>4.18486E-2</v>
      </c>
      <c r="BF150" s="126">
        <v>1.5372404999999999E-2</v>
      </c>
      <c r="BG150" s="126">
        <v>3.330698E-3</v>
      </c>
      <c r="BH150" s="126">
        <v>2.5500599999999998E-2</v>
      </c>
      <c r="BI150" s="127">
        <v>4.3283299999999997E-2</v>
      </c>
    </row>
    <row r="151" spans="1:61">
      <c r="A151" s="274"/>
      <c r="B151" s="16" t="s">
        <v>247</v>
      </c>
      <c r="C151" s="6">
        <v>631</v>
      </c>
      <c r="D151" s="17" t="s">
        <v>153</v>
      </c>
      <c r="E151" s="6">
        <v>-45</v>
      </c>
      <c r="F151" s="73">
        <v>0.4</v>
      </c>
      <c r="G151" s="72" t="s">
        <v>248</v>
      </c>
      <c r="H151" s="6" t="s">
        <v>14</v>
      </c>
      <c r="I151" s="104">
        <v>0.55000000000000004</v>
      </c>
      <c r="J151" s="107">
        <v>0.09</v>
      </c>
      <c r="K151" s="79">
        <v>1.6703187875358823</v>
      </c>
      <c r="L151" s="108">
        <v>1097.2320292409461</v>
      </c>
      <c r="M151" s="26"/>
      <c r="N151" s="271">
        <v>631</v>
      </c>
      <c r="O151" s="79">
        <v>8.7321999999999997E-2</v>
      </c>
      <c r="P151" s="73">
        <v>1.5728</v>
      </c>
      <c r="Q151" s="73">
        <v>1.5241</v>
      </c>
      <c r="R151" s="73">
        <v>1.7067000000000001</v>
      </c>
      <c r="S151" s="79">
        <v>0.374</v>
      </c>
      <c r="T151" s="79">
        <v>0.17836000000000002</v>
      </c>
      <c r="U151" s="112">
        <v>1.4419999999999999</v>
      </c>
      <c r="V151" s="79">
        <v>7.8577999999999995E-2</v>
      </c>
      <c r="W151" s="73">
        <v>1.5368999999999999</v>
      </c>
      <c r="X151" s="73">
        <v>1.4847999999999999</v>
      </c>
      <c r="Y151" s="73">
        <v>1.6</v>
      </c>
      <c r="Z151" s="79">
        <v>0.379</v>
      </c>
      <c r="AA151" s="79">
        <v>0.15743999999999997</v>
      </c>
      <c r="AB151" s="112">
        <v>1.4114</v>
      </c>
      <c r="AC151" s="79">
        <v>9.0871999999999994E-2</v>
      </c>
      <c r="AD151" s="73">
        <v>1.5527</v>
      </c>
      <c r="AE151" s="73">
        <v>1.5035000000000001</v>
      </c>
      <c r="AF151" s="73">
        <v>1.7067000000000001</v>
      </c>
      <c r="AG151" s="79">
        <v>0.36299999999999999</v>
      </c>
      <c r="AH151" s="79">
        <v>0.17436000000000001</v>
      </c>
      <c r="AI151" s="112">
        <v>1.3686000000000003</v>
      </c>
      <c r="AJ151" s="19">
        <v>1298</v>
      </c>
      <c r="AL151" s="271">
        <v>631</v>
      </c>
      <c r="AM151" s="77">
        <v>8.1114220499999973E-2</v>
      </c>
      <c r="AN151" s="73" t="s">
        <v>262</v>
      </c>
      <c r="AO151" s="112">
        <v>0.38520801232665641</v>
      </c>
      <c r="AP151" s="77">
        <v>0</v>
      </c>
      <c r="AQ151" s="77">
        <v>0</v>
      </c>
      <c r="AR151" s="77">
        <v>0.50509999999999999</v>
      </c>
      <c r="AS151" s="76">
        <v>0.69230000000000003</v>
      </c>
      <c r="AT151" s="77" t="s">
        <v>262</v>
      </c>
      <c r="AU151" s="77" t="s">
        <v>262</v>
      </c>
      <c r="AV151" s="77">
        <v>0.83620793599999999</v>
      </c>
      <c r="AW151" s="78">
        <v>0.4416667125</v>
      </c>
      <c r="AX151" s="199"/>
      <c r="AY151" s="271">
        <v>631</v>
      </c>
      <c r="AZ151" s="77" t="s">
        <v>262</v>
      </c>
      <c r="BA151" s="77" t="s">
        <v>262</v>
      </c>
      <c r="BB151" s="77" t="s">
        <v>262</v>
      </c>
      <c r="BC151" s="77">
        <v>1.6865079999999998E-2</v>
      </c>
      <c r="BD151" s="77">
        <v>2.5550700000000003E-2</v>
      </c>
      <c r="BE151" s="76">
        <v>3.0285699999999999E-2</v>
      </c>
      <c r="BF151" s="77" t="s">
        <v>262</v>
      </c>
      <c r="BG151" s="77" t="s">
        <v>262</v>
      </c>
      <c r="BH151" s="77">
        <v>2.4500599999999997E-2</v>
      </c>
      <c r="BI151" s="76">
        <v>4.0306500000000002E-2</v>
      </c>
    </row>
    <row r="152" spans="1:61">
      <c r="A152" s="274"/>
      <c r="B152" s="16" t="s">
        <v>247</v>
      </c>
      <c r="C152" s="6">
        <v>632</v>
      </c>
      <c r="D152" s="17" t="s">
        <v>154</v>
      </c>
      <c r="E152" s="6">
        <v>-45</v>
      </c>
      <c r="F152" s="73">
        <v>0.4</v>
      </c>
      <c r="G152" s="72" t="s">
        <v>248</v>
      </c>
      <c r="H152" s="6" t="s">
        <v>15</v>
      </c>
      <c r="I152" s="104">
        <v>0.55000000000000004</v>
      </c>
      <c r="J152" s="107">
        <v>0.09</v>
      </c>
      <c r="K152" s="79">
        <v>1.1810937414099143</v>
      </c>
      <c r="L152" s="108">
        <v>1108.3717263019273</v>
      </c>
      <c r="M152" s="26"/>
      <c r="N152" s="271">
        <v>632</v>
      </c>
      <c r="O152" s="79">
        <v>6.0964999999999998E-2</v>
      </c>
      <c r="P152" s="73">
        <v>1.1822999999999999</v>
      </c>
      <c r="Q152" s="73">
        <v>1.1553</v>
      </c>
      <c r="R152" s="73">
        <v>1.2190000000000001</v>
      </c>
      <c r="S152" s="79">
        <v>0.39300000000000002</v>
      </c>
      <c r="T152" s="79">
        <v>0.16409999999999997</v>
      </c>
      <c r="U152" s="112">
        <v>1.1179999999999999</v>
      </c>
      <c r="V152" s="79">
        <v>6.1581999999999998E-2</v>
      </c>
      <c r="W152" s="73">
        <v>1.1624000000000001</v>
      </c>
      <c r="X152" s="73">
        <v>1.1386000000000001</v>
      </c>
      <c r="Y152" s="73">
        <v>1.1636</v>
      </c>
      <c r="Z152" s="79">
        <v>0.33200000000000002</v>
      </c>
      <c r="AA152" s="79">
        <v>0.14601999999999998</v>
      </c>
      <c r="AB152" s="112">
        <v>1.1141999999999999</v>
      </c>
      <c r="AC152" s="79">
        <v>6.7325999999999997E-2</v>
      </c>
      <c r="AD152" s="73">
        <v>1.1814</v>
      </c>
      <c r="AE152" s="73">
        <v>1.1561999999999999</v>
      </c>
      <c r="AF152" s="73">
        <v>1.2190000000000001</v>
      </c>
      <c r="AG152" s="79">
        <v>0.35899999999999999</v>
      </c>
      <c r="AH152" s="79">
        <v>0.17613999999999999</v>
      </c>
      <c r="AI152" s="112">
        <v>1.07762</v>
      </c>
      <c r="AJ152" s="19">
        <v>1242</v>
      </c>
      <c r="AL152" s="271">
        <v>632</v>
      </c>
      <c r="AM152" s="77">
        <v>2.4006729599999971E-2</v>
      </c>
      <c r="AN152" s="73" t="s">
        <v>262</v>
      </c>
      <c r="AO152" s="112" t="s">
        <v>262</v>
      </c>
      <c r="AP152" s="77">
        <v>0</v>
      </c>
      <c r="AQ152" s="77">
        <v>0</v>
      </c>
      <c r="AR152" s="77">
        <v>3.85E-2</v>
      </c>
      <c r="AS152" s="76">
        <v>6.9800000000000001E-2</v>
      </c>
      <c r="AT152" s="77" t="s">
        <v>262</v>
      </c>
      <c r="AU152" s="77" t="s">
        <v>262</v>
      </c>
      <c r="AV152" s="77">
        <v>0.26994818479999994</v>
      </c>
      <c r="AW152" s="78" t="s">
        <v>262</v>
      </c>
      <c r="AX152" s="199"/>
      <c r="AY152" s="271">
        <v>632</v>
      </c>
      <c r="AZ152" s="77" t="s">
        <v>262</v>
      </c>
      <c r="BA152" s="77" t="s">
        <v>262</v>
      </c>
      <c r="BB152" s="77" t="s">
        <v>262</v>
      </c>
      <c r="BC152" s="77">
        <v>8.0537200000000003E-3</v>
      </c>
      <c r="BD152" s="77">
        <v>1.0439560000000001E-2</v>
      </c>
      <c r="BE152" s="76">
        <v>1.606838E-2</v>
      </c>
      <c r="BF152" s="77" t="s">
        <v>262</v>
      </c>
      <c r="BG152" s="77" t="s">
        <v>262</v>
      </c>
      <c r="BH152" s="77">
        <v>1.95006E-2</v>
      </c>
      <c r="BI152" s="76">
        <v>3.6794899999999998E-2</v>
      </c>
    </row>
    <row r="153" spans="1:61">
      <c r="A153" s="274"/>
      <c r="B153" s="16" t="s">
        <v>247</v>
      </c>
      <c r="C153" s="6">
        <v>633</v>
      </c>
      <c r="D153" s="17" t="s">
        <v>155</v>
      </c>
      <c r="E153" s="6">
        <v>-45</v>
      </c>
      <c r="F153" s="73">
        <v>0.4</v>
      </c>
      <c r="G153" s="72" t="s">
        <v>248</v>
      </c>
      <c r="H153" s="6" t="s">
        <v>16</v>
      </c>
      <c r="I153" s="104">
        <v>0.55000000000000004</v>
      </c>
      <c r="J153" s="107">
        <v>0.12</v>
      </c>
      <c r="K153" s="79">
        <v>1.9287180032326616</v>
      </c>
      <c r="L153" s="108">
        <v>1119.9148845915752</v>
      </c>
      <c r="M153" s="26"/>
      <c r="N153" s="271">
        <v>633</v>
      </c>
      <c r="O153" s="79">
        <v>0.12178</v>
      </c>
      <c r="P153" s="73">
        <v>1.7230000000000001</v>
      </c>
      <c r="Q153" s="73">
        <v>1.6467000000000001</v>
      </c>
      <c r="R153" s="73">
        <v>1.9692000000000001</v>
      </c>
      <c r="S153" s="79">
        <v>0.33200000000000002</v>
      </c>
      <c r="T153" s="79">
        <v>0.25846000000000002</v>
      </c>
      <c r="U153" s="112">
        <v>1.5935999999999999</v>
      </c>
      <c r="V153" s="79">
        <v>0.11144999999999999</v>
      </c>
      <c r="W153" s="73">
        <v>1.738</v>
      </c>
      <c r="X153" s="73">
        <v>1.6604000000000001</v>
      </c>
      <c r="Y153" s="73">
        <v>1.9692000000000001</v>
      </c>
      <c r="Z153" s="79">
        <v>0.33900000000000002</v>
      </c>
      <c r="AA153" s="79">
        <v>0.22807999999999998</v>
      </c>
      <c r="AB153" s="112">
        <v>1.6097999999999999</v>
      </c>
      <c r="AC153" s="79">
        <v>0.12404999999999999</v>
      </c>
      <c r="AD153" s="73">
        <v>1.7101</v>
      </c>
      <c r="AE153" s="73">
        <v>1.6355</v>
      </c>
      <c r="AF153" s="73">
        <v>1.9692000000000001</v>
      </c>
      <c r="AG153" s="79">
        <v>0.378</v>
      </c>
      <c r="AH153" s="79">
        <v>0.25153999999999999</v>
      </c>
      <c r="AI153" s="112">
        <v>1.5264</v>
      </c>
      <c r="AJ153" s="19">
        <v>1359</v>
      </c>
      <c r="AL153" s="271">
        <v>633</v>
      </c>
      <c r="AM153" s="77">
        <v>0.11670832249999996</v>
      </c>
      <c r="AN153" s="73">
        <v>7.358351729212656E-2</v>
      </c>
      <c r="AO153" s="112">
        <v>4.2678440029433409</v>
      </c>
      <c r="AP153" s="77">
        <v>0</v>
      </c>
      <c r="AQ153" s="77">
        <v>0</v>
      </c>
      <c r="AR153" s="77">
        <v>1.9815</v>
      </c>
      <c r="AS153" s="76">
        <v>2.8725999999999998</v>
      </c>
      <c r="AT153" s="77" t="s">
        <v>262</v>
      </c>
      <c r="AU153" s="77" t="s">
        <v>262</v>
      </c>
      <c r="AV153" s="77">
        <v>1.1972844980000001</v>
      </c>
      <c r="AW153" s="78">
        <v>0.68611074999999999</v>
      </c>
      <c r="AX153" s="199"/>
      <c r="AY153" s="271">
        <v>633</v>
      </c>
      <c r="AZ153" s="77" t="s">
        <v>262</v>
      </c>
      <c r="BA153" s="77" t="s">
        <v>262</v>
      </c>
      <c r="BB153" s="77">
        <v>1.286935E-2</v>
      </c>
      <c r="BC153" s="77">
        <v>2.3199000000000001E-2</v>
      </c>
      <c r="BD153" s="77">
        <v>3.6835199999999998E-2</v>
      </c>
      <c r="BE153" s="76">
        <v>4.05861E-2</v>
      </c>
      <c r="BF153" s="77">
        <v>1.0372404999999999E-2</v>
      </c>
      <c r="BG153" s="77">
        <v>3.330698E-3</v>
      </c>
      <c r="BH153" s="77">
        <v>2.9500600000000002E-2</v>
      </c>
      <c r="BI153" s="76">
        <v>4.4306499999999999E-2</v>
      </c>
    </row>
    <row r="154" spans="1:61">
      <c r="A154" s="274"/>
      <c r="B154" s="16" t="s">
        <v>247</v>
      </c>
      <c r="C154" s="6">
        <v>634</v>
      </c>
      <c r="D154" s="17" t="s">
        <v>156</v>
      </c>
      <c r="E154" s="6">
        <v>-45</v>
      </c>
      <c r="F154" s="73">
        <v>0.4</v>
      </c>
      <c r="G154" s="72" t="s">
        <v>248</v>
      </c>
      <c r="H154" s="6" t="s">
        <v>17</v>
      </c>
      <c r="I154" s="104">
        <v>0.55000000000000004</v>
      </c>
      <c r="J154" s="107">
        <v>0.12</v>
      </c>
      <c r="K154" s="79">
        <v>1.3638095790823928</v>
      </c>
      <c r="L154" s="108">
        <v>1103.8597825859642</v>
      </c>
      <c r="M154" s="26"/>
      <c r="N154" s="271">
        <v>634</v>
      </c>
      <c r="O154" s="79">
        <v>9.8026000000000002E-2</v>
      </c>
      <c r="P154" s="73">
        <v>1.3187</v>
      </c>
      <c r="Q154" s="73">
        <v>1.2798</v>
      </c>
      <c r="R154" s="73">
        <v>1.3473999999999999</v>
      </c>
      <c r="S154" s="79">
        <v>0.36799999999999999</v>
      </c>
      <c r="T154" s="79">
        <v>0.21335999999999999</v>
      </c>
      <c r="U154" s="112">
        <v>1.2529999999999999</v>
      </c>
      <c r="V154" s="79">
        <v>9.4879000000000005E-2</v>
      </c>
      <c r="W154" s="73">
        <v>1.3079000000000001</v>
      </c>
      <c r="X154" s="73">
        <v>1.2737000000000001</v>
      </c>
      <c r="Y154" s="73">
        <v>1.3473999999999999</v>
      </c>
      <c r="Z154" s="79">
        <v>0.30299999999999999</v>
      </c>
      <c r="AA154" s="79">
        <v>0.18958</v>
      </c>
      <c r="AB154" s="112">
        <v>1.2496</v>
      </c>
      <c r="AC154" s="79">
        <v>0.10829</v>
      </c>
      <c r="AD154" s="73">
        <v>1.3222</v>
      </c>
      <c r="AE154" s="73">
        <v>1.2889999999999999</v>
      </c>
      <c r="AF154" s="73">
        <v>1.3473999999999999</v>
      </c>
      <c r="AG154" s="79">
        <v>0.312</v>
      </c>
      <c r="AH154" s="79">
        <v>0.22360000000000002</v>
      </c>
      <c r="AI154" s="112">
        <v>1.2347999999999999</v>
      </c>
      <c r="AJ154" s="19">
        <v>1157</v>
      </c>
      <c r="AL154" s="271">
        <v>634</v>
      </c>
      <c r="AM154" s="77">
        <v>6.7792518799999965E-2</v>
      </c>
      <c r="AN154" s="73" t="s">
        <v>262</v>
      </c>
      <c r="AO154" s="112">
        <v>0.17286084701815038</v>
      </c>
      <c r="AP154" s="77">
        <v>0</v>
      </c>
      <c r="AQ154" s="77">
        <v>0</v>
      </c>
      <c r="AR154" s="77">
        <v>0.36059999999999998</v>
      </c>
      <c r="AS154" s="76">
        <v>0.52100000000000002</v>
      </c>
      <c r="AT154" s="77" t="s">
        <v>262</v>
      </c>
      <c r="AU154" s="77" t="s">
        <v>262</v>
      </c>
      <c r="AV154" s="77">
        <v>0.82474518799999996</v>
      </c>
      <c r="AW154" s="78" t="s">
        <v>262</v>
      </c>
      <c r="AX154" s="199"/>
      <c r="AY154" s="271">
        <v>634</v>
      </c>
      <c r="AZ154" s="77" t="s">
        <v>262</v>
      </c>
      <c r="BA154" s="77" t="s">
        <v>262</v>
      </c>
      <c r="BB154" s="77" t="s">
        <v>262</v>
      </c>
      <c r="BC154" s="77">
        <v>1.4945050000000001E-2</v>
      </c>
      <c r="BD154" s="77">
        <v>2.0158700000000002E-2</v>
      </c>
      <c r="BE154" s="76">
        <v>2.7318700000000001E-2</v>
      </c>
      <c r="BF154" s="77" t="s">
        <v>262</v>
      </c>
      <c r="BG154" s="77" t="s">
        <v>262</v>
      </c>
      <c r="BH154" s="77">
        <v>2.2500599999999999E-2</v>
      </c>
      <c r="BI154" s="76">
        <v>3.92833E-2</v>
      </c>
    </row>
    <row r="155" spans="1:61">
      <c r="A155" s="274"/>
      <c r="B155" s="16" t="s">
        <v>247</v>
      </c>
      <c r="C155" s="6">
        <v>635</v>
      </c>
      <c r="D155" s="17" t="s">
        <v>157</v>
      </c>
      <c r="E155" s="6">
        <v>-45</v>
      </c>
      <c r="F155" s="73">
        <v>0.4</v>
      </c>
      <c r="G155" s="72" t="s">
        <v>248</v>
      </c>
      <c r="H155" s="6" t="s">
        <v>18</v>
      </c>
      <c r="I155" s="104">
        <v>0.55000000000000004</v>
      </c>
      <c r="J155" s="107">
        <v>0.15</v>
      </c>
      <c r="K155" s="79">
        <v>2.1563722823279452</v>
      </c>
      <c r="L155" s="108">
        <v>1092.7443538737139</v>
      </c>
      <c r="M155" s="26"/>
      <c r="N155" s="271">
        <v>635</v>
      </c>
      <c r="O155" s="79">
        <v>0.15479000000000001</v>
      </c>
      <c r="P155" s="73">
        <v>1.8509</v>
      </c>
      <c r="Q155" s="73">
        <v>1.748</v>
      </c>
      <c r="R155" s="73">
        <v>2.1333000000000002</v>
      </c>
      <c r="S155" s="79">
        <v>0.315</v>
      </c>
      <c r="T155" s="79">
        <v>0.30964000000000003</v>
      </c>
      <c r="U155" s="112">
        <v>1.7565999999999999</v>
      </c>
      <c r="V155" s="79">
        <v>0.15032999999999999</v>
      </c>
      <c r="W155" s="73">
        <v>1.8940999999999999</v>
      </c>
      <c r="X155" s="73">
        <v>1.7941</v>
      </c>
      <c r="Y155" s="73">
        <v>2.1333000000000002</v>
      </c>
      <c r="Z155" s="79">
        <v>0.317</v>
      </c>
      <c r="AA155" s="79">
        <v>0.28532000000000002</v>
      </c>
      <c r="AB155" s="112">
        <v>1.8006</v>
      </c>
      <c r="AC155" s="79">
        <v>0.15207000000000001</v>
      </c>
      <c r="AD155" s="73">
        <v>1.8448</v>
      </c>
      <c r="AE155" s="73">
        <v>1.7457</v>
      </c>
      <c r="AF155" s="73">
        <v>2.1333000000000002</v>
      </c>
      <c r="AG155" s="79">
        <v>0.41699999999999998</v>
      </c>
      <c r="AH155" s="79">
        <v>0.28856000000000004</v>
      </c>
      <c r="AI155" s="112">
        <v>1.6824000000000001</v>
      </c>
      <c r="AJ155" s="19">
        <v>1308</v>
      </c>
      <c r="AL155" s="271">
        <v>635</v>
      </c>
      <c r="AM155" s="77">
        <v>0.16887774689999996</v>
      </c>
      <c r="AN155" s="73">
        <v>0.38226299694189603</v>
      </c>
      <c r="AO155" s="112">
        <v>73.241590214067273</v>
      </c>
      <c r="AP155" s="77">
        <v>0.08</v>
      </c>
      <c r="AQ155" s="77">
        <v>9.2100000000000001E-2</v>
      </c>
      <c r="AR155" s="77">
        <v>4.0148000000000001</v>
      </c>
      <c r="AS155" s="76">
        <v>5.0045999999999999</v>
      </c>
      <c r="AT155" s="77">
        <v>0.51284167200000008</v>
      </c>
      <c r="AU155" s="77" t="s">
        <v>262</v>
      </c>
      <c r="AV155" s="77">
        <v>1.459782366</v>
      </c>
      <c r="AW155" s="78">
        <v>0.83214299999999997</v>
      </c>
      <c r="AX155" s="199"/>
      <c r="AY155" s="271">
        <v>635</v>
      </c>
      <c r="AZ155" s="77">
        <v>1.6649570000000002E-2</v>
      </c>
      <c r="BA155" s="77">
        <v>6.9352900000000002E-3</v>
      </c>
      <c r="BB155" s="77">
        <v>2.2244199999999999E-2</v>
      </c>
      <c r="BC155" s="77">
        <v>2.95336E-2</v>
      </c>
      <c r="BD155" s="77">
        <v>4.1130699999999999E-2</v>
      </c>
      <c r="BE155" s="76">
        <v>5.0847400000000001E-2</v>
      </c>
      <c r="BF155" s="77">
        <v>1.0372404999999999E-2</v>
      </c>
      <c r="BG155" s="77">
        <v>8.330698000000001E-3</v>
      </c>
      <c r="BH155" s="77">
        <v>3.3500599999999998E-2</v>
      </c>
      <c r="BI155" s="76">
        <v>5.1306500000000005E-2</v>
      </c>
    </row>
    <row r="156" spans="1:61">
      <c r="A156" s="274"/>
      <c r="B156" s="16" t="s">
        <v>247</v>
      </c>
      <c r="C156" s="6">
        <v>636</v>
      </c>
      <c r="D156" s="17" t="s">
        <v>158</v>
      </c>
      <c r="E156" s="6">
        <v>-45</v>
      </c>
      <c r="F156" s="73">
        <v>0.4</v>
      </c>
      <c r="G156" s="72" t="s">
        <v>248</v>
      </c>
      <c r="H156" s="6" t="s">
        <v>19</v>
      </c>
      <c r="I156" s="104">
        <v>0.55000000000000004</v>
      </c>
      <c r="J156" s="107">
        <v>0.15</v>
      </c>
      <c r="K156" s="79">
        <v>1.5247854635968026</v>
      </c>
      <c r="L156" s="108">
        <v>1116.1033617173778</v>
      </c>
      <c r="M156" s="26"/>
      <c r="N156" s="271">
        <v>636</v>
      </c>
      <c r="O156" s="79">
        <v>0.1363</v>
      </c>
      <c r="P156" s="73">
        <v>1.4397</v>
      </c>
      <c r="Q156" s="73">
        <v>1.3875</v>
      </c>
      <c r="R156" s="73">
        <v>1.5059</v>
      </c>
      <c r="S156" s="79">
        <v>0.32600000000000001</v>
      </c>
      <c r="T156" s="79">
        <v>0.27986</v>
      </c>
      <c r="U156" s="112">
        <v>1.3757999999999999</v>
      </c>
      <c r="V156" s="79">
        <v>0.12816</v>
      </c>
      <c r="W156" s="73">
        <v>1.4301999999999999</v>
      </c>
      <c r="X156" s="73">
        <v>1.3834</v>
      </c>
      <c r="Y156" s="73">
        <v>1.5059</v>
      </c>
      <c r="Z156" s="79">
        <v>0.28399999999999997</v>
      </c>
      <c r="AA156" s="79">
        <v>0.22768000000000002</v>
      </c>
      <c r="AB156" s="112">
        <v>1.3694</v>
      </c>
      <c r="AC156" s="79">
        <v>0.1444</v>
      </c>
      <c r="AD156" s="73">
        <v>1.4462999999999999</v>
      </c>
      <c r="AE156" s="73">
        <v>1.4016999999999999</v>
      </c>
      <c r="AF156" s="73">
        <v>1.5059</v>
      </c>
      <c r="AG156" s="79">
        <v>0.30599999999999999</v>
      </c>
      <c r="AH156" s="79">
        <v>0.24046000000000003</v>
      </c>
      <c r="AI156" s="112">
        <v>1.3542000000000001</v>
      </c>
      <c r="AJ156" s="19">
        <v>1184</v>
      </c>
      <c r="AL156" s="271">
        <v>636</v>
      </c>
      <c r="AM156" s="77">
        <v>9.3367445699999968E-2</v>
      </c>
      <c r="AN156" s="73" t="s">
        <v>262</v>
      </c>
      <c r="AO156" s="112">
        <v>1.5202702702702704</v>
      </c>
      <c r="AP156" s="77">
        <v>0</v>
      </c>
      <c r="AQ156" s="77">
        <v>0</v>
      </c>
      <c r="AR156" s="77">
        <v>1.0475000000000001</v>
      </c>
      <c r="AS156" s="76">
        <v>1.4448000000000001</v>
      </c>
      <c r="AT156" s="77" t="s">
        <v>262</v>
      </c>
      <c r="AU156" s="77" t="s">
        <v>262</v>
      </c>
      <c r="AV156" s="77" t="s">
        <v>262</v>
      </c>
      <c r="AW156" s="78" t="s">
        <v>262</v>
      </c>
      <c r="AX156" s="199"/>
      <c r="AY156" s="271">
        <v>636</v>
      </c>
      <c r="AZ156" s="77" t="s">
        <v>262</v>
      </c>
      <c r="BA156" s="77" t="s">
        <v>262</v>
      </c>
      <c r="BB156" s="77">
        <v>9.1257600000000001E-3</v>
      </c>
      <c r="BC156" s="77">
        <v>1.979976E-2</v>
      </c>
      <c r="BD156" s="77">
        <v>2.7533599999999998E-2</v>
      </c>
      <c r="BE156" s="76">
        <v>3.5711800000000002E-2</v>
      </c>
      <c r="BF156" s="77" t="s">
        <v>262</v>
      </c>
      <c r="BG156" s="77" t="s">
        <v>262</v>
      </c>
      <c r="BH156" s="77" t="s">
        <v>262</v>
      </c>
      <c r="BI156" s="76" t="s">
        <v>262</v>
      </c>
    </row>
    <row r="157" spans="1:61" ht="13.5" thickBot="1">
      <c r="B157" s="21"/>
      <c r="C157" s="20"/>
      <c r="D157" s="94"/>
      <c r="E157" s="20"/>
      <c r="F157" s="96"/>
      <c r="G157" s="20"/>
      <c r="H157" s="20"/>
      <c r="I157" s="103"/>
      <c r="J157" s="109"/>
      <c r="K157" s="97"/>
      <c r="L157" s="110"/>
      <c r="M157" s="26"/>
      <c r="N157" s="21"/>
      <c r="O157" s="97"/>
      <c r="P157" s="95"/>
      <c r="Q157" s="95"/>
      <c r="R157" s="95"/>
      <c r="S157" s="97"/>
      <c r="T157" s="97"/>
      <c r="U157" s="113"/>
      <c r="V157" s="97"/>
      <c r="W157" s="95"/>
      <c r="X157" s="95"/>
      <c r="Y157" s="95"/>
      <c r="Z157" s="97"/>
      <c r="AA157" s="97"/>
      <c r="AB157" s="113"/>
      <c r="AC157" s="97"/>
      <c r="AD157" s="95"/>
      <c r="AE157" s="95"/>
      <c r="AF157" s="95"/>
      <c r="AG157" s="97"/>
      <c r="AH157" s="97"/>
      <c r="AI157" s="113"/>
      <c r="AJ157" s="22"/>
      <c r="AL157" s="21"/>
      <c r="AM157" s="20"/>
      <c r="AN157" s="95"/>
      <c r="AO157" s="113"/>
      <c r="AP157" s="20"/>
      <c r="AQ157" s="20"/>
      <c r="AR157" s="20"/>
      <c r="AS157" s="22"/>
      <c r="AT157" s="20"/>
      <c r="AU157" s="20"/>
      <c r="AV157" s="20"/>
      <c r="AW157" s="22"/>
      <c r="AY157" s="21"/>
      <c r="AZ157" s="20"/>
      <c r="BA157" s="20"/>
      <c r="BB157" s="20"/>
      <c r="BC157" s="20"/>
      <c r="BD157" s="20"/>
      <c r="BE157" s="22"/>
      <c r="BF157" s="20"/>
      <c r="BG157" s="20"/>
      <c r="BH157" s="20"/>
      <c r="BI157" s="22"/>
    </row>
    <row r="158" spans="1:61">
      <c r="F158" s="82"/>
      <c r="K158" s="79"/>
      <c r="L158" s="26"/>
      <c r="M158" s="26"/>
    </row>
    <row r="159" spans="1:61">
      <c r="F159" s="82"/>
      <c r="K159" s="79"/>
      <c r="L159" s="26"/>
      <c r="M159" s="26"/>
    </row>
    <row r="160" spans="1:61">
      <c r="F160" s="82"/>
      <c r="K160" s="79"/>
      <c r="L160" s="26"/>
      <c r="M160" s="26"/>
    </row>
    <row r="161" spans="6:13">
      <c r="F161" s="82"/>
      <c r="K161" s="79"/>
      <c r="L161" s="26"/>
      <c r="M161" s="26"/>
    </row>
    <row r="162" spans="6:13">
      <c r="F162" s="82"/>
      <c r="K162" s="79"/>
      <c r="L162" s="26"/>
      <c r="M162" s="26"/>
    </row>
    <row r="163" spans="6:13">
      <c r="F163" s="82"/>
      <c r="K163" s="79"/>
      <c r="L163" s="26"/>
      <c r="M163" s="26"/>
    </row>
  </sheetData>
  <phoneticPr fontId="2" type="noConversion"/>
  <pageMargins left="0.78740157480314965" right="0.78740157480314965" top="0.98425196850393704" bottom="0.98425196850393704" header="0.51181102362204722" footer="0.51181102362204722"/>
  <pageSetup paperSize="8" scale="61" orientation="landscape" r:id="rId1"/>
  <headerFooter alignWithMargins="0">
    <oddHeader>&amp;L&amp;"Arial,Fett"&amp;14FlowDike_KFKI&amp;R&amp;"Arial,Fett"&amp;14 10.12.2009</oddHeader>
  </headerFooter>
  <rowBreaks count="1" manualBreakCount="1">
    <brk id="80" max="12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Blad1" enableFormatConditionsCalculation="0">
    <tabColor indexed="10"/>
  </sheetPr>
  <dimension ref="A1:BK284"/>
  <sheetViews>
    <sheetView zoomScaleNormal="100" workbookViewId="0">
      <pane xSplit="9" ySplit="5" topLeftCell="J267" activePane="bottomRight" state="frozen"/>
      <selection pane="topRight" activeCell="J1" sqref="J1"/>
      <selection pane="bottomLeft" activeCell="A6" sqref="A6"/>
      <selection pane="bottomRight" activeCell="M22" sqref="M22"/>
    </sheetView>
  </sheetViews>
  <sheetFormatPr defaultColWidth="11.42578125" defaultRowHeight="12.75"/>
  <cols>
    <col min="1" max="1" width="8.42578125" style="14" customWidth="1"/>
    <col min="2" max="2" width="8.140625" style="14" bestFit="1" customWidth="1"/>
    <col min="3" max="3" width="20.140625" style="15" bestFit="1" customWidth="1"/>
    <col min="4" max="4" width="8" style="14" bestFit="1" customWidth="1"/>
    <col min="5" max="5" width="7.42578125" style="14" bestFit="1" customWidth="1"/>
    <col min="6" max="6" width="9.28515625" style="23" customWidth="1"/>
    <col min="7" max="7" width="7.140625" style="14" customWidth="1"/>
    <col min="8" max="8" width="5.28515625" style="14" customWidth="1"/>
    <col min="9" max="17" width="7.7109375" style="14" customWidth="1"/>
    <col min="18" max="18" width="9.140625" style="14" customWidth="1"/>
    <col min="19" max="19" width="7.85546875" style="14" customWidth="1"/>
    <col min="20" max="16384" width="11.42578125" style="14"/>
  </cols>
  <sheetData>
    <row r="1" spans="1:42" ht="13.5" thickBot="1"/>
    <row r="2" spans="1:42">
      <c r="A2" s="27"/>
      <c r="B2" s="27"/>
      <c r="C2" s="30"/>
      <c r="D2" s="27"/>
      <c r="E2" s="27"/>
      <c r="F2" s="32"/>
      <c r="G2" s="42"/>
      <c r="H2" s="42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215" t="s">
        <v>282</v>
      </c>
      <c r="AA2"/>
      <c r="AB2"/>
      <c r="AC2"/>
      <c r="AD2"/>
      <c r="AE2"/>
      <c r="AF2"/>
      <c r="AG2"/>
      <c r="AH2"/>
      <c r="AI2"/>
      <c r="AJ2"/>
      <c r="AK2"/>
      <c r="AL2" s="230"/>
      <c r="AM2" s="230"/>
      <c r="AN2" s="87"/>
      <c r="AO2" s="230"/>
      <c r="AP2" s="230"/>
    </row>
    <row r="3" spans="1:42">
      <c r="A3" s="28" t="s">
        <v>163</v>
      </c>
      <c r="B3" s="28" t="s">
        <v>3</v>
      </c>
      <c r="C3" s="31" t="s">
        <v>4</v>
      </c>
      <c r="D3" s="28" t="s">
        <v>165</v>
      </c>
      <c r="E3" s="28" t="s">
        <v>2</v>
      </c>
      <c r="F3" s="33" t="s">
        <v>170</v>
      </c>
      <c r="G3" s="39" t="s">
        <v>198</v>
      </c>
      <c r="H3" s="40"/>
      <c r="I3" s="8" t="s">
        <v>173</v>
      </c>
      <c r="J3" s="8"/>
      <c r="K3" s="8"/>
      <c r="L3" s="8"/>
      <c r="M3" s="8"/>
      <c r="N3" s="8"/>
      <c r="O3" s="8"/>
      <c r="P3" s="8"/>
      <c r="Q3" s="8"/>
      <c r="R3" s="8"/>
      <c r="S3" s="1"/>
      <c r="AA3"/>
      <c r="AB3"/>
      <c r="AC3"/>
      <c r="AD3"/>
      <c r="AE3"/>
      <c r="AF3"/>
      <c r="AG3"/>
      <c r="AH3"/>
      <c r="AI3"/>
      <c r="AJ3"/>
      <c r="AK3"/>
      <c r="AL3" s="230"/>
      <c r="AM3" s="230"/>
      <c r="AN3" s="87"/>
      <c r="AO3" s="230"/>
      <c r="AP3" s="230"/>
    </row>
    <row r="4" spans="1:42" ht="15.75">
      <c r="A4" s="29" t="s">
        <v>164</v>
      </c>
      <c r="B4" s="62"/>
      <c r="C4" s="63"/>
      <c r="D4" s="29" t="s">
        <v>166</v>
      </c>
      <c r="E4" s="62"/>
      <c r="F4" s="34" t="s">
        <v>171</v>
      </c>
      <c r="G4" s="37" t="s">
        <v>176</v>
      </c>
      <c r="H4" s="35" t="s">
        <v>1</v>
      </c>
      <c r="I4" s="196" t="s">
        <v>283</v>
      </c>
      <c r="J4" s="196"/>
      <c r="K4" s="196"/>
      <c r="L4" s="196"/>
      <c r="M4" s="196"/>
      <c r="N4" s="196"/>
      <c r="O4" s="196"/>
      <c r="P4" s="196"/>
      <c r="Q4" s="196"/>
      <c r="R4" s="196"/>
      <c r="S4" s="1"/>
      <c r="AA4" s="1" t="s">
        <v>292</v>
      </c>
      <c r="AB4" t="s">
        <v>293</v>
      </c>
      <c r="AC4" s="251" t="s">
        <v>294</v>
      </c>
      <c r="AD4" t="s">
        <v>295</v>
      </c>
      <c r="AE4" s="251" t="s">
        <v>296</v>
      </c>
      <c r="AF4" t="s">
        <v>297</v>
      </c>
      <c r="AG4" t="s">
        <v>298</v>
      </c>
      <c r="AH4" s="6" t="s">
        <v>288</v>
      </c>
      <c r="AI4" t="s">
        <v>289</v>
      </c>
      <c r="AJ4" t="s">
        <v>299</v>
      </c>
      <c r="AK4" t="s">
        <v>300</v>
      </c>
      <c r="AL4" s="14" t="s">
        <v>301</v>
      </c>
      <c r="AM4" s="6"/>
      <c r="AN4" s="35"/>
      <c r="AO4" s="230"/>
      <c r="AP4" s="230"/>
    </row>
    <row r="5" spans="1:42" ht="13.5" thickBot="1">
      <c r="A5" s="64"/>
      <c r="B5" s="64"/>
      <c r="C5" s="65"/>
      <c r="D5" s="64" t="s">
        <v>12</v>
      </c>
      <c r="E5" s="64" t="s">
        <v>13</v>
      </c>
      <c r="F5" s="66" t="s">
        <v>8</v>
      </c>
      <c r="G5" s="45" t="s">
        <v>8</v>
      </c>
      <c r="H5" s="46" t="s">
        <v>9</v>
      </c>
      <c r="I5" s="3" t="s">
        <v>194</v>
      </c>
      <c r="J5" s="3"/>
      <c r="K5" s="3"/>
      <c r="L5" s="3"/>
      <c r="M5" s="3"/>
      <c r="N5" s="3"/>
      <c r="O5" s="3"/>
      <c r="P5" s="3"/>
      <c r="Q5" s="3"/>
      <c r="R5" s="197" t="s">
        <v>284</v>
      </c>
      <c r="S5" t="s">
        <v>202</v>
      </c>
      <c r="T5" s="70" t="s">
        <v>203</v>
      </c>
      <c r="U5" s="6" t="s">
        <v>204</v>
      </c>
      <c r="V5" s="6" t="s">
        <v>205</v>
      </c>
      <c r="W5" s="6" t="s">
        <v>206</v>
      </c>
      <c r="X5" s="6" t="s">
        <v>207</v>
      </c>
      <c r="Y5" s="6" t="s">
        <v>208</v>
      </c>
      <c r="AA5"/>
      <c r="AB5"/>
      <c r="AC5"/>
      <c r="AD5"/>
      <c r="AE5"/>
      <c r="AF5"/>
      <c r="AG5" s="70" t="s">
        <v>287</v>
      </c>
      <c r="AH5"/>
      <c r="AI5"/>
      <c r="AJ5"/>
      <c r="AK5"/>
      <c r="AL5" s="230"/>
      <c r="AM5" s="230"/>
      <c r="AN5" s="35"/>
      <c r="AO5" s="230"/>
      <c r="AP5" s="230"/>
    </row>
    <row r="6" spans="1:42">
      <c r="A6" s="62"/>
      <c r="B6" s="62"/>
      <c r="C6" s="63"/>
      <c r="D6" s="62"/>
      <c r="E6" s="62"/>
      <c r="F6" s="67"/>
      <c r="J6" s="215" t="s">
        <v>291</v>
      </c>
      <c r="Z6" s="6"/>
      <c r="AA6"/>
      <c r="AB6"/>
      <c r="AC6"/>
      <c r="AD6"/>
      <c r="AE6"/>
      <c r="AF6"/>
      <c r="AG6"/>
      <c r="AH6"/>
      <c r="AI6"/>
      <c r="AJ6"/>
      <c r="AK6"/>
      <c r="AL6" s="230"/>
      <c r="AM6" s="230"/>
      <c r="AN6" s="35"/>
      <c r="AO6" s="230"/>
      <c r="AP6" s="230"/>
    </row>
    <row r="7" spans="1:42">
      <c r="A7" s="62" t="s">
        <v>108</v>
      </c>
      <c r="B7" s="69">
        <v>451</v>
      </c>
      <c r="C7" s="68" t="s">
        <v>114</v>
      </c>
      <c r="D7" s="69">
        <v>0</v>
      </c>
      <c r="E7" s="69">
        <v>0</v>
      </c>
      <c r="F7" s="67">
        <v>0.55000000000000004</v>
      </c>
      <c r="G7" s="232">
        <v>8.9608999999999994E-2</v>
      </c>
      <c r="H7" s="36">
        <v>1.7067000000000001</v>
      </c>
      <c r="I7" s="7">
        <v>1.3411</v>
      </c>
      <c r="J7" s="232">
        <v>8.9608999999999994E-2</v>
      </c>
      <c r="K7" s="36">
        <v>1.7067000000000001</v>
      </c>
      <c r="L7" s="232">
        <v>8.7282999999999999E-2</v>
      </c>
      <c r="M7" s="36">
        <v>1.6</v>
      </c>
      <c r="N7" s="7">
        <v>0</v>
      </c>
      <c r="O7" s="7">
        <v>0</v>
      </c>
      <c r="P7" s="7">
        <v>1.3411</v>
      </c>
      <c r="Q7" s="36">
        <v>1.667</v>
      </c>
      <c r="R7" s="14">
        <f>9.81/2/PI()*(H7/1.1)^2</f>
        <v>3.758531078447263</v>
      </c>
      <c r="S7">
        <f>2*PI()*G7/9.81/(H7/1.1)^2</f>
        <v>2.3841495022842694E-2</v>
      </c>
      <c r="T7">
        <f>1/6/S7^0.5</f>
        <v>1.0793989892506315</v>
      </c>
      <c r="U7">
        <f>0.05/G7/T7</f>
        <v>0.51693551020304518</v>
      </c>
      <c r="V7">
        <f>0.05/G7</f>
        <v>0.55797966722092651</v>
      </c>
      <c r="W7">
        <f>0.067*6^0.5*T7*EXP(-4.75*0.05/G7/T7)</f>
        <v>1.5203612671117283E-2</v>
      </c>
      <c r="X7">
        <f>0.2*EXP(-2.6*0.05/G7)</f>
        <v>4.6879019585600312E-2</v>
      </c>
      <c r="Y7">
        <f>IF(W7&lt;X7,I7/1000/(9.91*G7^3)^0.5*(S7*6)^0.5," ")</f>
        <v>6.0067458474327177E-3</v>
      </c>
      <c r="Z7"/>
      <c r="AA7">
        <f>O7</f>
        <v>0</v>
      </c>
      <c r="AB7">
        <f>2*PI()/R7</f>
        <v>1.6717130112903886</v>
      </c>
      <c r="AC7">
        <v>2.1251247924494963</v>
      </c>
      <c r="AD7">
        <f>SIN(D7*PI()/180)</f>
        <v>0</v>
      </c>
      <c r="AE7">
        <f>(9.81*AC7*TANH(AC7*0.5))^0.5-2*PI()/(H7/1.1)+AC7*E7*AD7</f>
        <v>8.2020043468133963E-7</v>
      </c>
      <c r="AF7">
        <f>2*PI()/AC7</f>
        <v>2.9566194557155194</v>
      </c>
      <c r="AG7">
        <f>(9.81*AC7*TANH(AC7*0.5))^0.5</f>
        <v>4.0496310058789629</v>
      </c>
      <c r="AH7">
        <f>2*PI()/AG7</f>
        <v>1.5515451402999705</v>
      </c>
      <c r="AI7">
        <f>AH7*1.1</f>
        <v>1.7066996543299677</v>
      </c>
      <c r="AJ7">
        <f>0.5*AG7/AC7*(1+2*AC7*0.5/SINH(2*AC7*0.5))</f>
        <v>1.4433937185594428</v>
      </c>
      <c r="AK7">
        <f>ATAN((AJ7*SIN(D7*PI()/180)+E7)/(AJ7*COS(D7*PI()/180)))*180/PI()</f>
        <v>0</v>
      </c>
      <c r="AL7" s="230"/>
      <c r="AM7" s="230"/>
      <c r="AN7" s="35"/>
      <c r="AO7" s="230"/>
      <c r="AP7" s="230"/>
    </row>
    <row r="8" spans="1:42">
      <c r="A8" s="62" t="s">
        <v>109</v>
      </c>
      <c r="B8" s="69">
        <v>452</v>
      </c>
      <c r="C8" s="68" t="s">
        <v>115</v>
      </c>
      <c r="D8" s="69">
        <v>0</v>
      </c>
      <c r="E8" s="69">
        <v>0</v>
      </c>
      <c r="F8" s="67">
        <v>0.55000000000000004</v>
      </c>
      <c r="G8" s="232">
        <v>8.0241000000000007E-2</v>
      </c>
      <c r="H8" s="36">
        <v>1.2190000000000001</v>
      </c>
      <c r="I8" s="7">
        <v>0.23980000000000001</v>
      </c>
      <c r="J8" s="232">
        <v>8.0241000000000007E-2</v>
      </c>
      <c r="K8" s="36">
        <v>1.2190000000000001</v>
      </c>
      <c r="L8" s="232">
        <v>8.5171999999999998E-2</v>
      </c>
      <c r="M8" s="36">
        <v>1.2190000000000001</v>
      </c>
      <c r="N8" s="7">
        <v>0</v>
      </c>
      <c r="O8" s="7">
        <v>0</v>
      </c>
      <c r="P8" s="7">
        <v>0.23980000000000001</v>
      </c>
      <c r="Q8" s="36">
        <v>0.2059</v>
      </c>
      <c r="R8" s="14">
        <f t="shared" ref="R8:R71" si="0">9.81/2/PI()*(H8/1.1)^2</f>
        <v>1.9173931872920011</v>
      </c>
      <c r="S8">
        <f t="shared" ref="S8:S19" si="1">2*PI()*G8/9.81/(H8/1.1)^2</f>
        <v>4.1849006521884571E-2</v>
      </c>
      <c r="T8">
        <f t="shared" ref="T8:T32" si="2">1/6/S8^0.5</f>
        <v>0.81471586489982084</v>
      </c>
      <c r="U8">
        <f t="shared" ref="U8:U18" si="3">0.05/G8/T8</f>
        <v>0.76483455064886774</v>
      </c>
      <c r="V8">
        <f t="shared" ref="V8:V18" si="4">0.05/G8</f>
        <v>0.6231228424371581</v>
      </c>
      <c r="W8">
        <f t="shared" ref="W8:W18" si="5">0.067*6^0.5*T8*EXP(-4.75*0.05/G8/T8)</f>
        <v>3.534926050418869E-3</v>
      </c>
      <c r="X8">
        <f t="shared" ref="X8:X18" si="6">0.2*EXP(-2.6*0.05/G8)</f>
        <v>3.9575014660337866E-2</v>
      </c>
      <c r="Y8">
        <f t="shared" ref="Y8:Y18" si="7">IF(W8&lt;X8,I8/1000/(9.91*G8^3)^0.5*(S8*6)^0.5," ")</f>
        <v>1.6793300306038484E-3</v>
      </c>
      <c r="AA8" s="230">
        <f t="shared" ref="AA8:AA71" si="8">F8/R8</f>
        <v>0.28684779086796669</v>
      </c>
      <c r="AB8" s="252">
        <f t="shared" ref="AB8:AB71" si="9">2*PI()/R8</f>
        <v>3.2769414999609654</v>
      </c>
      <c r="AC8" s="252">
        <v>3.2769414999609654</v>
      </c>
      <c r="AD8" s="252">
        <f t="shared" ref="AD8:AD71" si="10">SIN(D8*PI()/180)</f>
        <v>0</v>
      </c>
      <c r="AE8" s="252">
        <f t="shared" ref="AE8:AE71" si="11">(9.81*AC8*TANH(AC8*0.5))^0.5-2*PI()/(H8/1.1)+AC8*E8*AD8</f>
        <v>-0.21010848871445553</v>
      </c>
      <c r="AF8" s="252">
        <f t="shared" ref="AF8:AF71" si="12">2*PI()/AC8</f>
        <v>1.9173931872920011</v>
      </c>
      <c r="AG8" s="252">
        <f t="shared" ref="AG8:AG71" si="13">(9.81*AC8*TANH(AC8*0.5))^0.5</f>
        <v>5.4597059804385752</v>
      </c>
      <c r="AH8" s="252">
        <f t="shared" ref="AH8:AH71" si="14">2*PI()/AG8</f>
        <v>1.1508285115886152</v>
      </c>
      <c r="AI8" s="252">
        <f t="shared" ref="AI8:AI71" si="15">AH8*1.1</f>
        <v>1.2659113627474767</v>
      </c>
      <c r="AJ8" s="252">
        <f t="shared" ref="AJ8:AJ71" si="16">0.5*AG8/AC8*(1+2*AC8*0.5/SINH(2*AC8*0.5))</f>
        <v>1.0394115408935118</v>
      </c>
      <c r="AK8">
        <f t="shared" ref="AK8:AK71" si="17">ATAN((AJ8*SIN(D8*PI()/180)+E8)/(AJ8*COS(D8*PI()/180)))*180/PI()</f>
        <v>0</v>
      </c>
      <c r="AL8" s="230"/>
      <c r="AM8" s="230"/>
      <c r="AN8" s="35"/>
      <c r="AO8" s="230"/>
      <c r="AP8" s="230"/>
    </row>
    <row r="9" spans="1:42">
      <c r="A9" s="62" t="s">
        <v>110</v>
      </c>
      <c r="B9" s="69">
        <v>453</v>
      </c>
      <c r="C9" s="68" t="s">
        <v>116</v>
      </c>
      <c r="D9" s="69">
        <v>0</v>
      </c>
      <c r="E9" s="69">
        <v>0</v>
      </c>
      <c r="F9" s="67">
        <v>0.55000000000000004</v>
      </c>
      <c r="G9" s="232">
        <v>0.12222</v>
      </c>
      <c r="H9" s="36">
        <v>1.8286</v>
      </c>
      <c r="I9" s="7">
        <v>3.5752000000000002</v>
      </c>
      <c r="J9" s="232">
        <v>0.12222</v>
      </c>
      <c r="K9" s="36">
        <v>1.8286</v>
      </c>
      <c r="L9" s="232">
        <v>0.11591</v>
      </c>
      <c r="M9" s="36">
        <v>1.8286</v>
      </c>
      <c r="N9" s="7">
        <v>3.1899999999999998E-2</v>
      </c>
      <c r="O9" s="7">
        <v>8.5400000000000004E-2</v>
      </c>
      <c r="P9" s="7">
        <v>3.5752000000000002</v>
      </c>
      <c r="Q9" s="36">
        <v>2.5777000000000001</v>
      </c>
      <c r="R9" s="14">
        <f t="shared" si="0"/>
        <v>4.3146065612227682</v>
      </c>
      <c r="S9">
        <f t="shared" si="1"/>
        <v>2.8327032434068009E-2</v>
      </c>
      <c r="T9">
        <f t="shared" si="2"/>
        <v>0.99025765816518829</v>
      </c>
      <c r="U9">
        <f t="shared" si="3"/>
        <v>0.41312313403430817</v>
      </c>
      <c r="V9">
        <f t="shared" si="4"/>
        <v>0.40909834724267718</v>
      </c>
      <c r="W9">
        <f t="shared" si="5"/>
        <v>2.2838492007074909E-2</v>
      </c>
      <c r="X9">
        <f t="shared" si="6"/>
        <v>6.9038316614192158E-2</v>
      </c>
      <c r="Y9">
        <f t="shared" si="7"/>
        <v>1.0957872942195161E-2</v>
      </c>
      <c r="AA9" s="230">
        <f t="shared" si="8"/>
        <v>0.12747396366173627</v>
      </c>
      <c r="AB9" s="252">
        <f t="shared" si="9"/>
        <v>1.4562591555043014</v>
      </c>
      <c r="AC9" s="252">
        <v>1.4562591555043014</v>
      </c>
      <c r="AD9" s="252">
        <f t="shared" si="10"/>
        <v>0</v>
      </c>
      <c r="AE9" s="252">
        <f t="shared" si="11"/>
        <v>-0.79895085865834536</v>
      </c>
      <c r="AF9" s="252">
        <f t="shared" si="12"/>
        <v>4.3146065612227682</v>
      </c>
      <c r="AG9" s="252">
        <f t="shared" si="13"/>
        <v>2.980718745354312</v>
      </c>
      <c r="AH9" s="252">
        <f t="shared" si="14"/>
        <v>2.1079430311807954</v>
      </c>
      <c r="AI9" s="252">
        <f t="shared" si="15"/>
        <v>2.3187373342988753</v>
      </c>
      <c r="AJ9" s="252">
        <f t="shared" si="16"/>
        <v>1.7581671218904611</v>
      </c>
      <c r="AK9">
        <f t="shared" si="17"/>
        <v>0</v>
      </c>
      <c r="AL9" s="230"/>
      <c r="AM9" s="230"/>
      <c r="AN9" s="35"/>
      <c r="AO9" s="230"/>
      <c r="AP9" s="230"/>
    </row>
    <row r="10" spans="1:42">
      <c r="A10" s="62" t="s">
        <v>111</v>
      </c>
      <c r="B10" s="69">
        <v>454</v>
      </c>
      <c r="C10" s="68" t="s">
        <v>117</v>
      </c>
      <c r="D10" s="69">
        <v>0</v>
      </c>
      <c r="E10" s="69">
        <v>0</v>
      </c>
      <c r="F10" s="67">
        <v>0.55000000000000004</v>
      </c>
      <c r="G10" s="232">
        <v>0.10975</v>
      </c>
      <c r="H10" s="36">
        <v>1.3473999999999999</v>
      </c>
      <c r="I10" s="7">
        <v>1.0218</v>
      </c>
      <c r="J10" s="232">
        <v>0.10975</v>
      </c>
      <c r="K10" s="36">
        <v>1.3473999999999999</v>
      </c>
      <c r="L10" s="232">
        <v>0.11214</v>
      </c>
      <c r="M10" s="36">
        <v>1.28</v>
      </c>
      <c r="N10" s="7">
        <v>0</v>
      </c>
      <c r="O10" s="7">
        <v>0</v>
      </c>
      <c r="P10" s="7">
        <v>1.0218</v>
      </c>
      <c r="Q10" s="36">
        <v>0.87280000000000002</v>
      </c>
      <c r="R10" s="14">
        <f t="shared" si="0"/>
        <v>2.3425930729291196</v>
      </c>
      <c r="S10">
        <f t="shared" si="1"/>
        <v>4.6849792765233163E-2</v>
      </c>
      <c r="T10">
        <f t="shared" si="2"/>
        <v>0.77000742417854862</v>
      </c>
      <c r="U10">
        <f t="shared" si="3"/>
        <v>0.5916577571828775</v>
      </c>
      <c r="V10">
        <f t="shared" si="4"/>
        <v>0.45558086560364469</v>
      </c>
      <c r="W10">
        <f t="shared" si="5"/>
        <v>7.6052810805528788E-3</v>
      </c>
      <c r="X10">
        <f t="shared" si="6"/>
        <v>6.1179191037858405E-2</v>
      </c>
      <c r="Y10">
        <f t="shared" si="7"/>
        <v>4.7331660419306764E-3</v>
      </c>
      <c r="AA10" s="230">
        <f t="shared" si="8"/>
        <v>0.23478256055469926</v>
      </c>
      <c r="AB10" s="252">
        <f t="shared" si="9"/>
        <v>2.6821496997441594</v>
      </c>
      <c r="AC10" s="252">
        <v>2.6821496997441594</v>
      </c>
      <c r="AD10" s="252">
        <f t="shared" si="10"/>
        <v>0</v>
      </c>
      <c r="AE10" s="252">
        <f t="shared" si="11"/>
        <v>-0.33971722669005722</v>
      </c>
      <c r="AF10" s="252">
        <f t="shared" si="12"/>
        <v>2.3425930729291196</v>
      </c>
      <c r="AG10" s="252">
        <f t="shared" si="13"/>
        <v>4.7897943050730021</v>
      </c>
      <c r="AH10" s="252">
        <f t="shared" si="14"/>
        <v>1.3117860406917459</v>
      </c>
      <c r="AI10" s="252">
        <f t="shared" si="15"/>
        <v>1.4429646447609206</v>
      </c>
      <c r="AJ10" s="252">
        <f t="shared" si="16"/>
        <v>1.2221413975986744</v>
      </c>
      <c r="AK10">
        <f t="shared" si="17"/>
        <v>0</v>
      </c>
      <c r="AL10" s="230"/>
      <c r="AM10" s="230"/>
      <c r="AN10" s="35"/>
      <c r="AO10" s="230"/>
      <c r="AP10" s="230"/>
    </row>
    <row r="11" spans="1:42">
      <c r="A11" s="62" t="s">
        <v>112</v>
      </c>
      <c r="B11" s="69">
        <v>456</v>
      </c>
      <c r="C11" s="68" t="s">
        <v>118</v>
      </c>
      <c r="D11" s="69">
        <v>0</v>
      </c>
      <c r="E11" s="69">
        <v>0</v>
      </c>
      <c r="F11" s="67">
        <v>0.55000000000000004</v>
      </c>
      <c r="G11" s="232">
        <v>0.15658</v>
      </c>
      <c r="H11" s="36">
        <v>2.1333000000000002</v>
      </c>
      <c r="I11" s="7">
        <v>7.2736999999999998</v>
      </c>
      <c r="J11" s="232">
        <v>0.15658</v>
      </c>
      <c r="K11" s="36">
        <v>2.1333000000000002</v>
      </c>
      <c r="L11" s="232">
        <v>0.14384</v>
      </c>
      <c r="M11" s="36">
        <v>2.1333000000000002</v>
      </c>
      <c r="N11" s="7">
        <v>0.23849999999999999</v>
      </c>
      <c r="O11" s="7">
        <v>0.85899999999999999</v>
      </c>
      <c r="P11" s="7">
        <v>7.2736999999999998</v>
      </c>
      <c r="Q11" s="36">
        <v>5.5397999999999996</v>
      </c>
      <c r="R11" s="14">
        <f t="shared" si="0"/>
        <v>5.872291900839822</v>
      </c>
      <c r="S11">
        <f t="shared" si="1"/>
        <v>2.6664205840586163E-2</v>
      </c>
      <c r="T11">
        <f t="shared" si="2"/>
        <v>1.020667821358574</v>
      </c>
      <c r="U11">
        <f t="shared" si="3"/>
        <v>0.31285946091724209</v>
      </c>
      <c r="V11">
        <f t="shared" si="4"/>
        <v>0.31932558436581943</v>
      </c>
      <c r="W11">
        <f t="shared" si="5"/>
        <v>3.7899846218709364E-2</v>
      </c>
      <c r="X11">
        <f t="shared" si="6"/>
        <v>8.7188360996613992E-2</v>
      </c>
      <c r="Y11">
        <f t="shared" si="7"/>
        <v>1.4916058444068745E-2</v>
      </c>
      <c r="AA11" s="230">
        <f t="shared" si="8"/>
        <v>9.3660194228652391E-2</v>
      </c>
      <c r="AB11" s="252">
        <f t="shared" si="9"/>
        <v>1.0699715568091908</v>
      </c>
      <c r="AC11" s="252">
        <v>1.0699715568091908</v>
      </c>
      <c r="AD11" s="252">
        <f t="shared" si="10"/>
        <v>0</v>
      </c>
      <c r="AE11" s="252">
        <f t="shared" si="11"/>
        <v>-0.97383683690377376</v>
      </c>
      <c r="AF11" s="252">
        <f t="shared" si="12"/>
        <v>5.872291900839822</v>
      </c>
      <c r="AG11" s="252">
        <f t="shared" si="13"/>
        <v>2.2659812092676717</v>
      </c>
      <c r="AH11" s="252">
        <f t="shared" si="14"/>
        <v>2.7728320435676559</v>
      </c>
      <c r="AI11" s="252">
        <f t="shared" si="15"/>
        <v>3.0501152479244218</v>
      </c>
      <c r="AJ11" s="252">
        <f t="shared" si="16"/>
        <v>1.9398216838759244</v>
      </c>
      <c r="AK11">
        <f t="shared" si="17"/>
        <v>0</v>
      </c>
      <c r="AL11" s="230"/>
      <c r="AM11" s="230"/>
      <c r="AN11" s="35"/>
      <c r="AO11" s="230"/>
      <c r="AP11" s="230"/>
    </row>
    <row r="12" spans="1:42" ht="13.5" thickBot="1">
      <c r="A12" s="62" t="s">
        <v>113</v>
      </c>
      <c r="B12" s="69">
        <v>457</v>
      </c>
      <c r="C12" s="68" t="s">
        <v>119</v>
      </c>
      <c r="D12" s="69">
        <v>0</v>
      </c>
      <c r="E12" s="69">
        <v>0</v>
      </c>
      <c r="F12" s="67">
        <v>0.55000000000000004</v>
      </c>
      <c r="G12" s="233">
        <v>0.14066999999999999</v>
      </c>
      <c r="H12" s="228">
        <v>1.5059</v>
      </c>
      <c r="I12" s="228">
        <v>2.9074</v>
      </c>
      <c r="J12" s="233">
        <v>0.14066999999999999</v>
      </c>
      <c r="K12" s="228">
        <v>1.5059</v>
      </c>
      <c r="L12" s="233">
        <v>0.13879</v>
      </c>
      <c r="M12" s="228">
        <v>1.5059</v>
      </c>
      <c r="N12" s="228">
        <v>2.4199999999999999E-2</v>
      </c>
      <c r="O12" s="228">
        <v>2.5499999999999998E-2</v>
      </c>
      <c r="P12" s="228">
        <v>2.9074</v>
      </c>
      <c r="Q12" s="228">
        <v>2.5375999999999999</v>
      </c>
      <c r="R12" s="14">
        <f t="shared" si="0"/>
        <v>2.9261462954134876</v>
      </c>
      <c r="S12">
        <f t="shared" si="1"/>
        <v>4.8073467898884469E-2</v>
      </c>
      <c r="T12">
        <f t="shared" si="2"/>
        <v>0.76014426546810565</v>
      </c>
      <c r="U12">
        <f t="shared" si="3"/>
        <v>0.46759783678185662</v>
      </c>
      <c r="V12">
        <f t="shared" si="4"/>
        <v>0.35544181417501958</v>
      </c>
      <c r="W12">
        <f t="shared" si="5"/>
        <v>1.353441348016148E-2</v>
      </c>
      <c r="X12">
        <f t="shared" si="6"/>
        <v>7.9373824661812267E-2</v>
      </c>
      <c r="Y12">
        <f t="shared" si="7"/>
        <v>9.4014335105898576E-3</v>
      </c>
      <c r="AA12" s="230">
        <f t="shared" si="8"/>
        <v>0.18796052708030467</v>
      </c>
      <c r="AB12" s="252">
        <f t="shared" si="9"/>
        <v>2.1472560401467291</v>
      </c>
      <c r="AC12" s="252">
        <v>2.1472560401467291</v>
      </c>
      <c r="AD12" s="252">
        <f t="shared" si="10"/>
        <v>0</v>
      </c>
      <c r="AE12" s="252">
        <f t="shared" si="11"/>
        <v>-0.50814880929090833</v>
      </c>
      <c r="AF12" s="252">
        <f t="shared" si="12"/>
        <v>2.9261462954134876</v>
      </c>
      <c r="AG12" s="252">
        <f t="shared" si="13"/>
        <v>4.081467923491843</v>
      </c>
      <c r="AH12" s="252">
        <f t="shared" si="14"/>
        <v>1.539442530226746</v>
      </c>
      <c r="AI12" s="252">
        <f t="shared" si="15"/>
        <v>1.6933867832494207</v>
      </c>
      <c r="AJ12" s="252">
        <f t="shared" si="16"/>
        <v>1.4337183674081881</v>
      </c>
      <c r="AK12">
        <f t="shared" si="17"/>
        <v>0</v>
      </c>
      <c r="AL12" s="230"/>
      <c r="AM12" s="230"/>
      <c r="AN12" s="35"/>
      <c r="AO12" s="230"/>
      <c r="AP12" s="230"/>
    </row>
    <row r="13" spans="1:42">
      <c r="D13" s="69">
        <v>0</v>
      </c>
      <c r="E13" s="69">
        <v>0</v>
      </c>
      <c r="F13" s="67">
        <v>0.55000000000000004</v>
      </c>
      <c r="G13" s="232">
        <v>8.9608999999999994E-2</v>
      </c>
      <c r="H13" s="36">
        <v>1.7067000000000001</v>
      </c>
      <c r="I13" s="36">
        <v>1.667</v>
      </c>
      <c r="R13" s="14">
        <f t="shared" si="0"/>
        <v>3.758531078447263</v>
      </c>
      <c r="S13">
        <f t="shared" si="1"/>
        <v>2.3841495022842694E-2</v>
      </c>
      <c r="T13">
        <f t="shared" si="2"/>
        <v>1.0793989892506315</v>
      </c>
      <c r="U13">
        <f t="shared" si="3"/>
        <v>0.51693551020304518</v>
      </c>
      <c r="V13">
        <f t="shared" si="4"/>
        <v>0.55797966722092651</v>
      </c>
      <c r="W13">
        <f t="shared" si="5"/>
        <v>1.5203612671117283E-2</v>
      </c>
      <c r="X13">
        <f t="shared" si="6"/>
        <v>4.6879019585600312E-2</v>
      </c>
      <c r="Y13">
        <f t="shared" si="7"/>
        <v>7.4664419712701068E-3</v>
      </c>
      <c r="AA13" s="230">
        <f t="shared" si="8"/>
        <v>0.14633376404784657</v>
      </c>
      <c r="AB13" s="252">
        <f t="shared" si="9"/>
        <v>1.6717130112903886</v>
      </c>
      <c r="AC13" s="252">
        <v>1.6717130112903886</v>
      </c>
      <c r="AD13" s="252">
        <f t="shared" si="10"/>
        <v>0</v>
      </c>
      <c r="AE13" s="252">
        <f t="shared" si="11"/>
        <v>-0.70137167194974648</v>
      </c>
      <c r="AF13" s="252">
        <f t="shared" si="12"/>
        <v>3.758531078447263</v>
      </c>
      <c r="AG13" s="252">
        <f t="shared" si="13"/>
        <v>3.3482585137287817</v>
      </c>
      <c r="AH13" s="252">
        <f t="shared" si="14"/>
        <v>1.8765532235389821</v>
      </c>
      <c r="AI13" s="252">
        <f t="shared" si="15"/>
        <v>2.0642085458928805</v>
      </c>
      <c r="AJ13" s="252">
        <f t="shared" si="16"/>
        <v>1.6537013384206749</v>
      </c>
      <c r="AK13">
        <f t="shared" si="17"/>
        <v>0</v>
      </c>
    </row>
    <row r="14" spans="1:42">
      <c r="D14" s="69">
        <v>0</v>
      </c>
      <c r="E14" s="69">
        <v>0</v>
      </c>
      <c r="F14" s="67">
        <v>0.55000000000000004</v>
      </c>
      <c r="G14" s="232">
        <v>8.0241000000000007E-2</v>
      </c>
      <c r="H14" s="36">
        <v>1.2190000000000001</v>
      </c>
      <c r="I14" s="36">
        <v>0.2059</v>
      </c>
      <c r="R14" s="14">
        <f t="shared" si="0"/>
        <v>1.9173931872920011</v>
      </c>
      <c r="S14">
        <f t="shared" si="1"/>
        <v>4.1849006521884571E-2</v>
      </c>
      <c r="T14">
        <f t="shared" si="2"/>
        <v>0.81471586489982084</v>
      </c>
      <c r="U14">
        <f t="shared" si="3"/>
        <v>0.76483455064886774</v>
      </c>
      <c r="V14">
        <f t="shared" si="4"/>
        <v>0.6231228424371581</v>
      </c>
      <c r="W14">
        <f t="shared" si="5"/>
        <v>3.534926050418869E-3</v>
      </c>
      <c r="X14">
        <f t="shared" si="6"/>
        <v>3.9575014660337866E-2</v>
      </c>
      <c r="Y14">
        <f t="shared" si="7"/>
        <v>1.4419268277787005E-3</v>
      </c>
      <c r="AA14" s="230">
        <f t="shared" si="8"/>
        <v>0.28684779086796669</v>
      </c>
      <c r="AB14" s="252">
        <f t="shared" si="9"/>
        <v>3.2769414999609654</v>
      </c>
      <c r="AC14" s="252">
        <v>3.2769414999609654</v>
      </c>
      <c r="AD14" s="252">
        <f t="shared" si="10"/>
        <v>0</v>
      </c>
      <c r="AE14" s="252">
        <f t="shared" si="11"/>
        <v>-0.21010848871445553</v>
      </c>
      <c r="AF14" s="252">
        <f t="shared" si="12"/>
        <v>1.9173931872920011</v>
      </c>
      <c r="AG14" s="252">
        <f t="shared" si="13"/>
        <v>5.4597059804385752</v>
      </c>
      <c r="AH14" s="252">
        <f t="shared" si="14"/>
        <v>1.1508285115886152</v>
      </c>
      <c r="AI14" s="252">
        <f t="shared" si="15"/>
        <v>1.2659113627474767</v>
      </c>
      <c r="AJ14" s="252">
        <f t="shared" si="16"/>
        <v>1.0394115408935118</v>
      </c>
      <c r="AK14">
        <f t="shared" si="17"/>
        <v>0</v>
      </c>
    </row>
    <row r="15" spans="1:42">
      <c r="D15" s="69">
        <v>0</v>
      </c>
      <c r="E15" s="69">
        <v>0</v>
      </c>
      <c r="F15" s="67">
        <v>0.55000000000000004</v>
      </c>
      <c r="G15" s="232">
        <v>0.12222</v>
      </c>
      <c r="H15" s="36">
        <v>1.8286</v>
      </c>
      <c r="I15" s="36">
        <v>2.5777000000000001</v>
      </c>
      <c r="R15" s="14">
        <f t="shared" si="0"/>
        <v>4.3146065612227682</v>
      </c>
      <c r="S15">
        <f t="shared" si="1"/>
        <v>2.8327032434068009E-2</v>
      </c>
      <c r="T15">
        <f t="shared" si="2"/>
        <v>0.99025765816518829</v>
      </c>
      <c r="U15">
        <f t="shared" si="3"/>
        <v>0.41312313403430817</v>
      </c>
      <c r="V15">
        <f t="shared" si="4"/>
        <v>0.40909834724267718</v>
      </c>
      <c r="W15">
        <f t="shared" si="5"/>
        <v>2.2838492007074909E-2</v>
      </c>
      <c r="X15">
        <f t="shared" si="6"/>
        <v>6.9038316614192158E-2</v>
      </c>
      <c r="Y15">
        <f t="shared" si="7"/>
        <v>7.9005675439406085E-3</v>
      </c>
      <c r="AA15" s="230">
        <f t="shared" si="8"/>
        <v>0.12747396366173627</v>
      </c>
      <c r="AB15" s="252">
        <f t="shared" si="9"/>
        <v>1.4562591555043014</v>
      </c>
      <c r="AC15" s="252">
        <v>1.4562591555043014</v>
      </c>
      <c r="AD15" s="252">
        <f t="shared" si="10"/>
        <v>0</v>
      </c>
      <c r="AE15" s="252">
        <f t="shared" si="11"/>
        <v>-0.79895085865834536</v>
      </c>
      <c r="AF15" s="252">
        <f t="shared" si="12"/>
        <v>4.3146065612227682</v>
      </c>
      <c r="AG15" s="252">
        <f t="shared" si="13"/>
        <v>2.980718745354312</v>
      </c>
      <c r="AH15" s="252">
        <f t="shared" si="14"/>
        <v>2.1079430311807954</v>
      </c>
      <c r="AI15" s="252">
        <f t="shared" si="15"/>
        <v>2.3187373342988753</v>
      </c>
      <c r="AJ15" s="252">
        <f t="shared" si="16"/>
        <v>1.7581671218904611</v>
      </c>
      <c r="AK15">
        <f t="shared" si="17"/>
        <v>0</v>
      </c>
    </row>
    <row r="16" spans="1:42">
      <c r="D16" s="69">
        <v>0</v>
      </c>
      <c r="E16" s="69">
        <v>0</v>
      </c>
      <c r="F16" s="67">
        <v>0.55000000000000004</v>
      </c>
      <c r="G16" s="232">
        <v>0.10975</v>
      </c>
      <c r="H16" s="36">
        <v>1.3473999999999999</v>
      </c>
      <c r="I16" s="36">
        <v>0.87280000000000002</v>
      </c>
      <c r="R16" s="14">
        <f t="shared" si="0"/>
        <v>2.3425930729291196</v>
      </c>
      <c r="S16">
        <f t="shared" si="1"/>
        <v>4.6849792765233163E-2</v>
      </c>
      <c r="T16">
        <f t="shared" si="2"/>
        <v>0.77000742417854862</v>
      </c>
      <c r="U16">
        <f t="shared" si="3"/>
        <v>0.5916577571828775</v>
      </c>
      <c r="V16">
        <f t="shared" si="4"/>
        <v>0.45558086560364469</v>
      </c>
      <c r="W16">
        <f t="shared" si="5"/>
        <v>7.6052810805528788E-3</v>
      </c>
      <c r="X16">
        <f t="shared" si="6"/>
        <v>6.1179191037858405E-2</v>
      </c>
      <c r="Y16">
        <f t="shared" si="7"/>
        <v>4.0429705631210558E-3</v>
      </c>
      <c r="AA16" s="230">
        <f t="shared" si="8"/>
        <v>0.23478256055469926</v>
      </c>
      <c r="AB16" s="252">
        <f t="shared" si="9"/>
        <v>2.6821496997441594</v>
      </c>
      <c r="AC16" s="252">
        <v>2.6821496997441594</v>
      </c>
      <c r="AD16" s="252">
        <f t="shared" si="10"/>
        <v>0</v>
      </c>
      <c r="AE16" s="252">
        <f t="shared" si="11"/>
        <v>-0.33971722669005722</v>
      </c>
      <c r="AF16" s="252">
        <f t="shared" si="12"/>
        <v>2.3425930729291196</v>
      </c>
      <c r="AG16" s="252">
        <f t="shared" si="13"/>
        <v>4.7897943050730021</v>
      </c>
      <c r="AH16" s="252">
        <f t="shared" si="14"/>
        <v>1.3117860406917459</v>
      </c>
      <c r="AI16" s="252">
        <f t="shared" si="15"/>
        <v>1.4429646447609206</v>
      </c>
      <c r="AJ16" s="252">
        <f t="shared" si="16"/>
        <v>1.2221413975986744</v>
      </c>
      <c r="AK16">
        <f t="shared" si="17"/>
        <v>0</v>
      </c>
    </row>
    <row r="17" spans="2:38">
      <c r="B17" s="195"/>
      <c r="D17" s="69">
        <v>0</v>
      </c>
      <c r="E17" s="69">
        <v>0</v>
      </c>
      <c r="F17" s="67">
        <v>0.55000000000000004</v>
      </c>
      <c r="G17" s="232">
        <v>0.15658</v>
      </c>
      <c r="H17" s="36">
        <v>2.1333000000000002</v>
      </c>
      <c r="I17" s="36">
        <v>5.5397999999999996</v>
      </c>
      <c r="R17" s="14">
        <f t="shared" si="0"/>
        <v>5.872291900839822</v>
      </c>
      <c r="S17">
        <f t="shared" si="1"/>
        <v>2.6664205840586163E-2</v>
      </c>
      <c r="T17">
        <f t="shared" si="2"/>
        <v>1.020667821358574</v>
      </c>
      <c r="U17">
        <f t="shared" si="3"/>
        <v>0.31285946091724209</v>
      </c>
      <c r="V17">
        <f t="shared" si="4"/>
        <v>0.31932558436581943</v>
      </c>
      <c r="W17">
        <f t="shared" si="5"/>
        <v>3.7899846218709364E-2</v>
      </c>
      <c r="X17">
        <f t="shared" si="6"/>
        <v>8.7188360996613992E-2</v>
      </c>
      <c r="Y17">
        <f t="shared" si="7"/>
        <v>1.1360377877621022E-2</v>
      </c>
      <c r="AA17" s="230">
        <f t="shared" si="8"/>
        <v>9.3660194228652391E-2</v>
      </c>
      <c r="AB17" s="252">
        <f t="shared" si="9"/>
        <v>1.0699715568091908</v>
      </c>
      <c r="AC17" s="252">
        <v>1.0699715568091908</v>
      </c>
      <c r="AD17" s="252">
        <f t="shared" si="10"/>
        <v>0</v>
      </c>
      <c r="AE17" s="252">
        <f t="shared" si="11"/>
        <v>-0.97383683690377376</v>
      </c>
      <c r="AF17" s="252">
        <f t="shared" si="12"/>
        <v>5.872291900839822</v>
      </c>
      <c r="AG17" s="252">
        <f t="shared" si="13"/>
        <v>2.2659812092676717</v>
      </c>
      <c r="AH17" s="252">
        <f t="shared" si="14"/>
        <v>2.7728320435676559</v>
      </c>
      <c r="AI17" s="252">
        <f t="shared" si="15"/>
        <v>3.0501152479244218</v>
      </c>
      <c r="AJ17" s="252">
        <f t="shared" si="16"/>
        <v>1.9398216838759244</v>
      </c>
      <c r="AK17">
        <f t="shared" si="17"/>
        <v>0</v>
      </c>
    </row>
    <row r="18" spans="2:38" ht="13.5" thickBot="1">
      <c r="D18" s="69">
        <v>0</v>
      </c>
      <c r="E18" s="69">
        <v>0</v>
      </c>
      <c r="F18" s="71">
        <v>0.55000000000000004</v>
      </c>
      <c r="G18" s="233">
        <v>0.14066999999999999</v>
      </c>
      <c r="H18" s="228">
        <v>1.5059</v>
      </c>
      <c r="I18" s="228">
        <v>2.5375999999999999</v>
      </c>
      <c r="R18" s="14">
        <f t="shared" si="0"/>
        <v>2.9261462954134876</v>
      </c>
      <c r="S18">
        <f t="shared" si="1"/>
        <v>4.8073467898884469E-2</v>
      </c>
      <c r="T18">
        <f t="shared" si="2"/>
        <v>0.76014426546810565</v>
      </c>
      <c r="U18">
        <f t="shared" si="3"/>
        <v>0.46759783678185662</v>
      </c>
      <c r="V18">
        <f t="shared" si="4"/>
        <v>0.35544181417501958</v>
      </c>
      <c r="W18">
        <f t="shared" si="5"/>
        <v>1.353441348016148E-2</v>
      </c>
      <c r="X18">
        <f t="shared" si="6"/>
        <v>7.9373824661812267E-2</v>
      </c>
      <c r="Y18">
        <f t="shared" si="7"/>
        <v>8.2056399795256314E-3</v>
      </c>
      <c r="AA18" s="230">
        <f t="shared" si="8"/>
        <v>0.18796052708030467</v>
      </c>
      <c r="AB18" s="252">
        <f t="shared" si="9"/>
        <v>2.1472560401467291</v>
      </c>
      <c r="AC18" s="252">
        <v>2.1472560401467291</v>
      </c>
      <c r="AD18" s="252">
        <f t="shared" si="10"/>
        <v>0</v>
      </c>
      <c r="AE18" s="252">
        <f t="shared" si="11"/>
        <v>-0.50814880929090833</v>
      </c>
      <c r="AF18" s="252">
        <f t="shared" si="12"/>
        <v>2.9261462954134876</v>
      </c>
      <c r="AG18" s="252">
        <f t="shared" si="13"/>
        <v>4.081467923491843</v>
      </c>
      <c r="AH18" s="252">
        <f t="shared" si="14"/>
        <v>1.539442530226746</v>
      </c>
      <c r="AI18" s="252">
        <f t="shared" si="15"/>
        <v>1.6933867832494207</v>
      </c>
      <c r="AJ18" s="252">
        <f t="shared" si="16"/>
        <v>1.4337183674081881</v>
      </c>
      <c r="AK18">
        <f t="shared" si="17"/>
        <v>0</v>
      </c>
    </row>
    <row r="19" spans="2:38">
      <c r="D19" s="69">
        <v>0</v>
      </c>
      <c r="E19" s="69">
        <v>0</v>
      </c>
      <c r="F19" s="67">
        <v>0.55000000000000004</v>
      </c>
      <c r="G19" s="13">
        <v>0.11591</v>
      </c>
      <c r="H19" s="14">
        <v>1.8286</v>
      </c>
      <c r="I19" s="14">
        <v>3.1899999999999998E-2</v>
      </c>
      <c r="R19" s="14">
        <f t="shared" si="0"/>
        <v>4.3146065612227682</v>
      </c>
      <c r="S19">
        <f t="shared" si="1"/>
        <v>2.6864558414603366E-2</v>
      </c>
      <c r="T19">
        <f t="shared" si="2"/>
        <v>1.0168546910221141</v>
      </c>
      <c r="U19">
        <f t="shared" ref="U19:U24" si="18">0.15/G19/T19</f>
        <v>1.2726572524293509</v>
      </c>
      <c r="V19">
        <f t="shared" ref="V19:V24" si="19">0.15/G19</f>
        <v>1.2941074971961004</v>
      </c>
      <c r="W19">
        <f t="shared" ref="W19:W24" si="20">0.067*6^0.5*T19*EXP(-4.75*0.15/G19/T19)</f>
        <v>3.9540869891613453E-4</v>
      </c>
      <c r="X19">
        <f t="shared" ref="X19:X24" si="21">0.2*EXP(-2.6*0.15/G19)</f>
        <v>6.9146190543023442E-3</v>
      </c>
      <c r="Y19">
        <f t="shared" ref="Y19:Y24" si="22">IF(W19&lt;X19,I19/1000/(9.91*G19^3)^0.5*(S19*6)^0.5," ")</f>
        <v>1.030950884087279E-4</v>
      </c>
      <c r="AA19" s="230">
        <f t="shared" si="8"/>
        <v>0.12747396366173627</v>
      </c>
      <c r="AB19" s="252">
        <f t="shared" si="9"/>
        <v>1.4562591555043014</v>
      </c>
      <c r="AC19" s="252">
        <v>1.4562591555043014</v>
      </c>
      <c r="AD19" s="252">
        <f t="shared" si="10"/>
        <v>0</v>
      </c>
      <c r="AE19" s="252">
        <f t="shared" si="11"/>
        <v>-0.79895085865834536</v>
      </c>
      <c r="AF19" s="252">
        <f t="shared" si="12"/>
        <v>4.3146065612227682</v>
      </c>
      <c r="AG19" s="252">
        <f t="shared" si="13"/>
        <v>2.980718745354312</v>
      </c>
      <c r="AH19" s="252">
        <f t="shared" si="14"/>
        <v>2.1079430311807954</v>
      </c>
      <c r="AI19" s="252">
        <f t="shared" si="15"/>
        <v>2.3187373342988753</v>
      </c>
      <c r="AJ19" s="252">
        <f t="shared" si="16"/>
        <v>1.7581671218904611</v>
      </c>
      <c r="AK19">
        <f t="shared" si="17"/>
        <v>0</v>
      </c>
    </row>
    <row r="20" spans="2:38">
      <c r="D20" s="69">
        <v>0</v>
      </c>
      <c r="E20" s="69">
        <v>0</v>
      </c>
      <c r="F20" s="67">
        <v>0.55000000000000004</v>
      </c>
      <c r="G20" s="232">
        <v>0.14384</v>
      </c>
      <c r="H20" s="36">
        <v>2.1333000000000002</v>
      </c>
      <c r="I20" s="7">
        <v>0.23849999999999999</v>
      </c>
      <c r="R20" s="14">
        <f t="shared" si="0"/>
        <v>5.872291900839822</v>
      </c>
      <c r="S20">
        <f>2*PI()*G20/9.81/(H20/1.1)^2</f>
        <v>2.4494695159726108E-2</v>
      </c>
      <c r="T20">
        <f t="shared" si="2"/>
        <v>1.0649095705306457</v>
      </c>
      <c r="U20">
        <f t="shared" si="18"/>
        <v>0.97926189262544694</v>
      </c>
      <c r="V20">
        <f t="shared" si="19"/>
        <v>1.042825361512792</v>
      </c>
      <c r="W20">
        <f t="shared" si="20"/>
        <v>1.6685721309497013E-3</v>
      </c>
      <c r="X20">
        <f t="shared" si="21"/>
        <v>1.3289462482063422E-2</v>
      </c>
      <c r="Y20">
        <f t="shared" si="22"/>
        <v>5.3240691706786297E-4</v>
      </c>
      <c r="AA20" s="230">
        <f t="shared" si="8"/>
        <v>9.3660194228652391E-2</v>
      </c>
      <c r="AB20" s="252">
        <f t="shared" si="9"/>
        <v>1.0699715568091908</v>
      </c>
      <c r="AC20" s="252">
        <v>1.0699715568091908</v>
      </c>
      <c r="AD20" s="252">
        <f t="shared" si="10"/>
        <v>0</v>
      </c>
      <c r="AE20" s="252">
        <f t="shared" si="11"/>
        <v>-0.97383683690377376</v>
      </c>
      <c r="AF20" s="252">
        <f t="shared" si="12"/>
        <v>5.872291900839822</v>
      </c>
      <c r="AG20" s="252">
        <f t="shared" si="13"/>
        <v>2.2659812092676717</v>
      </c>
      <c r="AH20" s="252">
        <f t="shared" si="14"/>
        <v>2.7728320435676559</v>
      </c>
      <c r="AI20" s="252">
        <f t="shared" si="15"/>
        <v>3.0501152479244218</v>
      </c>
      <c r="AJ20" s="252">
        <f t="shared" si="16"/>
        <v>1.9398216838759244</v>
      </c>
      <c r="AK20">
        <f t="shared" si="17"/>
        <v>0</v>
      </c>
    </row>
    <row r="21" spans="2:38" ht="13.5" thickBot="1">
      <c r="D21" s="69">
        <v>0</v>
      </c>
      <c r="E21" s="69">
        <v>0</v>
      </c>
      <c r="F21" s="67">
        <v>0.55000000000000004</v>
      </c>
      <c r="G21" s="233">
        <v>0.13879</v>
      </c>
      <c r="H21" s="228">
        <v>1.5059</v>
      </c>
      <c r="I21" s="228">
        <v>2.4199999999999999E-2</v>
      </c>
      <c r="R21" s="14">
        <f t="shared" si="0"/>
        <v>2.9261462954134876</v>
      </c>
      <c r="S21">
        <f>2*PI()*G21/9.81/(H21/1.1)^2</f>
        <v>4.7430984642682694E-2</v>
      </c>
      <c r="T21">
        <f t="shared" si="2"/>
        <v>0.76527527021654862</v>
      </c>
      <c r="U21">
        <f t="shared" si="18"/>
        <v>1.4122624236685368</v>
      </c>
      <c r="V21">
        <f t="shared" si="19"/>
        <v>1.0807695078896173</v>
      </c>
      <c r="W21">
        <f t="shared" si="20"/>
        <v>1.5332524371318635E-4</v>
      </c>
      <c r="X21">
        <f t="shared" si="21"/>
        <v>1.2040989802781834E-2</v>
      </c>
      <c r="Y21">
        <f t="shared" si="22"/>
        <v>7.9313656214570236E-5</v>
      </c>
      <c r="AA21" s="230">
        <f t="shared" si="8"/>
        <v>0.18796052708030467</v>
      </c>
      <c r="AB21" s="252">
        <f t="shared" si="9"/>
        <v>2.1472560401467291</v>
      </c>
      <c r="AC21" s="252">
        <v>2.1472560401467291</v>
      </c>
      <c r="AD21" s="252">
        <f t="shared" si="10"/>
        <v>0</v>
      </c>
      <c r="AE21" s="252">
        <f t="shared" si="11"/>
        <v>-0.50814880929090833</v>
      </c>
      <c r="AF21" s="252">
        <f t="shared" si="12"/>
        <v>2.9261462954134876</v>
      </c>
      <c r="AG21" s="252">
        <f t="shared" si="13"/>
        <v>4.081467923491843</v>
      </c>
      <c r="AH21" s="252">
        <f t="shared" si="14"/>
        <v>1.539442530226746</v>
      </c>
      <c r="AI21" s="252">
        <f t="shared" si="15"/>
        <v>1.6933867832494207</v>
      </c>
      <c r="AJ21" s="252">
        <f t="shared" si="16"/>
        <v>1.4337183674081881</v>
      </c>
      <c r="AK21">
        <f t="shared" si="17"/>
        <v>0</v>
      </c>
    </row>
    <row r="22" spans="2:38">
      <c r="D22" s="69">
        <v>0</v>
      </c>
      <c r="E22" s="69">
        <v>0</v>
      </c>
      <c r="F22" s="67">
        <v>0.55000000000000004</v>
      </c>
      <c r="G22" s="13">
        <v>0.11591</v>
      </c>
      <c r="H22" s="14">
        <v>1.8286</v>
      </c>
      <c r="I22" s="14">
        <v>8.5400000000000004E-2</v>
      </c>
      <c r="R22" s="14">
        <f t="shared" si="0"/>
        <v>4.3146065612227682</v>
      </c>
      <c r="S22">
        <f>2*PI()*G22/9.81/(H22/1.1)^2</f>
        <v>2.6864558414603366E-2</v>
      </c>
      <c r="T22">
        <f t="shared" si="2"/>
        <v>1.0168546910221141</v>
      </c>
      <c r="U22">
        <f t="shared" si="18"/>
        <v>1.2726572524293509</v>
      </c>
      <c r="V22">
        <f t="shared" si="19"/>
        <v>1.2941074971961004</v>
      </c>
      <c r="W22">
        <f t="shared" si="20"/>
        <v>3.9540869891613453E-4</v>
      </c>
      <c r="X22">
        <f t="shared" si="21"/>
        <v>6.9146190543023442E-3</v>
      </c>
      <c r="Y22">
        <f t="shared" si="22"/>
        <v>2.759975094076917E-4</v>
      </c>
      <c r="AA22" s="230">
        <f t="shared" si="8"/>
        <v>0.12747396366173627</v>
      </c>
      <c r="AB22" s="252">
        <f t="shared" si="9"/>
        <v>1.4562591555043014</v>
      </c>
      <c r="AC22" s="252">
        <v>1.4562591555043014</v>
      </c>
      <c r="AD22" s="252">
        <f t="shared" si="10"/>
        <v>0</v>
      </c>
      <c r="AE22" s="252">
        <f t="shared" si="11"/>
        <v>-0.79895085865834536</v>
      </c>
      <c r="AF22" s="252">
        <f t="shared" si="12"/>
        <v>4.3146065612227682</v>
      </c>
      <c r="AG22" s="252">
        <f t="shared" si="13"/>
        <v>2.980718745354312</v>
      </c>
      <c r="AH22" s="252">
        <f t="shared" si="14"/>
        <v>2.1079430311807954</v>
      </c>
      <c r="AI22" s="252">
        <f t="shared" si="15"/>
        <v>2.3187373342988753</v>
      </c>
      <c r="AJ22" s="252">
        <f t="shared" si="16"/>
        <v>1.7581671218904611</v>
      </c>
      <c r="AK22">
        <f t="shared" si="17"/>
        <v>0</v>
      </c>
    </row>
    <row r="23" spans="2:38">
      <c r="D23" s="69">
        <v>0</v>
      </c>
      <c r="E23" s="69">
        <v>0</v>
      </c>
      <c r="F23" s="67">
        <v>0.55000000000000004</v>
      </c>
      <c r="G23" s="232">
        <v>0.14384</v>
      </c>
      <c r="H23" s="36">
        <v>2.1333000000000002</v>
      </c>
      <c r="I23" s="7">
        <v>0.85899999999999999</v>
      </c>
      <c r="R23" s="14">
        <f t="shared" si="0"/>
        <v>5.872291900839822</v>
      </c>
      <c r="S23">
        <f>2*PI()*G23/9.81/(H23/1.1)^2</f>
        <v>2.4494695159726108E-2</v>
      </c>
      <c r="T23">
        <f t="shared" si="2"/>
        <v>1.0649095705306457</v>
      </c>
      <c r="U23">
        <f t="shared" si="18"/>
        <v>0.97926189262544694</v>
      </c>
      <c r="V23">
        <f t="shared" si="19"/>
        <v>1.042825361512792</v>
      </c>
      <c r="W23">
        <f t="shared" si="20"/>
        <v>1.6685721309497013E-3</v>
      </c>
      <c r="X23">
        <f t="shared" si="21"/>
        <v>1.3289462482063422E-2</v>
      </c>
      <c r="Y23">
        <f t="shared" si="22"/>
        <v>1.9175578270913805E-3</v>
      </c>
      <c r="AA23" s="230">
        <f t="shared" si="8"/>
        <v>9.3660194228652391E-2</v>
      </c>
      <c r="AB23" s="252">
        <f t="shared" si="9"/>
        <v>1.0699715568091908</v>
      </c>
      <c r="AC23" s="252">
        <v>1.0699715568091908</v>
      </c>
      <c r="AD23" s="252">
        <f t="shared" si="10"/>
        <v>0</v>
      </c>
      <c r="AE23" s="252">
        <f t="shared" si="11"/>
        <v>-0.97383683690377376</v>
      </c>
      <c r="AF23" s="252">
        <f t="shared" si="12"/>
        <v>5.872291900839822</v>
      </c>
      <c r="AG23" s="252">
        <f t="shared" si="13"/>
        <v>2.2659812092676717</v>
      </c>
      <c r="AH23" s="252">
        <f t="shared" si="14"/>
        <v>2.7728320435676559</v>
      </c>
      <c r="AI23" s="252">
        <f t="shared" si="15"/>
        <v>3.0501152479244218</v>
      </c>
      <c r="AJ23" s="252">
        <f t="shared" si="16"/>
        <v>1.9398216838759244</v>
      </c>
      <c r="AK23">
        <f t="shared" si="17"/>
        <v>0</v>
      </c>
    </row>
    <row r="24" spans="2:38" ht="13.5" thickBot="1">
      <c r="D24" s="69">
        <v>0</v>
      </c>
      <c r="E24" s="69">
        <v>0</v>
      </c>
      <c r="F24" s="67">
        <v>0.55000000000000004</v>
      </c>
      <c r="G24" s="233">
        <v>0.13879</v>
      </c>
      <c r="H24" s="228">
        <v>1.5059</v>
      </c>
      <c r="I24" s="228">
        <v>2.5499999999999998E-2</v>
      </c>
      <c r="R24" s="14">
        <f t="shared" si="0"/>
        <v>2.9261462954134876</v>
      </c>
      <c r="S24" s="155">
        <f>2*PI()*G24/9.81/(H24/1.1)^2</f>
        <v>4.7430984642682694E-2</v>
      </c>
      <c r="T24" s="155">
        <f t="shared" si="2"/>
        <v>0.76527527021654862</v>
      </c>
      <c r="U24" s="155">
        <f t="shared" si="18"/>
        <v>1.4122624236685368</v>
      </c>
      <c r="V24" s="155">
        <f t="shared" si="19"/>
        <v>1.0807695078896173</v>
      </c>
      <c r="W24" s="155">
        <f t="shared" si="20"/>
        <v>1.5332524371318635E-4</v>
      </c>
      <c r="X24" s="155">
        <f t="shared" si="21"/>
        <v>1.2040989802781834E-2</v>
      </c>
      <c r="Y24" s="155">
        <f t="shared" si="22"/>
        <v>8.3574307168245493E-5</v>
      </c>
      <c r="AA24" s="230">
        <f t="shared" si="8"/>
        <v>0.18796052708030467</v>
      </c>
      <c r="AB24" s="252">
        <f t="shared" si="9"/>
        <v>2.1472560401467291</v>
      </c>
      <c r="AC24" s="252">
        <v>2.1472560401467291</v>
      </c>
      <c r="AD24" s="252">
        <f t="shared" si="10"/>
        <v>0</v>
      </c>
      <c r="AE24" s="252">
        <f t="shared" si="11"/>
        <v>-0.50814880929090833</v>
      </c>
      <c r="AF24" s="252">
        <f t="shared" si="12"/>
        <v>2.9261462954134876</v>
      </c>
      <c r="AG24" s="252">
        <f t="shared" si="13"/>
        <v>4.081467923491843</v>
      </c>
      <c r="AH24" s="252">
        <f t="shared" si="14"/>
        <v>1.539442530226746</v>
      </c>
      <c r="AI24" s="252">
        <f t="shared" si="15"/>
        <v>1.6933867832494207</v>
      </c>
      <c r="AJ24" s="252">
        <f t="shared" si="16"/>
        <v>1.4337183674081881</v>
      </c>
      <c r="AK24">
        <f t="shared" si="17"/>
        <v>0</v>
      </c>
    </row>
    <row r="25" spans="2:38">
      <c r="D25" s="239">
        <v>0</v>
      </c>
      <c r="E25" s="239">
        <v>0</v>
      </c>
      <c r="F25" s="211">
        <v>0.5</v>
      </c>
      <c r="G25" s="206">
        <v>0.10048</v>
      </c>
      <c r="H25" s="204">
        <v>1.7067000000000001</v>
      </c>
      <c r="I25" s="207">
        <v>0.16700000000000001</v>
      </c>
      <c r="J25" s="77"/>
      <c r="K25" s="77"/>
      <c r="L25" s="77"/>
      <c r="M25" s="77"/>
      <c r="N25" s="77"/>
      <c r="O25" s="77"/>
      <c r="P25" s="77"/>
      <c r="Q25" s="77"/>
      <c r="R25" s="14">
        <f t="shared" si="0"/>
        <v>3.758531078447263</v>
      </c>
      <c r="S25" s="155">
        <f t="shared" ref="S25:S32" si="23">2*PI()*G25/9.81/(H25/1.1)^2</f>
        <v>2.6733848384595676E-2</v>
      </c>
      <c r="T25" s="155">
        <f t="shared" si="2"/>
        <v>1.0193375179973165</v>
      </c>
      <c r="U25" s="155">
        <f t="shared" ref="U25:U30" si="24">0.1/G25/T25</f>
        <v>0.97634288188627805</v>
      </c>
      <c r="V25" s="155">
        <f t="shared" ref="V25:V30" si="25">0.1/G25</f>
        <v>0.99522292993630579</v>
      </c>
      <c r="W25" s="155">
        <f t="shared" ref="W25:W30" si="26">0.067*6^0.5*T25*EXP(-4.75*0.1/G25/T25)</f>
        <v>1.6194662006446905E-3</v>
      </c>
      <c r="X25" s="155">
        <f t="shared" ref="X25:X30" si="27">0.2*EXP(-2.6*0.1/G25)</f>
        <v>1.5040367434575125E-2</v>
      </c>
      <c r="Y25" s="155">
        <f t="shared" ref="Y25:Y32" si="28">IF(W25&lt;X25,I25/1000/(9.91*G25^3)^0.5*(S25*6)^0.5," ")</f>
        <v>6.6706256618973784E-4</v>
      </c>
      <c r="Z25" s="77"/>
      <c r="AA25" s="230">
        <f t="shared" si="8"/>
        <v>0.13303069458895139</v>
      </c>
      <c r="AB25" s="252">
        <f t="shared" si="9"/>
        <v>1.6717130112903886</v>
      </c>
      <c r="AC25" s="252">
        <v>1.6717130112903886</v>
      </c>
      <c r="AD25" s="252">
        <f t="shared" si="10"/>
        <v>0</v>
      </c>
      <c r="AE25" s="252">
        <f t="shared" si="11"/>
        <v>-0.70137167194974648</v>
      </c>
      <c r="AF25" s="252">
        <f t="shared" si="12"/>
        <v>3.758531078447263</v>
      </c>
      <c r="AG25" s="252">
        <f t="shared" si="13"/>
        <v>3.3482585137287817</v>
      </c>
      <c r="AH25" s="252">
        <f t="shared" si="14"/>
        <v>1.8765532235389821</v>
      </c>
      <c r="AI25" s="252">
        <f t="shared" si="15"/>
        <v>2.0642085458928805</v>
      </c>
      <c r="AJ25" s="252">
        <f t="shared" si="16"/>
        <v>1.6537013384206749</v>
      </c>
      <c r="AK25">
        <f t="shared" si="17"/>
        <v>0</v>
      </c>
    </row>
    <row r="26" spans="2:38">
      <c r="B26" s="14">
        <v>429</v>
      </c>
      <c r="D26" s="239">
        <v>0</v>
      </c>
      <c r="E26" s="239">
        <v>0</v>
      </c>
      <c r="F26" s="211">
        <v>0.5</v>
      </c>
      <c r="G26" s="206">
        <v>0.15384</v>
      </c>
      <c r="H26" s="204">
        <v>2.1333000000000002</v>
      </c>
      <c r="I26" s="207">
        <v>0.4148</v>
      </c>
      <c r="J26" s="77"/>
      <c r="K26" s="77"/>
      <c r="L26" s="77"/>
      <c r="M26" s="77"/>
      <c r="N26" s="77"/>
      <c r="O26" s="77"/>
      <c r="P26" s="77"/>
      <c r="Q26" s="77"/>
      <c r="R26" s="14">
        <f t="shared" si="0"/>
        <v>5.872291900839822</v>
      </c>
      <c r="S26" s="155">
        <f t="shared" si="23"/>
        <v>2.6197607782065244E-2</v>
      </c>
      <c r="T26" s="155">
        <f t="shared" si="2"/>
        <v>1.0297171161217495</v>
      </c>
      <c r="U26" s="156">
        <f t="shared" si="24"/>
        <v>0.63126657881365655</v>
      </c>
      <c r="V26" s="155">
        <f t="shared" si="25"/>
        <v>0.6500260010400416</v>
      </c>
      <c r="W26" s="155">
        <f t="shared" si="26"/>
        <v>8.4261521838754141E-3</v>
      </c>
      <c r="X26" s="155">
        <f t="shared" si="27"/>
        <v>3.6901410079167161E-2</v>
      </c>
      <c r="Y26" s="156"/>
      <c r="Z26" s="77"/>
      <c r="AA26" s="230">
        <f t="shared" si="8"/>
        <v>8.5145631116956708E-2</v>
      </c>
      <c r="AB26" s="252">
        <f t="shared" si="9"/>
        <v>1.0699715568091908</v>
      </c>
      <c r="AC26" s="252">
        <v>1.0699715568091908</v>
      </c>
      <c r="AD26" s="252">
        <f t="shared" si="10"/>
        <v>0</v>
      </c>
      <c r="AE26" s="252">
        <f t="shared" si="11"/>
        <v>-0.97383683690377376</v>
      </c>
      <c r="AF26" s="252">
        <f t="shared" si="12"/>
        <v>5.872291900839822</v>
      </c>
      <c r="AG26" s="252">
        <f t="shared" si="13"/>
        <v>2.2659812092676717</v>
      </c>
      <c r="AH26" s="252">
        <f t="shared" si="14"/>
        <v>2.7728320435676559</v>
      </c>
      <c r="AI26" s="252">
        <f t="shared" si="15"/>
        <v>3.0501152479244218</v>
      </c>
      <c r="AJ26" s="252">
        <f t="shared" si="16"/>
        <v>1.9398216838759244</v>
      </c>
      <c r="AK26">
        <f t="shared" si="17"/>
        <v>0</v>
      </c>
    </row>
    <row r="27" spans="2:38">
      <c r="D27" s="239">
        <v>0</v>
      </c>
      <c r="E27" s="239">
        <v>0</v>
      </c>
      <c r="F27" s="211">
        <v>0.5</v>
      </c>
      <c r="G27" s="206">
        <v>0.13749</v>
      </c>
      <c r="H27" s="204">
        <v>1.5059</v>
      </c>
      <c r="I27" s="207">
        <v>0.31440000000000001</v>
      </c>
      <c r="J27" s="77"/>
      <c r="K27" s="77"/>
      <c r="L27" s="77"/>
      <c r="M27" s="77"/>
      <c r="N27" s="77"/>
      <c r="O27" s="77"/>
      <c r="P27" s="77"/>
      <c r="Q27" s="77"/>
      <c r="R27" s="14">
        <f t="shared" si="0"/>
        <v>2.9261462954134876</v>
      </c>
      <c r="S27" s="155">
        <f t="shared" si="23"/>
        <v>4.698671430594744E-2</v>
      </c>
      <c r="T27" s="155">
        <f t="shared" si="2"/>
        <v>0.76888468635773832</v>
      </c>
      <c r="U27" s="155">
        <f t="shared" si="24"/>
        <v>0.94594890051343827</v>
      </c>
      <c r="V27" s="155">
        <f t="shared" si="25"/>
        <v>0.72732562368172238</v>
      </c>
      <c r="W27" s="155">
        <f t="shared" si="26"/>
        <v>1.4112852346149806E-3</v>
      </c>
      <c r="X27" s="155">
        <f t="shared" si="27"/>
        <v>3.0182755307336474E-2</v>
      </c>
      <c r="Y27" s="155">
        <f t="shared" si="28"/>
        <v>1.040164926671978E-3</v>
      </c>
      <c r="Z27" s="77"/>
      <c r="AA27" s="230">
        <f t="shared" si="8"/>
        <v>0.17087320643664061</v>
      </c>
      <c r="AB27" s="252">
        <f t="shared" si="9"/>
        <v>2.1472560401467291</v>
      </c>
      <c r="AC27" s="252">
        <v>2.1472560401467291</v>
      </c>
      <c r="AD27" s="252">
        <f t="shared" si="10"/>
        <v>0</v>
      </c>
      <c r="AE27" s="252">
        <f t="shared" si="11"/>
        <v>-0.50814880929090833</v>
      </c>
      <c r="AF27" s="252">
        <f t="shared" si="12"/>
        <v>2.9261462954134876</v>
      </c>
      <c r="AG27" s="252">
        <f t="shared" si="13"/>
        <v>4.081467923491843</v>
      </c>
      <c r="AH27" s="252">
        <f t="shared" si="14"/>
        <v>1.539442530226746</v>
      </c>
      <c r="AI27" s="252">
        <f t="shared" si="15"/>
        <v>1.6933867832494207</v>
      </c>
      <c r="AJ27" s="252">
        <f t="shared" si="16"/>
        <v>1.4337183674081881</v>
      </c>
      <c r="AK27">
        <f t="shared" si="17"/>
        <v>0</v>
      </c>
    </row>
    <row r="28" spans="2:38">
      <c r="D28" s="239">
        <v>0</v>
      </c>
      <c r="E28" s="239">
        <v>0</v>
      </c>
      <c r="F28" s="211">
        <v>0.5</v>
      </c>
      <c r="G28" s="206">
        <v>0.10048</v>
      </c>
      <c r="H28" s="204">
        <v>1.7067000000000001</v>
      </c>
      <c r="I28" s="208">
        <v>9.0999999999999998E-2</v>
      </c>
      <c r="J28" s="37"/>
      <c r="K28" s="37"/>
      <c r="L28" s="37"/>
      <c r="M28" s="37"/>
      <c r="N28" s="37"/>
      <c r="O28" s="37"/>
      <c r="P28" s="37"/>
      <c r="Q28" s="37"/>
      <c r="R28" s="14">
        <f t="shared" si="0"/>
        <v>3.758531078447263</v>
      </c>
      <c r="S28" s="155">
        <f t="shared" si="23"/>
        <v>2.6733848384595676E-2</v>
      </c>
      <c r="T28" s="155">
        <f t="shared" si="2"/>
        <v>1.0193375179973165</v>
      </c>
      <c r="U28" s="155">
        <f t="shared" si="24"/>
        <v>0.97634288188627805</v>
      </c>
      <c r="V28" s="155">
        <f t="shared" si="25"/>
        <v>0.99522292993630579</v>
      </c>
      <c r="W28" s="155">
        <f t="shared" si="26"/>
        <v>1.6194662006446905E-3</v>
      </c>
      <c r="X28" s="155">
        <f t="shared" si="27"/>
        <v>1.5040367434575125E-2</v>
      </c>
      <c r="Y28" s="155">
        <f t="shared" si="28"/>
        <v>3.6348918277404871E-4</v>
      </c>
      <c r="Z28" s="77"/>
      <c r="AA28" s="230">
        <f t="shared" si="8"/>
        <v>0.13303069458895139</v>
      </c>
      <c r="AB28" s="252">
        <f t="shared" si="9"/>
        <v>1.6717130112903886</v>
      </c>
      <c r="AC28" s="252">
        <v>1.6717130112903886</v>
      </c>
      <c r="AD28" s="252">
        <f t="shared" si="10"/>
        <v>0</v>
      </c>
      <c r="AE28" s="252">
        <f t="shared" si="11"/>
        <v>-0.70137167194974648</v>
      </c>
      <c r="AF28" s="252">
        <f t="shared" si="12"/>
        <v>3.758531078447263</v>
      </c>
      <c r="AG28" s="252">
        <f t="shared" si="13"/>
        <v>3.3482585137287817</v>
      </c>
      <c r="AH28" s="252">
        <f t="shared" si="14"/>
        <v>1.8765532235389821</v>
      </c>
      <c r="AI28" s="252">
        <f t="shared" si="15"/>
        <v>2.0642085458928805</v>
      </c>
      <c r="AJ28" s="252">
        <f t="shared" si="16"/>
        <v>1.6537013384206749</v>
      </c>
      <c r="AK28">
        <f t="shared" si="17"/>
        <v>0</v>
      </c>
    </row>
    <row r="29" spans="2:38">
      <c r="B29" s="14">
        <v>429</v>
      </c>
      <c r="D29" s="239">
        <v>0</v>
      </c>
      <c r="E29" s="239">
        <v>0</v>
      </c>
      <c r="F29" s="211">
        <v>0.5</v>
      </c>
      <c r="G29" s="206">
        <v>0.15384</v>
      </c>
      <c r="H29" s="204">
        <v>2.1333000000000002</v>
      </c>
      <c r="I29" s="208">
        <v>0.41399999999999998</v>
      </c>
      <c r="J29" s="37"/>
      <c r="K29" s="37"/>
      <c r="L29" s="37"/>
      <c r="M29" s="37"/>
      <c r="N29" s="37"/>
      <c r="O29" s="37"/>
      <c r="P29" s="37"/>
      <c r="Q29" s="37"/>
      <c r="R29" s="14">
        <f t="shared" si="0"/>
        <v>5.872291900839822</v>
      </c>
      <c r="S29" s="155">
        <f t="shared" si="23"/>
        <v>2.6197607782065244E-2</v>
      </c>
      <c r="T29" s="155">
        <f t="shared" si="2"/>
        <v>1.0297171161217495</v>
      </c>
      <c r="U29" s="156">
        <f t="shared" si="24"/>
        <v>0.63126657881365655</v>
      </c>
      <c r="V29" s="155">
        <f t="shared" si="25"/>
        <v>0.6500260010400416</v>
      </c>
      <c r="W29" s="155">
        <f t="shared" si="26"/>
        <v>8.4261521838754141E-3</v>
      </c>
      <c r="X29" s="155">
        <f t="shared" si="27"/>
        <v>3.6901410079167161E-2</v>
      </c>
      <c r="Y29" s="156"/>
      <c r="AA29" s="230">
        <f t="shared" si="8"/>
        <v>8.5145631116956708E-2</v>
      </c>
      <c r="AB29" s="252">
        <f t="shared" si="9"/>
        <v>1.0699715568091908</v>
      </c>
      <c r="AC29" s="252">
        <v>1.0699715568091908</v>
      </c>
      <c r="AD29" s="252">
        <f t="shared" si="10"/>
        <v>0</v>
      </c>
      <c r="AE29" s="252">
        <f t="shared" si="11"/>
        <v>-0.97383683690377376</v>
      </c>
      <c r="AF29" s="252">
        <f t="shared" si="12"/>
        <v>5.872291900839822</v>
      </c>
      <c r="AG29" s="252">
        <f t="shared" si="13"/>
        <v>2.2659812092676717</v>
      </c>
      <c r="AH29" s="252">
        <f t="shared" si="14"/>
        <v>2.7728320435676559</v>
      </c>
      <c r="AI29" s="252">
        <f t="shared" si="15"/>
        <v>3.0501152479244218</v>
      </c>
      <c r="AJ29" s="252">
        <f t="shared" si="16"/>
        <v>1.9398216838759244</v>
      </c>
      <c r="AK29">
        <f t="shared" si="17"/>
        <v>0</v>
      </c>
    </row>
    <row r="30" spans="2:38">
      <c r="D30" s="239">
        <v>0</v>
      </c>
      <c r="E30" s="239">
        <v>0</v>
      </c>
      <c r="F30" s="211">
        <v>0.5</v>
      </c>
      <c r="G30" s="206">
        <v>0.13749</v>
      </c>
      <c r="H30" s="204">
        <v>1.5059</v>
      </c>
      <c r="I30" s="207">
        <v>0.23849999999999999</v>
      </c>
      <c r="J30" s="77"/>
      <c r="K30" s="77"/>
      <c r="L30" s="77"/>
      <c r="M30" s="77"/>
      <c r="N30" s="77"/>
      <c r="O30" s="77"/>
      <c r="P30" s="77"/>
      <c r="Q30" s="77"/>
      <c r="R30" s="14">
        <f t="shared" si="0"/>
        <v>2.9261462954134876</v>
      </c>
      <c r="S30" s="155">
        <f t="shared" si="23"/>
        <v>4.698671430594744E-2</v>
      </c>
      <c r="T30" s="155">
        <f t="shared" si="2"/>
        <v>0.76888468635773832</v>
      </c>
      <c r="U30" s="155">
        <f t="shared" si="24"/>
        <v>0.94594890051343827</v>
      </c>
      <c r="V30" s="155">
        <f t="shared" si="25"/>
        <v>0.72732562368172238</v>
      </c>
      <c r="W30" s="155">
        <f t="shared" si="26"/>
        <v>1.4112852346149806E-3</v>
      </c>
      <c r="X30" s="155">
        <f t="shared" si="27"/>
        <v>3.0182755307336474E-2</v>
      </c>
      <c r="Y30" s="155">
        <f t="shared" si="28"/>
        <v>7.8905640906891449E-4</v>
      </c>
      <c r="Z30" s="77"/>
      <c r="AA30" s="230">
        <f t="shared" si="8"/>
        <v>0.17087320643664061</v>
      </c>
      <c r="AB30" s="252">
        <f t="shared" si="9"/>
        <v>2.1472560401467291</v>
      </c>
      <c r="AC30" s="252">
        <v>2.1472560401467291</v>
      </c>
      <c r="AD30" s="252">
        <f t="shared" si="10"/>
        <v>0</v>
      </c>
      <c r="AE30" s="252">
        <f t="shared" si="11"/>
        <v>-0.50814880929090833</v>
      </c>
      <c r="AF30" s="252">
        <f t="shared" si="12"/>
        <v>2.9261462954134876</v>
      </c>
      <c r="AG30" s="252">
        <f t="shared" si="13"/>
        <v>4.081467923491843</v>
      </c>
      <c r="AH30" s="252">
        <f t="shared" si="14"/>
        <v>1.539442530226746</v>
      </c>
      <c r="AI30" s="252">
        <f t="shared" si="15"/>
        <v>1.6933867832494207</v>
      </c>
      <c r="AJ30" s="252">
        <f t="shared" si="16"/>
        <v>1.4337183674081881</v>
      </c>
      <c r="AK30">
        <f t="shared" si="17"/>
        <v>0</v>
      </c>
    </row>
    <row r="31" spans="2:38">
      <c r="D31" s="239">
        <v>0</v>
      </c>
      <c r="E31" s="239">
        <v>0</v>
      </c>
      <c r="F31" s="211">
        <v>0.5</v>
      </c>
      <c r="G31" s="206">
        <v>0.14460999999999999</v>
      </c>
      <c r="H31" s="204">
        <v>2.1333000000000002</v>
      </c>
      <c r="I31" s="207">
        <v>6.0299999999999999E-2</v>
      </c>
      <c r="J31" s="77"/>
      <c r="K31" s="77"/>
      <c r="L31" s="77"/>
      <c r="M31" s="77"/>
      <c r="N31" s="77"/>
      <c r="O31" s="77"/>
      <c r="P31" s="77"/>
      <c r="Q31" s="77"/>
      <c r="R31" s="14">
        <f t="shared" si="0"/>
        <v>5.872291900839822</v>
      </c>
      <c r="S31" s="155">
        <f t="shared" si="23"/>
        <v>2.4625819431646219E-2</v>
      </c>
      <c r="T31" s="155">
        <f t="shared" si="2"/>
        <v>1.0620706423254651</v>
      </c>
      <c r="U31" s="155">
        <f>0.2/G31/T31</f>
        <v>1.302201721894944</v>
      </c>
      <c r="V31" s="155">
        <f>0.2/G31</f>
        <v>1.3830302192102899</v>
      </c>
      <c r="W31" s="155">
        <f>0.067*6^0.5*T31*EXP(-4.75*0.2/G31/T31)</f>
        <v>3.589165437466242E-4</v>
      </c>
      <c r="X31" s="155">
        <f>0.2*EXP(-2.6*0.2/G31)</f>
        <v>5.4873135280408079E-3</v>
      </c>
      <c r="Y31" s="155">
        <f t="shared" si="28"/>
        <v>1.3389179572695264E-4</v>
      </c>
      <c r="AA31" s="230">
        <f t="shared" si="8"/>
        <v>8.5145631116956708E-2</v>
      </c>
      <c r="AB31" s="252">
        <f t="shared" si="9"/>
        <v>1.0699715568091908</v>
      </c>
      <c r="AC31" s="252">
        <v>1.0699715568091908</v>
      </c>
      <c r="AD31" s="252">
        <f t="shared" si="10"/>
        <v>0</v>
      </c>
      <c r="AE31" s="252">
        <f t="shared" si="11"/>
        <v>-0.97383683690377376</v>
      </c>
      <c r="AF31" s="252">
        <f t="shared" si="12"/>
        <v>5.872291900839822</v>
      </c>
      <c r="AG31" s="252">
        <f t="shared" si="13"/>
        <v>2.2659812092676717</v>
      </c>
      <c r="AH31" s="252">
        <f t="shared" si="14"/>
        <v>2.7728320435676559</v>
      </c>
      <c r="AI31" s="252">
        <f t="shared" si="15"/>
        <v>3.0501152479244218</v>
      </c>
      <c r="AJ31" s="252">
        <f t="shared" si="16"/>
        <v>1.9398216838759244</v>
      </c>
      <c r="AK31">
        <f t="shared" si="17"/>
        <v>0</v>
      </c>
    </row>
    <row r="32" spans="2:38">
      <c r="D32" s="239">
        <v>0</v>
      </c>
      <c r="E32" s="239">
        <v>0</v>
      </c>
      <c r="F32" s="211">
        <v>0.5</v>
      </c>
      <c r="G32" s="212">
        <v>0.14460999999999999</v>
      </c>
      <c r="H32" s="213">
        <v>2.1333000000000002</v>
      </c>
      <c r="I32" s="214">
        <v>0.12590000000000001</v>
      </c>
      <c r="J32" s="77"/>
      <c r="K32" s="77"/>
      <c r="L32" s="77"/>
      <c r="M32" s="77"/>
      <c r="N32" s="77"/>
      <c r="O32" s="77"/>
      <c r="P32" s="77"/>
      <c r="Q32" s="77"/>
      <c r="R32" s="14">
        <f t="shared" si="0"/>
        <v>5.872291900839822</v>
      </c>
      <c r="S32" s="155">
        <f t="shared" si="23"/>
        <v>2.4625819431646219E-2</v>
      </c>
      <c r="T32" s="155">
        <f t="shared" si="2"/>
        <v>1.0620706423254651</v>
      </c>
      <c r="U32" s="155">
        <f>0.2/G32/T32</f>
        <v>1.302201721894944</v>
      </c>
      <c r="V32" s="155">
        <f>0.2/G32</f>
        <v>1.3830302192102899</v>
      </c>
      <c r="W32" s="155">
        <f>0.067*6^0.5*T32*EXP(-4.75*0.2/G32/T32)</f>
        <v>3.589165437466242E-4</v>
      </c>
      <c r="X32" s="155">
        <f>0.2*EXP(-2.6*0.2/G32)</f>
        <v>5.4873135280408079E-3</v>
      </c>
      <c r="Y32" s="155">
        <f t="shared" si="28"/>
        <v>2.7955185874002224E-4</v>
      </c>
      <c r="AA32" s="230">
        <f t="shared" si="8"/>
        <v>8.5145631116956708E-2</v>
      </c>
      <c r="AB32" s="252">
        <f t="shared" si="9"/>
        <v>1.0699715568091908</v>
      </c>
      <c r="AC32" s="252">
        <v>1.0699715568091908</v>
      </c>
      <c r="AD32" s="252">
        <f t="shared" si="10"/>
        <v>0</v>
      </c>
      <c r="AE32" s="252">
        <f t="shared" si="11"/>
        <v>-0.97383683690377376</v>
      </c>
      <c r="AF32" s="252">
        <f t="shared" si="12"/>
        <v>5.872291900839822</v>
      </c>
      <c r="AG32" s="252">
        <f t="shared" si="13"/>
        <v>2.2659812092676717</v>
      </c>
      <c r="AH32" s="252">
        <f t="shared" si="14"/>
        <v>2.7728320435676559</v>
      </c>
      <c r="AI32" s="252">
        <f t="shared" si="15"/>
        <v>3.0501152479244218</v>
      </c>
      <c r="AJ32" s="252">
        <f t="shared" si="16"/>
        <v>1.9398216838759244</v>
      </c>
      <c r="AK32">
        <f t="shared" si="17"/>
        <v>0</v>
      </c>
      <c r="AL32" s="14">
        <v>0</v>
      </c>
    </row>
    <row r="33" spans="1:42">
      <c r="A33" s="16" t="s">
        <v>231</v>
      </c>
      <c r="B33" s="6">
        <v>444</v>
      </c>
      <c r="C33" s="6" t="s">
        <v>41</v>
      </c>
      <c r="D33" s="72" t="s">
        <v>251</v>
      </c>
      <c r="E33" s="73">
        <v>0</v>
      </c>
      <c r="F33" s="104">
        <v>0.55000000000000004</v>
      </c>
      <c r="G33" s="235">
        <v>7.9364000000000004E-2</v>
      </c>
      <c r="H33" s="241">
        <v>1.6</v>
      </c>
      <c r="I33" s="240">
        <v>0.66069999999999995</v>
      </c>
      <c r="J33" s="235">
        <v>7.9364000000000004E-2</v>
      </c>
      <c r="K33" s="241">
        <v>1.6</v>
      </c>
      <c r="L33" s="235">
        <v>8.8513999999999995E-2</v>
      </c>
      <c r="M33" s="241">
        <v>1.7067000000000001</v>
      </c>
      <c r="N33" s="240">
        <v>0</v>
      </c>
      <c r="O33" s="240">
        <v>0</v>
      </c>
      <c r="P33" s="240">
        <v>0.66069999999999995</v>
      </c>
      <c r="Q33" s="241">
        <v>0.86529999999999996</v>
      </c>
      <c r="R33" s="14">
        <f t="shared" si="0"/>
        <v>3.303267420522829</v>
      </c>
      <c r="S33">
        <f>2*PI()*G33/9.81/(H33/1.1)^2</f>
        <v>2.4025908258871319E-2</v>
      </c>
      <c r="T33">
        <f>1/6/S33^0.5</f>
        <v>1.075248492651701</v>
      </c>
      <c r="U33">
        <f>0.05/G33/T33</f>
        <v>0.5859190432928153</v>
      </c>
      <c r="V33">
        <f>0.05/G33</f>
        <v>0.63000856811652639</v>
      </c>
      <c r="W33">
        <f>0.067*6^0.5*T33*EXP(-4.75*0.05/G33/T33)</f>
        <v>1.0913588772837077E-2</v>
      </c>
      <c r="X33">
        <f>0.2*EXP(-2.6*0.05/G33)</f>
        <v>3.887281213558115E-2</v>
      </c>
      <c r="Y33">
        <f>IF(W33&lt;X33,I33/1000/(9.91*G33^3)^0.5*(S33*6)^0.5," ")</f>
        <v>3.5640820154007324E-3</v>
      </c>
      <c r="AA33" s="230">
        <f t="shared" si="8"/>
        <v>0.16650180865857603</v>
      </c>
      <c r="AB33" s="252">
        <f t="shared" si="9"/>
        <v>1.9021122141498028</v>
      </c>
      <c r="AC33" s="252">
        <v>1.9021122141498028</v>
      </c>
      <c r="AD33" s="252">
        <f t="shared" si="10"/>
        <v>0.25881904510252074</v>
      </c>
      <c r="AE33" s="252">
        <f t="shared" si="11"/>
        <v>-0.603097392439917</v>
      </c>
      <c r="AF33" s="252">
        <f t="shared" si="12"/>
        <v>3.303267420522829</v>
      </c>
      <c r="AG33" s="252">
        <f t="shared" si="13"/>
        <v>3.7165925062460481</v>
      </c>
      <c r="AH33" s="252">
        <f t="shared" si="14"/>
        <v>1.6905768648621451</v>
      </c>
      <c r="AI33" s="252">
        <f t="shared" si="15"/>
        <v>1.8596345513483596</v>
      </c>
      <c r="AJ33" s="252">
        <f t="shared" si="16"/>
        <v>1.5443158576093721</v>
      </c>
      <c r="AK33">
        <f t="shared" si="17"/>
        <v>14.999999999999996</v>
      </c>
      <c r="AL33" s="37"/>
      <c r="AM33" s="73"/>
      <c r="AN33" s="73"/>
      <c r="AO33" s="77"/>
      <c r="AP33" s="77"/>
    </row>
    <row r="34" spans="1:42">
      <c r="A34" s="16" t="s">
        <v>231</v>
      </c>
      <c r="B34" s="6">
        <v>445</v>
      </c>
      <c r="C34" s="6" t="s">
        <v>42</v>
      </c>
      <c r="D34" s="72" t="s">
        <v>251</v>
      </c>
      <c r="E34" s="73">
        <v>0</v>
      </c>
      <c r="F34" s="104">
        <v>0.55000000000000004</v>
      </c>
      <c r="G34" s="232">
        <v>8.3734000000000003E-2</v>
      </c>
      <c r="H34" s="36">
        <v>1.2190000000000001</v>
      </c>
      <c r="I34" s="7">
        <v>0.1066</v>
      </c>
      <c r="J34" s="232">
        <v>8.3734000000000003E-2</v>
      </c>
      <c r="K34" s="36">
        <v>1.2190000000000001</v>
      </c>
      <c r="L34" s="232">
        <v>8.2447000000000006E-2</v>
      </c>
      <c r="M34" s="36">
        <v>1.2190000000000001</v>
      </c>
      <c r="N34" s="7">
        <v>0</v>
      </c>
      <c r="O34" s="7">
        <v>0</v>
      </c>
      <c r="P34" s="7">
        <v>0.1066</v>
      </c>
      <c r="Q34" s="36">
        <v>7.3499999999999996E-2</v>
      </c>
      <c r="R34" s="14">
        <f t="shared" si="0"/>
        <v>1.9173931872920011</v>
      </c>
      <c r="S34">
        <f t="shared" ref="S34:S45" si="29">2*PI()*G34/9.81/(H34/1.1)^2</f>
        <v>4.3670750764615129E-2</v>
      </c>
      <c r="T34">
        <f t="shared" ref="T34:T48" si="30">1/6/S34^0.5</f>
        <v>0.79754173827547958</v>
      </c>
      <c r="U34">
        <f t="shared" ref="U34:U44" si="31">0.05/G34/T34</f>
        <v>0.74871191699777262</v>
      </c>
      <c r="V34">
        <f t="shared" ref="V34:V44" si="32">0.05/G34</f>
        <v>0.59712900374997013</v>
      </c>
      <c r="W34">
        <f t="shared" ref="W34:W44" si="33">0.067*6^0.5*T34*EXP(-4.75*0.05/G34/T34)</f>
        <v>3.7358285910290608E-3</v>
      </c>
      <c r="X34">
        <f t="shared" ref="X34:X44" si="34">0.2*EXP(-2.6*0.05/G34)</f>
        <v>4.2342103973083599E-2</v>
      </c>
      <c r="Y34">
        <f t="shared" ref="Y34:Y45" si="35">IF(W34&lt;X34,I34/1000/(9.91*G34^3)^0.5*(S34*6)^0.5," ")</f>
        <v>7.1538293245909461E-4</v>
      </c>
      <c r="AA34" s="230">
        <f t="shared" si="8"/>
        <v>0.28684779086796669</v>
      </c>
      <c r="AB34" s="252">
        <f t="shared" si="9"/>
        <v>3.2769414999609654</v>
      </c>
      <c r="AC34" s="252">
        <v>3.2769414999609654</v>
      </c>
      <c r="AD34" s="252">
        <f t="shared" si="10"/>
        <v>0.25881904510252074</v>
      </c>
      <c r="AE34" s="252">
        <f t="shared" si="11"/>
        <v>-0.21010848871445553</v>
      </c>
      <c r="AF34" s="252">
        <f t="shared" si="12"/>
        <v>1.9173931872920011</v>
      </c>
      <c r="AG34" s="252">
        <f t="shared" si="13"/>
        <v>5.4597059804385752</v>
      </c>
      <c r="AH34" s="252">
        <f t="shared" si="14"/>
        <v>1.1508285115886152</v>
      </c>
      <c r="AI34" s="252">
        <f t="shared" si="15"/>
        <v>1.2659113627474767</v>
      </c>
      <c r="AJ34" s="252">
        <f t="shared" si="16"/>
        <v>1.0394115408935118</v>
      </c>
      <c r="AK34">
        <f t="shared" si="17"/>
        <v>14.999999999999996</v>
      </c>
      <c r="AL34" s="37"/>
      <c r="AM34" s="73"/>
      <c r="AN34" s="73"/>
      <c r="AO34" s="77"/>
      <c r="AP34" s="77"/>
    </row>
    <row r="35" spans="1:42">
      <c r="A35" s="16" t="s">
        <v>231</v>
      </c>
      <c r="B35" s="6">
        <v>447</v>
      </c>
      <c r="C35" s="6" t="s">
        <v>43</v>
      </c>
      <c r="D35" s="72" t="s">
        <v>251</v>
      </c>
      <c r="E35" s="73">
        <v>0</v>
      </c>
      <c r="F35" s="104">
        <v>0.55000000000000004</v>
      </c>
      <c r="G35" s="232">
        <v>0.10600999999999999</v>
      </c>
      <c r="H35" s="36">
        <v>1.9692000000000001</v>
      </c>
      <c r="I35" s="7">
        <v>1.7282999999999999</v>
      </c>
      <c r="J35" s="232">
        <v>0.10600999999999999</v>
      </c>
      <c r="K35" s="36">
        <v>1.9692000000000001</v>
      </c>
      <c r="L35" s="232">
        <v>0.11438</v>
      </c>
      <c r="M35" s="36">
        <v>1.9692000000000001</v>
      </c>
      <c r="N35" s="7">
        <v>4.7100000000000003E-2</v>
      </c>
      <c r="O35" s="7">
        <v>0.05</v>
      </c>
      <c r="P35" s="7">
        <v>1.7282999999999999</v>
      </c>
      <c r="Q35" s="36">
        <v>3.1175000000000002</v>
      </c>
      <c r="R35" s="14">
        <f t="shared" si="0"/>
        <v>5.0036096669877761</v>
      </c>
      <c r="S35">
        <f t="shared" si="29"/>
        <v>2.118670461035764E-2</v>
      </c>
      <c r="T35">
        <f t="shared" si="30"/>
        <v>1.1450304703391789</v>
      </c>
      <c r="U35">
        <f t="shared" si="31"/>
        <v>0.41191359514086512</v>
      </c>
      <c r="V35">
        <f t="shared" si="32"/>
        <v>0.47165361758324692</v>
      </c>
      <c r="W35">
        <f t="shared" si="33"/>
        <v>2.6560204533496588E-2</v>
      </c>
      <c r="X35">
        <f t="shared" si="34"/>
        <v>5.8675247555892457E-2</v>
      </c>
      <c r="Y35">
        <f t="shared" si="35"/>
        <v>5.6711271160451255E-3</v>
      </c>
      <c r="AA35" s="230">
        <f t="shared" si="8"/>
        <v>0.10992064461557123</v>
      </c>
      <c r="AB35" s="252">
        <f t="shared" si="9"/>
        <v>1.2557305076441201</v>
      </c>
      <c r="AC35" s="252">
        <v>1.2557305076441201</v>
      </c>
      <c r="AD35" s="252">
        <f t="shared" si="10"/>
        <v>0.25881904510252074</v>
      </c>
      <c r="AE35" s="252">
        <f t="shared" si="11"/>
        <v>-0.89133814507598697</v>
      </c>
      <c r="AF35" s="252">
        <f t="shared" si="12"/>
        <v>5.0036096669877761</v>
      </c>
      <c r="AG35" s="252">
        <f t="shared" si="13"/>
        <v>2.6184647382764128</v>
      </c>
      <c r="AH35" s="252">
        <f t="shared" si="14"/>
        <v>2.3995684247080797</v>
      </c>
      <c r="AI35" s="252">
        <f t="shared" si="15"/>
        <v>2.6395252671788878</v>
      </c>
      <c r="AJ35" s="252">
        <f t="shared" si="16"/>
        <v>1.8543987630946703</v>
      </c>
      <c r="AK35">
        <f t="shared" si="17"/>
        <v>14.999999999999996</v>
      </c>
      <c r="AL35" s="37"/>
      <c r="AM35" s="73"/>
      <c r="AN35" s="73"/>
      <c r="AO35" s="77"/>
      <c r="AP35" s="77"/>
    </row>
    <row r="36" spans="1:42">
      <c r="A36" s="16" t="s">
        <v>231</v>
      </c>
      <c r="B36" s="6">
        <v>448</v>
      </c>
      <c r="C36" s="6" t="s">
        <v>44</v>
      </c>
      <c r="D36" s="72" t="s">
        <v>251</v>
      </c>
      <c r="E36" s="73">
        <v>0</v>
      </c>
      <c r="F36" s="104">
        <v>0.55000000000000004</v>
      </c>
      <c r="G36" s="232">
        <v>0.10899</v>
      </c>
      <c r="H36" s="36">
        <v>1.3473999999999999</v>
      </c>
      <c r="I36" s="242">
        <v>0.51080000000000003</v>
      </c>
      <c r="J36" s="232">
        <v>0.10899</v>
      </c>
      <c r="K36" s="36">
        <v>1.3473999999999999</v>
      </c>
      <c r="L36" s="232">
        <v>0.10882</v>
      </c>
      <c r="M36" s="36">
        <v>1.28</v>
      </c>
      <c r="N36" s="7">
        <v>0</v>
      </c>
      <c r="O36" s="7">
        <v>0</v>
      </c>
      <c r="P36" s="7">
        <v>0.51080000000000003</v>
      </c>
      <c r="Q36" s="36">
        <v>0.4919</v>
      </c>
      <c r="R36" s="14">
        <f t="shared" si="0"/>
        <v>2.3425930729291196</v>
      </c>
      <c r="S36">
        <f t="shared" si="29"/>
        <v>4.6525365954284859E-2</v>
      </c>
      <c r="T36">
        <f t="shared" si="30"/>
        <v>0.7726874361385051</v>
      </c>
      <c r="U36">
        <f t="shared" si="31"/>
        <v>0.59371702286741646</v>
      </c>
      <c r="V36">
        <f t="shared" si="32"/>
        <v>0.45875768419121021</v>
      </c>
      <c r="W36">
        <f t="shared" si="33"/>
        <v>7.5574651135250316E-3</v>
      </c>
      <c r="X36">
        <f t="shared" si="34"/>
        <v>6.0675948724036435E-2</v>
      </c>
      <c r="Y36"/>
      <c r="AA36" s="230">
        <f t="shared" si="8"/>
        <v>0.23478256055469926</v>
      </c>
      <c r="AB36" s="252">
        <f t="shared" si="9"/>
        <v>2.6821496997441594</v>
      </c>
      <c r="AC36" s="252">
        <v>2.6821496997441594</v>
      </c>
      <c r="AD36" s="252">
        <f t="shared" si="10"/>
        <v>0.25881904510252074</v>
      </c>
      <c r="AE36" s="252">
        <f t="shared" si="11"/>
        <v>-0.33971722669005722</v>
      </c>
      <c r="AF36" s="252">
        <f t="shared" si="12"/>
        <v>2.3425930729291196</v>
      </c>
      <c r="AG36" s="252">
        <f t="shared" si="13"/>
        <v>4.7897943050730021</v>
      </c>
      <c r="AH36" s="252">
        <f t="shared" si="14"/>
        <v>1.3117860406917459</v>
      </c>
      <c r="AI36" s="252">
        <f t="shared" si="15"/>
        <v>1.4429646447609206</v>
      </c>
      <c r="AJ36" s="252">
        <f t="shared" si="16"/>
        <v>1.2221413975986744</v>
      </c>
      <c r="AK36">
        <f t="shared" si="17"/>
        <v>14.999999999999998</v>
      </c>
      <c r="AL36" s="37"/>
      <c r="AM36" s="73"/>
      <c r="AN36" s="73"/>
      <c r="AO36" s="77"/>
      <c r="AP36" s="77"/>
    </row>
    <row r="37" spans="1:42">
      <c r="A37" s="16" t="s">
        <v>231</v>
      </c>
      <c r="B37" s="6">
        <v>449</v>
      </c>
      <c r="C37" s="6" t="s">
        <v>45</v>
      </c>
      <c r="D37" s="72" t="s">
        <v>251</v>
      </c>
      <c r="E37" s="73">
        <v>0</v>
      </c>
      <c r="F37" s="104">
        <v>0.55000000000000004</v>
      </c>
      <c r="G37" s="232">
        <v>0.13918</v>
      </c>
      <c r="H37" s="7">
        <v>2.1333000000000002</v>
      </c>
      <c r="I37" s="7">
        <v>4.1429999999999998</v>
      </c>
      <c r="J37" s="232">
        <v>0.13918</v>
      </c>
      <c r="K37" s="7">
        <v>2.1333000000000002</v>
      </c>
      <c r="L37" s="232">
        <v>0.14076</v>
      </c>
      <c r="M37" s="7">
        <v>2.1333000000000002</v>
      </c>
      <c r="N37" s="7">
        <v>0.38269999999999998</v>
      </c>
      <c r="O37" s="7">
        <v>0.40789999999999998</v>
      </c>
      <c r="P37" s="7">
        <v>4.1429999999999998</v>
      </c>
      <c r="Q37" s="7">
        <v>7.0727000000000002</v>
      </c>
      <c r="R37" s="14">
        <f t="shared" si="0"/>
        <v>5.872291900839822</v>
      </c>
      <c r="S37">
        <f t="shared" si="29"/>
        <v>2.3701137877716067E-2</v>
      </c>
      <c r="T37">
        <f t="shared" si="30"/>
        <v>1.0825903492367159</v>
      </c>
      <c r="U37">
        <f t="shared" si="31"/>
        <v>0.33184021869679226</v>
      </c>
      <c r="V37">
        <f t="shared" si="32"/>
        <v>0.35924701824974853</v>
      </c>
      <c r="W37">
        <f t="shared" si="33"/>
        <v>3.673345631873276E-2</v>
      </c>
      <c r="X37">
        <f t="shared" si="34"/>
        <v>7.8592409152122664E-2</v>
      </c>
      <c r="Y37">
        <f t="shared" si="35"/>
        <v>9.5581332642303094E-3</v>
      </c>
      <c r="AA37" s="230">
        <f t="shared" si="8"/>
        <v>9.3660194228652391E-2</v>
      </c>
      <c r="AB37" s="252">
        <f t="shared" si="9"/>
        <v>1.0699715568091908</v>
      </c>
      <c r="AC37" s="252">
        <v>1.0699715568091908</v>
      </c>
      <c r="AD37" s="252">
        <f t="shared" si="10"/>
        <v>0.25881904510252074</v>
      </c>
      <c r="AE37" s="252">
        <f t="shared" si="11"/>
        <v>-0.97383683690377376</v>
      </c>
      <c r="AF37" s="252">
        <f t="shared" si="12"/>
        <v>5.872291900839822</v>
      </c>
      <c r="AG37" s="252">
        <f t="shared" si="13"/>
        <v>2.2659812092676717</v>
      </c>
      <c r="AH37" s="252">
        <f t="shared" si="14"/>
        <v>2.7728320435676559</v>
      </c>
      <c r="AI37" s="252">
        <f t="shared" si="15"/>
        <v>3.0501152479244218</v>
      </c>
      <c r="AJ37" s="252">
        <f t="shared" si="16"/>
        <v>1.9398216838759244</v>
      </c>
      <c r="AK37">
        <f t="shared" si="17"/>
        <v>14.999999999999998</v>
      </c>
      <c r="AL37" s="77"/>
      <c r="AM37" s="73"/>
      <c r="AN37" s="73"/>
    </row>
    <row r="38" spans="1:42" ht="13.5" thickBot="1">
      <c r="A38" s="115" t="s">
        <v>231</v>
      </c>
      <c r="B38" s="116">
        <v>450</v>
      </c>
      <c r="C38" s="116" t="s">
        <v>46</v>
      </c>
      <c r="D38" s="72" t="s">
        <v>251</v>
      </c>
      <c r="E38" s="118">
        <v>0</v>
      </c>
      <c r="F38" s="120">
        <v>0.55000000000000004</v>
      </c>
      <c r="G38" s="233">
        <v>0.13025999999999999</v>
      </c>
      <c r="H38" s="45">
        <v>1.5059</v>
      </c>
      <c r="I38" s="228">
        <v>2.0613999999999999</v>
      </c>
      <c r="J38" s="233">
        <v>0.13025999999999999</v>
      </c>
      <c r="K38" s="45">
        <v>1.5059</v>
      </c>
      <c r="L38" s="233">
        <v>0.1396</v>
      </c>
      <c r="M38" s="45">
        <v>1.5059</v>
      </c>
      <c r="N38" s="228">
        <v>0</v>
      </c>
      <c r="O38" s="228">
        <v>0</v>
      </c>
      <c r="P38" s="228">
        <v>2.0613999999999999</v>
      </c>
      <c r="Q38" s="45">
        <v>2.0973000000000002</v>
      </c>
      <c r="R38" s="14">
        <f t="shared" si="0"/>
        <v>2.9261462954134876</v>
      </c>
      <c r="S38">
        <f t="shared" si="29"/>
        <v>4.451588774087361E-2</v>
      </c>
      <c r="T38">
        <f t="shared" si="30"/>
        <v>0.78993477011417923</v>
      </c>
      <c r="U38">
        <f t="shared" si="31"/>
        <v>0.48592327336272151</v>
      </c>
      <c r="V38">
        <f t="shared" si="32"/>
        <v>0.38384768923691087</v>
      </c>
      <c r="W38">
        <f t="shared" si="33"/>
        <v>1.2892321468258694E-2</v>
      </c>
      <c r="X38">
        <f t="shared" si="34"/>
        <v>7.3722892957130429E-2</v>
      </c>
      <c r="Y38">
        <f t="shared" si="35"/>
        <v>7.1984994892878088E-3</v>
      </c>
      <c r="AA38" s="230">
        <f t="shared" si="8"/>
        <v>0.18796052708030467</v>
      </c>
      <c r="AB38" s="252">
        <f t="shared" si="9"/>
        <v>2.1472560401467291</v>
      </c>
      <c r="AC38" s="252">
        <v>2.1472560401467291</v>
      </c>
      <c r="AD38" s="252">
        <f t="shared" si="10"/>
        <v>0.25881904510252074</v>
      </c>
      <c r="AE38" s="252">
        <f t="shared" si="11"/>
        <v>-0.50814880929090833</v>
      </c>
      <c r="AF38" s="252">
        <f t="shared" si="12"/>
        <v>2.9261462954134876</v>
      </c>
      <c r="AG38" s="252">
        <f t="shared" si="13"/>
        <v>4.081467923491843</v>
      </c>
      <c r="AH38" s="252">
        <f t="shared" si="14"/>
        <v>1.539442530226746</v>
      </c>
      <c r="AI38" s="252">
        <f t="shared" si="15"/>
        <v>1.6933867832494207</v>
      </c>
      <c r="AJ38" s="252">
        <f t="shared" si="16"/>
        <v>1.4337183674081881</v>
      </c>
      <c r="AK38">
        <f t="shared" si="17"/>
        <v>14.999999999999996</v>
      </c>
      <c r="AL38" s="37"/>
      <c r="AM38" s="73"/>
      <c r="AN38" s="73"/>
      <c r="AO38" s="77"/>
      <c r="AP38" s="77"/>
    </row>
    <row r="39" spans="1:42">
      <c r="A39" s="16" t="s">
        <v>231</v>
      </c>
      <c r="B39" s="6">
        <v>444</v>
      </c>
      <c r="C39" s="6" t="s">
        <v>41</v>
      </c>
      <c r="D39" s="72" t="s">
        <v>251</v>
      </c>
      <c r="E39" s="73">
        <v>0</v>
      </c>
      <c r="F39" s="104">
        <v>0.55000000000000004</v>
      </c>
      <c r="G39" s="235">
        <v>7.9364000000000004E-2</v>
      </c>
      <c r="H39" s="241">
        <v>1.6</v>
      </c>
      <c r="I39" s="241">
        <v>0.86529999999999996</v>
      </c>
      <c r="J39" s="37"/>
      <c r="K39" s="37"/>
      <c r="L39" s="37"/>
      <c r="M39" s="37"/>
      <c r="N39" s="37"/>
      <c r="O39" s="37"/>
      <c r="P39" s="37"/>
      <c r="Q39" s="37"/>
      <c r="R39" s="14">
        <f t="shared" si="0"/>
        <v>3.303267420522829</v>
      </c>
      <c r="S39">
        <f t="shared" si="29"/>
        <v>2.4025908258871319E-2</v>
      </c>
      <c r="T39">
        <f t="shared" si="30"/>
        <v>1.075248492651701</v>
      </c>
      <c r="U39">
        <f t="shared" si="31"/>
        <v>0.5859190432928153</v>
      </c>
      <c r="V39">
        <f t="shared" si="32"/>
        <v>0.63000856811652639</v>
      </c>
      <c r="W39">
        <f t="shared" si="33"/>
        <v>1.0913588772837077E-2</v>
      </c>
      <c r="X39">
        <f t="shared" si="34"/>
        <v>3.887281213558115E-2</v>
      </c>
      <c r="Y39">
        <f t="shared" si="35"/>
        <v>4.6677768547392978E-3</v>
      </c>
      <c r="AA39" s="230">
        <f t="shared" si="8"/>
        <v>0.16650180865857603</v>
      </c>
      <c r="AB39" s="252">
        <f t="shared" si="9"/>
        <v>1.9021122141498028</v>
      </c>
      <c r="AC39" s="252">
        <v>1.9021122141498028</v>
      </c>
      <c r="AD39" s="252">
        <f t="shared" si="10"/>
        <v>0.25881904510252074</v>
      </c>
      <c r="AE39" s="252">
        <f t="shared" si="11"/>
        <v>-0.603097392439917</v>
      </c>
      <c r="AF39" s="252">
        <f t="shared" si="12"/>
        <v>3.303267420522829</v>
      </c>
      <c r="AG39" s="252">
        <f t="shared" si="13"/>
        <v>3.7165925062460481</v>
      </c>
      <c r="AH39" s="252">
        <f t="shared" si="14"/>
        <v>1.6905768648621451</v>
      </c>
      <c r="AI39" s="252">
        <f t="shared" si="15"/>
        <v>1.8596345513483596</v>
      </c>
      <c r="AJ39" s="252">
        <f t="shared" si="16"/>
        <v>1.5443158576093721</v>
      </c>
      <c r="AK39">
        <f t="shared" si="17"/>
        <v>14.999999999999996</v>
      </c>
      <c r="AL39" s="37"/>
      <c r="AM39" s="73"/>
      <c r="AN39" s="73"/>
      <c r="AO39" s="77"/>
      <c r="AP39" s="77"/>
    </row>
    <row r="40" spans="1:42">
      <c r="A40" s="16" t="s">
        <v>231</v>
      </c>
      <c r="B40" s="6">
        <v>445</v>
      </c>
      <c r="C40" s="6" t="s">
        <v>42</v>
      </c>
      <c r="D40" s="72" t="s">
        <v>251</v>
      </c>
      <c r="E40" s="73">
        <v>0</v>
      </c>
      <c r="F40" s="104">
        <v>0.55000000000000004</v>
      </c>
      <c r="G40" s="232">
        <v>8.3734000000000003E-2</v>
      </c>
      <c r="H40" s="36">
        <v>1.2190000000000001</v>
      </c>
      <c r="I40" s="36">
        <v>7.3499999999999996E-2</v>
      </c>
      <c r="J40" s="37"/>
      <c r="K40" s="37"/>
      <c r="L40" s="37"/>
      <c r="M40" s="37"/>
      <c r="N40" s="37"/>
      <c r="O40" s="37"/>
      <c r="P40" s="37"/>
      <c r="Q40" s="37"/>
      <c r="R40" s="14">
        <f t="shared" si="0"/>
        <v>1.9173931872920011</v>
      </c>
      <c r="S40">
        <f t="shared" si="29"/>
        <v>4.3670750764615129E-2</v>
      </c>
      <c r="T40">
        <f t="shared" si="30"/>
        <v>0.79754173827547958</v>
      </c>
      <c r="U40">
        <f t="shared" si="31"/>
        <v>0.74871191699777262</v>
      </c>
      <c r="V40">
        <f t="shared" si="32"/>
        <v>0.59712900374997013</v>
      </c>
      <c r="W40">
        <f t="shared" si="33"/>
        <v>3.7358285910290608E-3</v>
      </c>
      <c r="X40">
        <f t="shared" si="34"/>
        <v>4.2342103973083599E-2</v>
      </c>
      <c r="Y40">
        <f t="shared" si="35"/>
        <v>4.9325183429402861E-4</v>
      </c>
      <c r="AA40" s="230">
        <f t="shared" si="8"/>
        <v>0.28684779086796669</v>
      </c>
      <c r="AB40" s="252">
        <f t="shared" si="9"/>
        <v>3.2769414999609654</v>
      </c>
      <c r="AC40" s="252">
        <v>3.2769414999609654</v>
      </c>
      <c r="AD40" s="252">
        <f t="shared" si="10"/>
        <v>0.25881904510252074</v>
      </c>
      <c r="AE40" s="252">
        <f t="shared" si="11"/>
        <v>-0.21010848871445553</v>
      </c>
      <c r="AF40" s="252">
        <f t="shared" si="12"/>
        <v>1.9173931872920011</v>
      </c>
      <c r="AG40" s="252">
        <f t="shared" si="13"/>
        <v>5.4597059804385752</v>
      </c>
      <c r="AH40" s="252">
        <f t="shared" si="14"/>
        <v>1.1508285115886152</v>
      </c>
      <c r="AI40" s="252">
        <f t="shared" si="15"/>
        <v>1.2659113627474767</v>
      </c>
      <c r="AJ40" s="252">
        <f t="shared" si="16"/>
        <v>1.0394115408935118</v>
      </c>
      <c r="AK40">
        <f t="shared" si="17"/>
        <v>14.999999999999996</v>
      </c>
      <c r="AL40" s="37"/>
      <c r="AM40" s="73"/>
      <c r="AN40" s="73"/>
      <c r="AO40" s="77"/>
      <c r="AP40" s="77"/>
    </row>
    <row r="41" spans="1:42">
      <c r="A41" s="16" t="s">
        <v>231</v>
      </c>
      <c r="B41" s="6">
        <v>447</v>
      </c>
      <c r="C41" s="6" t="s">
        <v>43</v>
      </c>
      <c r="D41" s="72" t="s">
        <v>251</v>
      </c>
      <c r="E41" s="73">
        <v>0</v>
      </c>
      <c r="F41" s="104">
        <v>0.55000000000000004</v>
      </c>
      <c r="G41" s="232">
        <v>0.10600999999999999</v>
      </c>
      <c r="H41" s="36">
        <v>1.9692000000000001</v>
      </c>
      <c r="I41" s="36">
        <v>3.1175000000000002</v>
      </c>
      <c r="J41" s="37"/>
      <c r="K41" s="37"/>
      <c r="L41" s="37"/>
      <c r="M41" s="37"/>
      <c r="N41" s="37"/>
      <c r="O41" s="37"/>
      <c r="P41" s="37"/>
      <c r="Q41" s="37"/>
      <c r="R41" s="14">
        <f t="shared" si="0"/>
        <v>5.0036096669877761</v>
      </c>
      <c r="S41">
        <f t="shared" si="29"/>
        <v>2.118670461035764E-2</v>
      </c>
      <c r="T41">
        <f t="shared" si="30"/>
        <v>1.1450304703391789</v>
      </c>
      <c r="U41">
        <f t="shared" si="31"/>
        <v>0.41191359514086512</v>
      </c>
      <c r="V41">
        <f t="shared" si="32"/>
        <v>0.47165361758324692</v>
      </c>
      <c r="W41">
        <f t="shared" si="33"/>
        <v>2.6560204533496588E-2</v>
      </c>
      <c r="X41">
        <f t="shared" si="34"/>
        <v>5.8675247555892457E-2</v>
      </c>
      <c r="Y41">
        <f t="shared" si="35"/>
        <v>1.0229554350674465E-2</v>
      </c>
      <c r="AA41" s="230">
        <f t="shared" si="8"/>
        <v>0.10992064461557123</v>
      </c>
      <c r="AB41" s="252">
        <f t="shared" si="9"/>
        <v>1.2557305076441201</v>
      </c>
      <c r="AC41" s="252">
        <v>1.2557305076441201</v>
      </c>
      <c r="AD41" s="252">
        <f t="shared" si="10"/>
        <v>0.25881904510252074</v>
      </c>
      <c r="AE41" s="252">
        <f t="shared" si="11"/>
        <v>-0.89133814507598697</v>
      </c>
      <c r="AF41" s="252">
        <f t="shared" si="12"/>
        <v>5.0036096669877761</v>
      </c>
      <c r="AG41" s="252">
        <f t="shared" si="13"/>
        <v>2.6184647382764128</v>
      </c>
      <c r="AH41" s="252">
        <f t="shared" si="14"/>
        <v>2.3995684247080797</v>
      </c>
      <c r="AI41" s="252">
        <f t="shared" si="15"/>
        <v>2.6395252671788878</v>
      </c>
      <c r="AJ41" s="252">
        <f t="shared" si="16"/>
        <v>1.8543987630946703</v>
      </c>
      <c r="AK41">
        <f t="shared" si="17"/>
        <v>14.999999999999996</v>
      </c>
      <c r="AL41" s="37"/>
      <c r="AM41" s="73"/>
      <c r="AN41" s="73"/>
      <c r="AO41" s="77"/>
      <c r="AP41" s="77"/>
    </row>
    <row r="42" spans="1:42">
      <c r="A42" s="16" t="s">
        <v>231</v>
      </c>
      <c r="B42" s="6">
        <v>448</v>
      </c>
      <c r="C42" s="6" t="s">
        <v>44</v>
      </c>
      <c r="D42" s="72" t="s">
        <v>251</v>
      </c>
      <c r="E42" s="73">
        <v>0</v>
      </c>
      <c r="F42" s="104">
        <v>0.55000000000000004</v>
      </c>
      <c r="G42" s="232">
        <v>0.10899</v>
      </c>
      <c r="H42" s="36">
        <v>1.3473999999999999</v>
      </c>
      <c r="I42" s="243">
        <v>0.4919</v>
      </c>
      <c r="J42" s="37"/>
      <c r="K42" s="37"/>
      <c r="L42" s="37"/>
      <c r="M42" s="37"/>
      <c r="N42" s="37"/>
      <c r="O42" s="37"/>
      <c r="P42" s="37"/>
      <c r="Q42" s="37"/>
      <c r="R42" s="14">
        <f t="shared" si="0"/>
        <v>2.3425930729291196</v>
      </c>
      <c r="S42">
        <f t="shared" si="29"/>
        <v>4.6525365954284859E-2</v>
      </c>
      <c r="T42">
        <f t="shared" si="30"/>
        <v>0.7726874361385051</v>
      </c>
      <c r="U42">
        <f t="shared" si="31"/>
        <v>0.59371702286741646</v>
      </c>
      <c r="V42">
        <f t="shared" si="32"/>
        <v>0.45875768419121021</v>
      </c>
      <c r="W42">
        <f t="shared" si="33"/>
        <v>7.5574651135250316E-3</v>
      </c>
      <c r="X42">
        <f t="shared" si="34"/>
        <v>6.0675948724036435E-2</v>
      </c>
      <c r="Y42"/>
      <c r="AA42" s="230">
        <f t="shared" si="8"/>
        <v>0.23478256055469926</v>
      </c>
      <c r="AB42" s="252">
        <f t="shared" si="9"/>
        <v>2.6821496997441594</v>
      </c>
      <c r="AC42" s="252">
        <v>2.6821496997441594</v>
      </c>
      <c r="AD42" s="252">
        <f t="shared" si="10"/>
        <v>0.25881904510252074</v>
      </c>
      <c r="AE42" s="252">
        <f t="shared" si="11"/>
        <v>-0.33971722669005722</v>
      </c>
      <c r="AF42" s="252">
        <f t="shared" si="12"/>
        <v>2.3425930729291196</v>
      </c>
      <c r="AG42" s="252">
        <f t="shared" si="13"/>
        <v>4.7897943050730021</v>
      </c>
      <c r="AH42" s="252">
        <f t="shared" si="14"/>
        <v>1.3117860406917459</v>
      </c>
      <c r="AI42" s="252">
        <f t="shared" si="15"/>
        <v>1.4429646447609206</v>
      </c>
      <c r="AJ42" s="252">
        <f t="shared" si="16"/>
        <v>1.2221413975986744</v>
      </c>
      <c r="AK42">
        <f t="shared" si="17"/>
        <v>14.999999999999998</v>
      </c>
      <c r="AL42" s="37"/>
      <c r="AM42" s="73"/>
      <c r="AN42" s="73"/>
      <c r="AO42" s="77"/>
      <c r="AP42" s="77"/>
    </row>
    <row r="43" spans="1:42">
      <c r="A43" s="16" t="s">
        <v>231</v>
      </c>
      <c r="B43" s="6">
        <v>449</v>
      </c>
      <c r="C43" s="6" t="s">
        <v>45</v>
      </c>
      <c r="D43" s="72" t="s">
        <v>251</v>
      </c>
      <c r="E43" s="73">
        <v>0</v>
      </c>
      <c r="F43" s="104">
        <v>0.55000000000000004</v>
      </c>
      <c r="G43" s="232">
        <v>0.13918</v>
      </c>
      <c r="H43" s="7">
        <v>2.1333000000000002</v>
      </c>
      <c r="I43" s="7">
        <v>7.0727000000000002</v>
      </c>
      <c r="J43" s="77"/>
      <c r="K43" s="77"/>
      <c r="L43" s="77"/>
      <c r="M43" s="77"/>
      <c r="N43" s="77"/>
      <c r="O43" s="77"/>
      <c r="P43" s="77"/>
      <c r="Q43" s="77"/>
      <c r="R43" s="14">
        <f t="shared" si="0"/>
        <v>5.872291900839822</v>
      </c>
      <c r="S43">
        <f t="shared" si="29"/>
        <v>2.3701137877716067E-2</v>
      </c>
      <c r="T43">
        <f t="shared" si="30"/>
        <v>1.0825903492367159</v>
      </c>
      <c r="U43">
        <f t="shared" si="31"/>
        <v>0.33184021869679226</v>
      </c>
      <c r="V43">
        <f t="shared" si="32"/>
        <v>0.35924701824974853</v>
      </c>
      <c r="W43">
        <f t="shared" si="33"/>
        <v>3.673345631873276E-2</v>
      </c>
      <c r="X43">
        <f t="shared" si="34"/>
        <v>7.8592409152122664E-2</v>
      </c>
      <c r="Y43">
        <f t="shared" si="35"/>
        <v>1.6317115408622185E-2</v>
      </c>
      <c r="AA43" s="230">
        <f t="shared" si="8"/>
        <v>9.3660194228652391E-2</v>
      </c>
      <c r="AB43" s="252">
        <f t="shared" si="9"/>
        <v>1.0699715568091908</v>
      </c>
      <c r="AC43" s="252">
        <v>1.0699715568091908</v>
      </c>
      <c r="AD43" s="252">
        <f t="shared" si="10"/>
        <v>0.25881904510252074</v>
      </c>
      <c r="AE43" s="252">
        <f t="shared" si="11"/>
        <v>-0.97383683690377376</v>
      </c>
      <c r="AF43" s="252">
        <f t="shared" si="12"/>
        <v>5.872291900839822</v>
      </c>
      <c r="AG43" s="252">
        <f t="shared" si="13"/>
        <v>2.2659812092676717</v>
      </c>
      <c r="AH43" s="252">
        <f t="shared" si="14"/>
        <v>2.7728320435676559</v>
      </c>
      <c r="AI43" s="252">
        <f t="shared" si="15"/>
        <v>3.0501152479244218</v>
      </c>
      <c r="AJ43" s="252">
        <f t="shared" si="16"/>
        <v>1.9398216838759244</v>
      </c>
      <c r="AK43">
        <f t="shared" si="17"/>
        <v>14.999999999999998</v>
      </c>
      <c r="AL43" s="37"/>
      <c r="AM43" s="73"/>
      <c r="AN43" s="73"/>
      <c r="AO43" s="77"/>
      <c r="AP43" s="77"/>
    </row>
    <row r="44" spans="1:42" ht="13.5" thickBot="1">
      <c r="A44" s="115" t="s">
        <v>231</v>
      </c>
      <c r="B44" s="116">
        <v>450</v>
      </c>
      <c r="C44" s="116" t="s">
        <v>46</v>
      </c>
      <c r="D44" s="72" t="s">
        <v>251</v>
      </c>
      <c r="E44" s="118">
        <v>0</v>
      </c>
      <c r="F44" s="120">
        <v>0.55000000000000004</v>
      </c>
      <c r="G44" s="233">
        <v>0.13025999999999999</v>
      </c>
      <c r="H44" s="45">
        <v>1.5059</v>
      </c>
      <c r="I44" s="45">
        <v>2.0973000000000002</v>
      </c>
      <c r="J44" s="37"/>
      <c r="K44" s="37"/>
      <c r="L44" s="37"/>
      <c r="M44" s="37"/>
      <c r="N44" s="37"/>
      <c r="O44" s="37"/>
      <c r="P44" s="37"/>
      <c r="Q44" s="37"/>
      <c r="R44" s="14">
        <f t="shared" si="0"/>
        <v>2.9261462954134876</v>
      </c>
      <c r="S44">
        <f t="shared" si="29"/>
        <v>4.451588774087361E-2</v>
      </c>
      <c r="T44">
        <f t="shared" si="30"/>
        <v>0.78993477011417923</v>
      </c>
      <c r="U44">
        <f t="shared" si="31"/>
        <v>0.48592327336272151</v>
      </c>
      <c r="V44">
        <f t="shared" si="32"/>
        <v>0.38384768923691087</v>
      </c>
      <c r="W44">
        <f t="shared" si="33"/>
        <v>1.2892321468258694E-2</v>
      </c>
      <c r="X44">
        <f t="shared" si="34"/>
        <v>7.3722892957130429E-2</v>
      </c>
      <c r="Y44">
        <f t="shared" si="35"/>
        <v>7.3238638686733901E-3</v>
      </c>
      <c r="AA44" s="230">
        <f t="shared" si="8"/>
        <v>0.18796052708030467</v>
      </c>
      <c r="AB44" s="252">
        <f t="shared" si="9"/>
        <v>2.1472560401467291</v>
      </c>
      <c r="AC44" s="252">
        <v>2.1472560401467291</v>
      </c>
      <c r="AD44" s="252">
        <f t="shared" si="10"/>
        <v>0.25881904510252074</v>
      </c>
      <c r="AE44" s="252">
        <f t="shared" si="11"/>
        <v>-0.50814880929090833</v>
      </c>
      <c r="AF44" s="252">
        <f t="shared" si="12"/>
        <v>2.9261462954134876</v>
      </c>
      <c r="AG44" s="252">
        <f t="shared" si="13"/>
        <v>4.081467923491843</v>
      </c>
      <c r="AH44" s="252">
        <f t="shared" si="14"/>
        <v>1.539442530226746</v>
      </c>
      <c r="AI44" s="252">
        <f t="shared" si="15"/>
        <v>1.6933867832494207</v>
      </c>
      <c r="AJ44" s="252">
        <f t="shared" si="16"/>
        <v>1.4337183674081881</v>
      </c>
      <c r="AK44">
        <f t="shared" si="17"/>
        <v>14.999999999999996</v>
      </c>
      <c r="AL44" s="37"/>
      <c r="AM44" s="73"/>
      <c r="AN44" s="73"/>
      <c r="AO44" s="77"/>
      <c r="AP44" s="77"/>
    </row>
    <row r="45" spans="1:42">
      <c r="A45" s="16" t="s">
        <v>231</v>
      </c>
      <c r="B45" s="6">
        <v>447</v>
      </c>
      <c r="C45" s="6" t="s">
        <v>43</v>
      </c>
      <c r="D45" s="72" t="s">
        <v>251</v>
      </c>
      <c r="E45" s="73">
        <v>0</v>
      </c>
      <c r="F45" s="104">
        <v>0.55000000000000004</v>
      </c>
      <c r="G45" s="232">
        <v>0.11438</v>
      </c>
      <c r="H45" s="36">
        <v>1.9692000000000001</v>
      </c>
      <c r="I45" s="7">
        <v>4.7100000000000003E-2</v>
      </c>
      <c r="J45" s="77"/>
      <c r="K45" s="77"/>
      <c r="L45" s="77"/>
      <c r="M45" s="77"/>
      <c r="N45" s="77"/>
      <c r="O45" s="77"/>
      <c r="P45" s="77"/>
      <c r="Q45" s="77"/>
      <c r="R45" s="14">
        <f t="shared" si="0"/>
        <v>5.0036096669877761</v>
      </c>
      <c r="S45">
        <f t="shared" si="29"/>
        <v>2.2859496965689154E-2</v>
      </c>
      <c r="T45">
        <f t="shared" si="30"/>
        <v>1.1023396148537981</v>
      </c>
      <c r="U45">
        <f>0.15/G45/T45</f>
        <v>1.1896679230364615</v>
      </c>
      <c r="V45">
        <f>0.15/G45</f>
        <v>1.3114180800839308</v>
      </c>
      <c r="W45">
        <f>0.067*6^0.5*T45*EXP(-4.75*0.15/G45/T45)</f>
        <v>6.3577189431177268E-4</v>
      </c>
      <c r="X45">
        <f>0.2*EXP(-2.6*0.15/G45)</f>
        <v>6.6103087237310565E-3</v>
      </c>
      <c r="Y45">
        <f t="shared" si="35"/>
        <v>1.432411837615425E-4</v>
      </c>
      <c r="AA45" s="230">
        <f t="shared" si="8"/>
        <v>0.10992064461557123</v>
      </c>
      <c r="AB45" s="252">
        <f t="shared" si="9"/>
        <v>1.2557305076441201</v>
      </c>
      <c r="AC45" s="252">
        <v>1.2557305076441201</v>
      </c>
      <c r="AD45" s="252">
        <f t="shared" si="10"/>
        <v>0.25881904510252074</v>
      </c>
      <c r="AE45" s="252">
        <f t="shared" si="11"/>
        <v>-0.89133814507598697</v>
      </c>
      <c r="AF45" s="252">
        <f t="shared" si="12"/>
        <v>5.0036096669877761</v>
      </c>
      <c r="AG45" s="252">
        <f t="shared" si="13"/>
        <v>2.6184647382764128</v>
      </c>
      <c r="AH45" s="252">
        <f t="shared" si="14"/>
        <v>2.3995684247080797</v>
      </c>
      <c r="AI45" s="252">
        <f t="shared" si="15"/>
        <v>2.6395252671788878</v>
      </c>
      <c r="AJ45" s="252">
        <f t="shared" si="16"/>
        <v>1.8543987630946703</v>
      </c>
      <c r="AK45">
        <f t="shared" si="17"/>
        <v>14.999999999999996</v>
      </c>
      <c r="AL45" s="37"/>
      <c r="AM45" s="73"/>
      <c r="AN45" s="73"/>
      <c r="AO45" s="77"/>
      <c r="AP45" s="77"/>
    </row>
    <row r="46" spans="1:42">
      <c r="A46" s="16" t="s">
        <v>231</v>
      </c>
      <c r="B46" s="6">
        <v>449</v>
      </c>
      <c r="C46" s="6" t="s">
        <v>45</v>
      </c>
      <c r="D46" s="72" t="s">
        <v>251</v>
      </c>
      <c r="E46" s="73">
        <v>0</v>
      </c>
      <c r="F46" s="104">
        <v>0.55000000000000004</v>
      </c>
      <c r="G46" s="232">
        <v>0.14076</v>
      </c>
      <c r="H46" s="7">
        <v>2.1333000000000002</v>
      </c>
      <c r="I46" s="7">
        <v>0.38269999999999998</v>
      </c>
      <c r="J46" s="77"/>
      <c r="K46" s="77"/>
      <c r="L46" s="77"/>
      <c r="M46" s="77"/>
      <c r="N46" s="77"/>
      <c r="O46" s="77"/>
      <c r="P46" s="77"/>
      <c r="Q46" s="77"/>
      <c r="R46" s="14">
        <f t="shared" si="0"/>
        <v>5.872291900839822</v>
      </c>
      <c r="S46">
        <f>2*PI()*G46/9.81/(H46/1.1)^2</f>
        <v>2.3970198072045652E-2</v>
      </c>
      <c r="T46">
        <f t="shared" si="30"/>
        <v>1.0764972835300892</v>
      </c>
      <c r="U46">
        <f>0.15/G46/T46</f>
        <v>0.98991763850007675</v>
      </c>
      <c r="V46">
        <f>0.15/G46</f>
        <v>1.0656436487638534</v>
      </c>
      <c r="W46">
        <f>0.067*6^0.5*T46*EXP(-4.75*0.15/G46/T46)</f>
        <v>1.6034797084291256E-3</v>
      </c>
      <c r="X46">
        <f>0.2*EXP(-2.6*0.15/G46)</f>
        <v>1.2523963383607907E-2</v>
      </c>
      <c r="Y46">
        <f>IF(W46&lt;X46,I46/1000/(9.91*G46^3)^0.5*(S46*6)^0.5," ")</f>
        <v>8.7299988058129317E-4</v>
      </c>
      <c r="AA46" s="230">
        <f t="shared" si="8"/>
        <v>9.3660194228652391E-2</v>
      </c>
      <c r="AB46" s="252">
        <f t="shared" si="9"/>
        <v>1.0699715568091908</v>
      </c>
      <c r="AC46" s="252">
        <v>1.0699715568091908</v>
      </c>
      <c r="AD46" s="252">
        <f t="shared" si="10"/>
        <v>0.25881904510252074</v>
      </c>
      <c r="AE46" s="252">
        <f t="shared" si="11"/>
        <v>-0.97383683690377376</v>
      </c>
      <c r="AF46" s="252">
        <f t="shared" si="12"/>
        <v>5.872291900839822</v>
      </c>
      <c r="AG46" s="252">
        <f t="shared" si="13"/>
        <v>2.2659812092676717</v>
      </c>
      <c r="AH46" s="252">
        <f t="shared" si="14"/>
        <v>2.7728320435676559</v>
      </c>
      <c r="AI46" s="252">
        <f t="shared" si="15"/>
        <v>3.0501152479244218</v>
      </c>
      <c r="AJ46" s="252">
        <f t="shared" si="16"/>
        <v>1.9398216838759244</v>
      </c>
      <c r="AK46">
        <f t="shared" si="17"/>
        <v>14.999999999999998</v>
      </c>
      <c r="AL46" s="37"/>
      <c r="AM46" s="73"/>
      <c r="AN46" s="73"/>
      <c r="AO46" s="77"/>
      <c r="AP46" s="77"/>
    </row>
    <row r="47" spans="1:42">
      <c r="A47" s="16" t="s">
        <v>231</v>
      </c>
      <c r="B47" s="6">
        <v>447</v>
      </c>
      <c r="C47" s="6" t="s">
        <v>43</v>
      </c>
      <c r="D47" s="72" t="s">
        <v>251</v>
      </c>
      <c r="E47" s="73">
        <v>0</v>
      </c>
      <c r="F47" s="104">
        <v>0.55000000000000004</v>
      </c>
      <c r="G47" s="232">
        <v>0.11438</v>
      </c>
      <c r="H47" s="36">
        <v>1.9692000000000001</v>
      </c>
      <c r="I47" s="7">
        <v>0.05</v>
      </c>
      <c r="J47" s="77"/>
      <c r="K47" s="77"/>
      <c r="L47" s="77"/>
      <c r="M47" s="77"/>
      <c r="N47" s="77"/>
      <c r="O47" s="77"/>
      <c r="P47" s="77"/>
      <c r="Q47" s="77"/>
      <c r="R47" s="14">
        <f t="shared" si="0"/>
        <v>5.0036096669877761</v>
      </c>
      <c r="S47">
        <f>2*PI()*G47/9.81/(H47/1.1)^2</f>
        <v>2.2859496965689154E-2</v>
      </c>
      <c r="T47">
        <f t="shared" si="30"/>
        <v>1.1023396148537981</v>
      </c>
      <c r="U47">
        <f>0.15/G47/T47</f>
        <v>1.1896679230364615</v>
      </c>
      <c r="V47">
        <f>0.15/G47</f>
        <v>1.3114180800839308</v>
      </c>
      <c r="W47">
        <f>0.067*6^0.5*T47*EXP(-4.75*0.15/G47/T47)</f>
        <v>6.3577189431177268E-4</v>
      </c>
      <c r="X47">
        <f>0.2*EXP(-2.6*0.15/G47)</f>
        <v>6.6103087237310565E-3</v>
      </c>
      <c r="Y47">
        <f>IF(W47&lt;X47,I47/1000/(9.91*G47^3)^0.5*(S47*6)^0.5," ")</f>
        <v>1.520607046300876E-4</v>
      </c>
      <c r="AA47" s="230">
        <f t="shared" si="8"/>
        <v>0.10992064461557123</v>
      </c>
      <c r="AB47" s="252">
        <f t="shared" si="9"/>
        <v>1.2557305076441201</v>
      </c>
      <c r="AC47" s="252">
        <v>1.2557305076441201</v>
      </c>
      <c r="AD47" s="252">
        <f t="shared" si="10"/>
        <v>0.25881904510252074</v>
      </c>
      <c r="AE47" s="252">
        <f t="shared" si="11"/>
        <v>-0.89133814507598697</v>
      </c>
      <c r="AF47" s="252">
        <f t="shared" si="12"/>
        <v>5.0036096669877761</v>
      </c>
      <c r="AG47" s="252">
        <f t="shared" si="13"/>
        <v>2.6184647382764128</v>
      </c>
      <c r="AH47" s="252">
        <f t="shared" si="14"/>
        <v>2.3995684247080797</v>
      </c>
      <c r="AI47" s="252">
        <f t="shared" si="15"/>
        <v>2.6395252671788878</v>
      </c>
      <c r="AJ47" s="252">
        <f t="shared" si="16"/>
        <v>1.8543987630946703</v>
      </c>
      <c r="AK47">
        <f t="shared" si="17"/>
        <v>14.999999999999996</v>
      </c>
      <c r="AL47" s="37"/>
      <c r="AM47" s="73"/>
      <c r="AN47" s="73"/>
      <c r="AO47" s="77"/>
      <c r="AP47" s="77"/>
    </row>
    <row r="48" spans="1:42" ht="13.5" thickBot="1">
      <c r="A48" s="115" t="s">
        <v>231</v>
      </c>
      <c r="B48" s="116">
        <v>449</v>
      </c>
      <c r="C48" s="116" t="s">
        <v>45</v>
      </c>
      <c r="D48" s="72" t="s">
        <v>251</v>
      </c>
      <c r="E48" s="118">
        <v>0</v>
      </c>
      <c r="F48" s="120">
        <v>0.55000000000000004</v>
      </c>
      <c r="G48" s="232">
        <v>0.14076</v>
      </c>
      <c r="H48" s="7">
        <v>2.1333000000000002</v>
      </c>
      <c r="I48" s="7">
        <v>0.40789999999999998</v>
      </c>
      <c r="J48" s="77"/>
      <c r="K48" s="77"/>
      <c r="L48" s="77"/>
      <c r="M48" s="77"/>
      <c r="N48" s="77"/>
      <c r="O48" s="77"/>
      <c r="P48" s="77"/>
      <c r="Q48" s="77"/>
      <c r="R48" s="14">
        <f t="shared" si="0"/>
        <v>5.872291900839822</v>
      </c>
      <c r="S48">
        <f>2*PI()*G48/9.81/(H48/1.1)^2</f>
        <v>2.3970198072045652E-2</v>
      </c>
      <c r="T48">
        <f t="shared" si="30"/>
        <v>1.0764972835300892</v>
      </c>
      <c r="U48">
        <f>0.15/G48/T48</f>
        <v>0.98991763850007675</v>
      </c>
      <c r="V48">
        <f>0.15/G48</f>
        <v>1.0656436487638534</v>
      </c>
      <c r="W48">
        <f>0.067*6^0.5*T48*EXP(-4.75*0.15/G48/T48)</f>
        <v>1.6034797084291256E-3</v>
      </c>
      <c r="X48">
        <f>0.2*EXP(-2.6*0.15/G48)</f>
        <v>1.2523963383607907E-2</v>
      </c>
      <c r="Y48">
        <f>IF(W48&lt;X48,I48/1000/(9.91*G48^3)^0.5*(S48*6)^0.5," ")</f>
        <v>9.3048510919547806E-4</v>
      </c>
      <c r="AA48" s="230">
        <f t="shared" si="8"/>
        <v>9.3660194228652391E-2</v>
      </c>
      <c r="AB48" s="252">
        <f t="shared" si="9"/>
        <v>1.0699715568091908</v>
      </c>
      <c r="AC48" s="252">
        <v>1.0699715568091908</v>
      </c>
      <c r="AD48" s="252">
        <f t="shared" si="10"/>
        <v>0.25881904510252074</v>
      </c>
      <c r="AE48" s="252">
        <f t="shared" si="11"/>
        <v>-0.97383683690377376</v>
      </c>
      <c r="AF48" s="252">
        <f t="shared" si="12"/>
        <v>5.872291900839822</v>
      </c>
      <c r="AG48" s="252">
        <f t="shared" si="13"/>
        <v>2.2659812092676717</v>
      </c>
      <c r="AH48" s="252">
        <f t="shared" si="14"/>
        <v>2.7728320435676559</v>
      </c>
      <c r="AI48" s="252">
        <f t="shared" si="15"/>
        <v>3.0501152479244218</v>
      </c>
      <c r="AJ48" s="252">
        <f t="shared" si="16"/>
        <v>1.9398216838759244</v>
      </c>
      <c r="AK48">
        <f t="shared" si="17"/>
        <v>14.999999999999998</v>
      </c>
      <c r="AL48" s="37">
        <v>15</v>
      </c>
      <c r="AM48" s="73"/>
      <c r="AN48" s="73"/>
      <c r="AO48" s="77"/>
      <c r="AP48" s="77"/>
    </row>
    <row r="49" spans="1:42">
      <c r="A49" s="16" t="s">
        <v>234</v>
      </c>
      <c r="B49" s="6">
        <v>511</v>
      </c>
      <c r="C49" s="6" t="s">
        <v>56</v>
      </c>
      <c r="D49" s="6">
        <v>30</v>
      </c>
      <c r="E49" s="73">
        <v>0</v>
      </c>
      <c r="F49" s="104">
        <v>0.55000000000000004</v>
      </c>
      <c r="G49" s="43">
        <v>8.5150000000000003E-2</v>
      </c>
      <c r="H49" s="244">
        <v>1.7067000000000001</v>
      </c>
      <c r="I49" s="43">
        <v>0.4516</v>
      </c>
      <c r="J49" s="43">
        <v>8.5150000000000003E-2</v>
      </c>
      <c r="K49" s="244">
        <v>1.7067000000000001</v>
      </c>
      <c r="L49" s="231">
        <v>7.9882999999999996E-2</v>
      </c>
      <c r="M49" s="244">
        <v>1.7067000000000001</v>
      </c>
      <c r="N49" s="43">
        <v>0</v>
      </c>
      <c r="O49" s="43">
        <v>0</v>
      </c>
      <c r="P49" s="43">
        <v>0.4516</v>
      </c>
      <c r="Q49" s="244">
        <v>0.35149999999999998</v>
      </c>
      <c r="R49" s="14">
        <f t="shared" si="0"/>
        <v>3.758531078447263</v>
      </c>
      <c r="S49">
        <f>2*PI()*G49/9.81/(H49/1.1)^2</f>
        <v>2.2655127288498427E-2</v>
      </c>
      <c r="T49">
        <f>1/6/S49^0.5</f>
        <v>1.1073005007310857</v>
      </c>
      <c r="U49">
        <f>0.05/G49/T49</f>
        <v>0.53029783703142019</v>
      </c>
      <c r="V49">
        <f>0.05/G49</f>
        <v>0.58719906048150328</v>
      </c>
      <c r="W49">
        <f>0.067*6^0.5*T49*EXP(-4.75*0.05/G49/T49)</f>
        <v>1.4637441027282247E-2</v>
      </c>
      <c r="X49">
        <f>0.2*EXP(-2.6*0.05/G49)</f>
        <v>4.3449520209705425E-2</v>
      </c>
      <c r="Y49">
        <f>IF(W49&lt;X49,I49/1000/(9.91*G49^3)^0.5*(S49*6)^0.5," ")</f>
        <v>2.1286242529018093E-3</v>
      </c>
      <c r="AA49" s="230">
        <f t="shared" si="8"/>
        <v>0.14633376404784657</v>
      </c>
      <c r="AB49" s="252">
        <f t="shared" si="9"/>
        <v>1.6717130112903886</v>
      </c>
      <c r="AC49" s="252">
        <v>1.6717130112903886</v>
      </c>
      <c r="AD49" s="252">
        <f t="shared" si="10"/>
        <v>0.49999999999999994</v>
      </c>
      <c r="AE49" s="252">
        <f t="shared" si="11"/>
        <v>-0.70137167194974648</v>
      </c>
      <c r="AF49" s="252">
        <f t="shared" si="12"/>
        <v>3.758531078447263</v>
      </c>
      <c r="AG49" s="252">
        <f t="shared" si="13"/>
        <v>3.3482585137287817</v>
      </c>
      <c r="AH49" s="252">
        <f t="shared" si="14"/>
        <v>1.8765532235389821</v>
      </c>
      <c r="AI49" s="252">
        <f t="shared" si="15"/>
        <v>2.0642085458928805</v>
      </c>
      <c r="AJ49" s="252">
        <f t="shared" si="16"/>
        <v>1.6537013384206749</v>
      </c>
      <c r="AK49">
        <f t="shared" si="17"/>
        <v>29.999999999999996</v>
      </c>
      <c r="AL49" s="37"/>
      <c r="AM49" s="73"/>
      <c r="AN49" s="73"/>
      <c r="AO49" s="77"/>
      <c r="AP49" s="77"/>
    </row>
    <row r="50" spans="1:42">
      <c r="A50" s="16" t="s">
        <v>234</v>
      </c>
      <c r="B50" s="6">
        <v>512</v>
      </c>
      <c r="C50" s="6" t="s">
        <v>57</v>
      </c>
      <c r="D50" s="6">
        <v>30</v>
      </c>
      <c r="E50" s="73">
        <v>0</v>
      </c>
      <c r="F50" s="104">
        <v>0.55000000000000004</v>
      </c>
      <c r="G50" s="7">
        <v>7.3639999999999997E-2</v>
      </c>
      <c r="H50" s="36">
        <v>1.1636</v>
      </c>
      <c r="I50" s="7">
        <v>3.7699999999999997E-2</v>
      </c>
      <c r="J50" s="7">
        <v>7.3639999999999997E-2</v>
      </c>
      <c r="K50" s="36">
        <v>1.1636</v>
      </c>
      <c r="L50" s="232">
        <v>7.9127000000000003E-2</v>
      </c>
      <c r="M50" s="36">
        <v>1.1636</v>
      </c>
      <c r="N50" s="7">
        <v>0</v>
      </c>
      <c r="O50" s="7">
        <v>0</v>
      </c>
      <c r="P50" s="7">
        <v>3.7699999999999997E-2</v>
      </c>
      <c r="Q50" s="36">
        <v>5.4600000000000003E-2</v>
      </c>
      <c r="R50" s="14">
        <f t="shared" si="0"/>
        <v>1.747073570663084</v>
      </c>
      <c r="S50">
        <f t="shared" ref="S50:S61" si="36">2*PI()*G50/9.81/(H50/1.1)^2</f>
        <v>4.2150485953519799E-2</v>
      </c>
      <c r="T50">
        <f t="shared" ref="T50:T63" si="37">1/6/S50^0.5</f>
        <v>0.81179702725591518</v>
      </c>
      <c r="U50">
        <f t="shared" ref="U50:U60" si="38">0.05/G50/T50</f>
        <v>0.83638987710520452</v>
      </c>
      <c r="V50">
        <f t="shared" ref="V50:V60" si="39">0.05/G50</f>
        <v>0.67897881586094522</v>
      </c>
      <c r="W50">
        <f t="shared" ref="W50:W60" si="40">0.067*6^0.5*T50*EXP(-4.75*0.05/G50/T50)</f>
        <v>2.5073226267278382E-3</v>
      </c>
      <c r="X50">
        <f t="shared" ref="X50:X60" si="41">0.2*EXP(-2.6*0.05/G50)</f>
        <v>3.4225550141694171E-2</v>
      </c>
      <c r="Y50">
        <f t="shared" ref="Y50:Y61" si="42">IF(W50&lt;X50,I50/1000/(9.91*G50^3)^0.5*(S50*6)^0.5," ")</f>
        <v>3.0137746212157595E-4</v>
      </c>
      <c r="AA50" s="230">
        <f t="shared" si="8"/>
        <v>0.31481215744752705</v>
      </c>
      <c r="AB50" s="252">
        <f t="shared" si="9"/>
        <v>3.5964056767196513</v>
      </c>
      <c r="AC50" s="252">
        <v>3.5964056767196513</v>
      </c>
      <c r="AD50" s="252">
        <f t="shared" si="10"/>
        <v>0.49999999999999994</v>
      </c>
      <c r="AE50" s="252">
        <f t="shared" si="11"/>
        <v>-0.16070747622847126</v>
      </c>
      <c r="AF50" s="252">
        <f t="shared" si="12"/>
        <v>1.747073570663084</v>
      </c>
      <c r="AG50" s="252">
        <f t="shared" si="13"/>
        <v>5.7790517519406119</v>
      </c>
      <c r="AH50" s="252">
        <f t="shared" si="14"/>
        <v>1.0872346497104279</v>
      </c>
      <c r="AI50" s="252">
        <f t="shared" si="15"/>
        <v>1.1959581146814708</v>
      </c>
      <c r="AJ50" s="252">
        <f t="shared" si="16"/>
        <v>0.96204130519168141</v>
      </c>
      <c r="AK50">
        <f t="shared" si="17"/>
        <v>29.999999999999996</v>
      </c>
      <c r="AL50" s="37"/>
      <c r="AM50" s="73"/>
      <c r="AN50" s="73"/>
      <c r="AO50" s="77"/>
      <c r="AP50" s="77"/>
    </row>
    <row r="51" spans="1:42">
      <c r="A51" s="16" t="s">
        <v>234</v>
      </c>
      <c r="B51" s="6">
        <v>513</v>
      </c>
      <c r="C51" s="6" t="s">
        <v>58</v>
      </c>
      <c r="D51" s="6">
        <v>30</v>
      </c>
      <c r="E51" s="73">
        <v>0</v>
      </c>
      <c r="F51" s="104">
        <v>0.55000000000000004</v>
      </c>
      <c r="G51" s="7">
        <v>0.10746</v>
      </c>
      <c r="H51" s="36">
        <v>1.9692000000000001</v>
      </c>
      <c r="I51" s="7">
        <v>2.3626999999999998</v>
      </c>
      <c r="J51" s="7">
        <v>0.10746</v>
      </c>
      <c r="K51" s="36">
        <v>1.9692000000000001</v>
      </c>
      <c r="L51" s="232">
        <v>0.11659</v>
      </c>
      <c r="M51" s="36">
        <v>1.9692000000000001</v>
      </c>
      <c r="N51" s="7">
        <v>0</v>
      </c>
      <c r="O51" s="7">
        <v>2.5399999999999999E-2</v>
      </c>
      <c r="P51" s="7">
        <v>2.3626999999999998</v>
      </c>
      <c r="Q51" s="36">
        <v>1.3202</v>
      </c>
      <c r="R51" s="14">
        <f t="shared" si="0"/>
        <v>5.0036096669877761</v>
      </c>
      <c r="S51">
        <f t="shared" si="36"/>
        <v>2.1476495400707785E-2</v>
      </c>
      <c r="T51">
        <f t="shared" si="37"/>
        <v>1.1372790603229337</v>
      </c>
      <c r="U51">
        <f t="shared" si="38"/>
        <v>0.40912510064232421</v>
      </c>
      <c r="V51">
        <f t="shared" si="39"/>
        <v>0.46528941001302815</v>
      </c>
      <c r="W51">
        <f t="shared" si="40"/>
        <v>2.6732144262283156E-2</v>
      </c>
      <c r="X51">
        <f t="shared" si="41"/>
        <v>5.9654220504327463E-2</v>
      </c>
      <c r="Y51">
        <f t="shared" si="42"/>
        <v>7.6481928741409097E-3</v>
      </c>
      <c r="AA51" s="230">
        <f t="shared" si="8"/>
        <v>0.10992064461557123</v>
      </c>
      <c r="AB51" s="252">
        <f t="shared" si="9"/>
        <v>1.2557305076441201</v>
      </c>
      <c r="AC51" s="252">
        <v>1.2557305076441201</v>
      </c>
      <c r="AD51" s="252">
        <f t="shared" si="10"/>
        <v>0.49999999999999994</v>
      </c>
      <c r="AE51" s="252">
        <f t="shared" si="11"/>
        <v>-0.89133814507598697</v>
      </c>
      <c r="AF51" s="252">
        <f t="shared" si="12"/>
        <v>5.0036096669877761</v>
      </c>
      <c r="AG51" s="252">
        <f t="shared" si="13"/>
        <v>2.6184647382764128</v>
      </c>
      <c r="AH51" s="252">
        <f t="shared" si="14"/>
        <v>2.3995684247080797</v>
      </c>
      <c r="AI51" s="252">
        <f t="shared" si="15"/>
        <v>2.6395252671788878</v>
      </c>
      <c r="AJ51" s="252">
        <f t="shared" si="16"/>
        <v>1.8543987630946703</v>
      </c>
      <c r="AK51">
        <f t="shared" si="17"/>
        <v>29.999999999999996</v>
      </c>
    </row>
    <row r="52" spans="1:42">
      <c r="A52" s="16" t="s">
        <v>234</v>
      </c>
      <c r="B52" s="6">
        <v>514</v>
      </c>
      <c r="C52" s="6" t="s">
        <v>59</v>
      </c>
      <c r="D52" s="6">
        <v>30</v>
      </c>
      <c r="E52" s="73">
        <v>0</v>
      </c>
      <c r="F52" s="104">
        <v>0.55000000000000004</v>
      </c>
      <c r="G52" s="7">
        <v>0.10289</v>
      </c>
      <c r="H52" s="36">
        <v>1.4221999999999999</v>
      </c>
      <c r="I52" s="7">
        <v>0.36480000000000001</v>
      </c>
      <c r="J52" s="7">
        <v>0.10289</v>
      </c>
      <c r="K52" s="36">
        <v>1.4221999999999999</v>
      </c>
      <c r="L52" s="232">
        <v>0.10134</v>
      </c>
      <c r="M52" s="36">
        <v>1.3473999999999999</v>
      </c>
      <c r="N52" s="7">
        <v>0</v>
      </c>
      <c r="O52" s="7">
        <v>0</v>
      </c>
      <c r="P52" s="7">
        <v>0.36480000000000001</v>
      </c>
      <c r="Q52" s="36">
        <v>0.46</v>
      </c>
      <c r="R52" s="14">
        <f t="shared" si="0"/>
        <v>2.6099075114843648</v>
      </c>
      <c r="S52">
        <f t="shared" si="36"/>
        <v>3.9422852935306549E-2</v>
      </c>
      <c r="T52">
        <f t="shared" si="37"/>
        <v>0.83941113253130695</v>
      </c>
      <c r="U52">
        <f t="shared" si="38"/>
        <v>0.57892474423241813</v>
      </c>
      <c r="V52">
        <f t="shared" si="39"/>
        <v>0.48595587520653127</v>
      </c>
      <c r="W52">
        <f t="shared" si="40"/>
        <v>8.8076895569123501E-3</v>
      </c>
      <c r="X52">
        <f t="shared" si="41"/>
        <v>5.6533426970778559E-2</v>
      </c>
      <c r="Y52">
        <f t="shared" si="42"/>
        <v>1.7076855428396027E-3</v>
      </c>
      <c r="AA52" s="230">
        <f t="shared" si="8"/>
        <v>0.2107354370144679</v>
      </c>
      <c r="AB52" s="252">
        <f t="shared" si="9"/>
        <v>2.4074360028206798</v>
      </c>
      <c r="AC52" s="252">
        <v>2.4074360028206798</v>
      </c>
      <c r="AD52" s="252">
        <f t="shared" si="10"/>
        <v>0.49999999999999994</v>
      </c>
      <c r="AE52" s="252">
        <f t="shared" si="11"/>
        <v>-0.41956073304776709</v>
      </c>
      <c r="AF52" s="252">
        <f t="shared" si="12"/>
        <v>2.6099075114843644</v>
      </c>
      <c r="AG52" s="252">
        <f t="shared" si="13"/>
        <v>4.4401663362094022</v>
      </c>
      <c r="AH52" s="252">
        <f t="shared" si="14"/>
        <v>1.4150788126878104</v>
      </c>
      <c r="AI52" s="252">
        <f t="shared" si="15"/>
        <v>1.5565866939565915</v>
      </c>
      <c r="AJ52" s="252">
        <f t="shared" si="16"/>
        <v>1.3252644416173223</v>
      </c>
      <c r="AK52">
        <f t="shared" si="17"/>
        <v>29.999999999999996</v>
      </c>
      <c r="AL52" s="37"/>
      <c r="AM52" s="73"/>
      <c r="AN52" s="73"/>
      <c r="AO52" s="77"/>
      <c r="AP52" s="77"/>
    </row>
    <row r="53" spans="1:42">
      <c r="A53" s="16" t="s">
        <v>234</v>
      </c>
      <c r="B53" s="6">
        <v>515</v>
      </c>
      <c r="C53" s="6" t="s">
        <v>60</v>
      </c>
      <c r="D53" s="6">
        <v>30</v>
      </c>
      <c r="E53" s="73">
        <v>0</v>
      </c>
      <c r="F53" s="104">
        <v>0.55000000000000004</v>
      </c>
      <c r="G53" s="7">
        <v>0.12292</v>
      </c>
      <c r="H53" s="36">
        <v>2.1333000000000002</v>
      </c>
      <c r="I53" s="7">
        <v>5.3019999999999996</v>
      </c>
      <c r="J53" s="7">
        <v>0.12292</v>
      </c>
      <c r="K53" s="36">
        <v>2.1333000000000002</v>
      </c>
      <c r="L53" s="232">
        <v>0.14585000000000001</v>
      </c>
      <c r="M53" s="36">
        <v>2.1333000000000002</v>
      </c>
      <c r="N53" s="7">
        <v>0.18029999999999999</v>
      </c>
      <c r="O53" s="7">
        <v>0.20180000000000001</v>
      </c>
      <c r="P53" s="7">
        <v>5.3019999999999996</v>
      </c>
      <c r="Q53" s="36">
        <v>3.8738999999999999</v>
      </c>
      <c r="R53" s="14">
        <f t="shared" si="0"/>
        <v>5.872291900839822</v>
      </c>
      <c r="S53">
        <f t="shared" si="36"/>
        <v>2.093220195379264E-2</v>
      </c>
      <c r="T53">
        <f t="shared" si="37"/>
        <v>1.151970324531896</v>
      </c>
      <c r="U53">
        <f t="shared" si="38"/>
        <v>0.35310686511698547</v>
      </c>
      <c r="V53">
        <f t="shared" si="39"/>
        <v>0.40676863000325414</v>
      </c>
      <c r="W53">
        <f t="shared" si="40"/>
        <v>3.5331981549753894E-2</v>
      </c>
      <c r="X53">
        <f t="shared" si="41"/>
        <v>6.9457769065622219E-2</v>
      </c>
      <c r="Y53">
        <f t="shared" si="42"/>
        <v>1.3850075857230229E-2</v>
      </c>
      <c r="AA53" s="230">
        <f t="shared" si="8"/>
        <v>9.3660194228652391E-2</v>
      </c>
      <c r="AB53" s="252">
        <f t="shared" si="9"/>
        <v>1.0699715568091908</v>
      </c>
      <c r="AC53" s="252">
        <v>1.0699715568091908</v>
      </c>
      <c r="AD53" s="252">
        <f t="shared" si="10"/>
        <v>0.49999999999999994</v>
      </c>
      <c r="AE53" s="252">
        <f t="shared" si="11"/>
        <v>-0.97383683690377376</v>
      </c>
      <c r="AF53" s="252">
        <f t="shared" si="12"/>
        <v>5.872291900839822</v>
      </c>
      <c r="AG53" s="252">
        <f t="shared" si="13"/>
        <v>2.2659812092676717</v>
      </c>
      <c r="AH53" s="252">
        <f t="shared" si="14"/>
        <v>2.7728320435676559</v>
      </c>
      <c r="AI53" s="252">
        <f t="shared" si="15"/>
        <v>3.0501152479244218</v>
      </c>
      <c r="AJ53" s="252">
        <f t="shared" si="16"/>
        <v>1.9398216838759244</v>
      </c>
      <c r="AK53">
        <f t="shared" si="17"/>
        <v>29.999999999999996</v>
      </c>
      <c r="AL53" s="37"/>
      <c r="AM53" s="73"/>
      <c r="AN53" s="73"/>
      <c r="AO53" s="77"/>
      <c r="AP53" s="77"/>
    </row>
    <row r="54" spans="1:42" ht="13.5" thickBot="1">
      <c r="A54" s="115" t="s">
        <v>234</v>
      </c>
      <c r="B54" s="116">
        <v>516</v>
      </c>
      <c r="C54" s="116" t="s">
        <v>61</v>
      </c>
      <c r="D54" s="6">
        <v>30</v>
      </c>
      <c r="E54" s="118">
        <v>0</v>
      </c>
      <c r="F54" s="120">
        <v>0.55000000000000004</v>
      </c>
      <c r="G54" s="228">
        <v>0.13527</v>
      </c>
      <c r="H54" s="228">
        <v>1.5059</v>
      </c>
      <c r="I54" s="228">
        <v>1.43</v>
      </c>
      <c r="J54" s="228">
        <v>0.13527</v>
      </c>
      <c r="K54" s="228">
        <v>1.5059</v>
      </c>
      <c r="L54" s="233">
        <v>0.126</v>
      </c>
      <c r="M54" s="228">
        <v>1.5059</v>
      </c>
      <c r="N54" s="228">
        <v>0</v>
      </c>
      <c r="O54" s="228">
        <v>0</v>
      </c>
      <c r="P54" s="228">
        <v>1.43</v>
      </c>
      <c r="Q54" s="228">
        <v>1.3974</v>
      </c>
      <c r="R54" s="14">
        <f t="shared" si="0"/>
        <v>2.9261462954134876</v>
      </c>
      <c r="S54">
        <f t="shared" si="36"/>
        <v>4.6228037269368756E-2</v>
      </c>
      <c r="T54">
        <f t="shared" si="37"/>
        <v>0.77516833218289904</v>
      </c>
      <c r="U54">
        <f t="shared" si="38"/>
        <v>0.47683979441364577</v>
      </c>
      <c r="V54">
        <f t="shared" si="39"/>
        <v>0.36963110815406225</v>
      </c>
      <c r="W54">
        <f t="shared" si="40"/>
        <v>1.3209130039298076E-2</v>
      </c>
      <c r="X54">
        <f t="shared" si="41"/>
        <v>7.6498909463169409E-2</v>
      </c>
      <c r="Y54">
        <f t="shared" si="42"/>
        <v>4.8086739147382897E-3</v>
      </c>
      <c r="AA54" s="230">
        <f t="shared" si="8"/>
        <v>0.18796052708030467</v>
      </c>
      <c r="AB54" s="252">
        <f t="shared" si="9"/>
        <v>2.1472560401467291</v>
      </c>
      <c r="AC54" s="252">
        <v>2.1472560401467291</v>
      </c>
      <c r="AD54" s="252">
        <f t="shared" si="10"/>
        <v>0.49999999999999994</v>
      </c>
      <c r="AE54" s="252">
        <f t="shared" si="11"/>
        <v>-0.50814880929090833</v>
      </c>
      <c r="AF54" s="252">
        <f t="shared" si="12"/>
        <v>2.9261462954134876</v>
      </c>
      <c r="AG54" s="252">
        <f t="shared" si="13"/>
        <v>4.081467923491843</v>
      </c>
      <c r="AH54" s="252">
        <f t="shared" si="14"/>
        <v>1.539442530226746</v>
      </c>
      <c r="AI54" s="252">
        <f t="shared" si="15"/>
        <v>1.6933867832494207</v>
      </c>
      <c r="AJ54" s="252">
        <f t="shared" si="16"/>
        <v>1.4337183674081881</v>
      </c>
      <c r="AK54">
        <f t="shared" si="17"/>
        <v>29.999999999999996</v>
      </c>
      <c r="AL54" s="37"/>
      <c r="AM54" s="73"/>
      <c r="AN54" s="73"/>
      <c r="AO54" s="77"/>
      <c r="AP54" s="77"/>
    </row>
    <row r="55" spans="1:42">
      <c r="A55" s="16" t="s">
        <v>234</v>
      </c>
      <c r="B55" s="6">
        <v>511</v>
      </c>
      <c r="C55" s="6" t="s">
        <v>56</v>
      </c>
      <c r="D55" s="6">
        <v>30</v>
      </c>
      <c r="E55" s="73">
        <v>0</v>
      </c>
      <c r="F55" s="104">
        <v>0.55000000000000004</v>
      </c>
      <c r="G55" s="43">
        <v>8.5150000000000003E-2</v>
      </c>
      <c r="H55" s="244">
        <v>1.7067000000000001</v>
      </c>
      <c r="I55" s="244">
        <v>0.35149999999999998</v>
      </c>
      <c r="J55" s="37"/>
      <c r="K55" s="37"/>
      <c r="L55" s="37"/>
      <c r="M55" s="37"/>
      <c r="N55" s="37"/>
      <c r="O55" s="37"/>
      <c r="P55" s="37"/>
      <c r="Q55" s="37"/>
      <c r="R55" s="14">
        <f t="shared" si="0"/>
        <v>3.758531078447263</v>
      </c>
      <c r="S55">
        <f t="shared" si="36"/>
        <v>2.2655127288498427E-2</v>
      </c>
      <c r="T55">
        <f t="shared" si="37"/>
        <v>1.1073005007310857</v>
      </c>
      <c r="U55">
        <f t="shared" si="38"/>
        <v>0.53029783703142019</v>
      </c>
      <c r="V55">
        <f t="shared" si="39"/>
        <v>0.58719906048150328</v>
      </c>
      <c r="W55">
        <f t="shared" si="40"/>
        <v>1.4637441027282247E-2</v>
      </c>
      <c r="X55">
        <f t="shared" si="41"/>
        <v>4.3449520209705425E-2</v>
      </c>
      <c r="Y55">
        <f t="shared" si="42"/>
        <v>1.656801206587657E-3</v>
      </c>
      <c r="AA55" s="230">
        <f t="shared" si="8"/>
        <v>0.14633376404784657</v>
      </c>
      <c r="AB55" s="252">
        <f t="shared" si="9"/>
        <v>1.6717130112903886</v>
      </c>
      <c r="AC55" s="252">
        <v>1.6717130112903886</v>
      </c>
      <c r="AD55" s="252">
        <f t="shared" si="10"/>
        <v>0.49999999999999994</v>
      </c>
      <c r="AE55" s="252">
        <f t="shared" si="11"/>
        <v>-0.70137167194974648</v>
      </c>
      <c r="AF55" s="252">
        <f t="shared" si="12"/>
        <v>3.758531078447263</v>
      </c>
      <c r="AG55" s="252">
        <f t="shared" si="13"/>
        <v>3.3482585137287817</v>
      </c>
      <c r="AH55" s="252">
        <f t="shared" si="14"/>
        <v>1.8765532235389821</v>
      </c>
      <c r="AI55" s="252">
        <f t="shared" si="15"/>
        <v>2.0642085458928805</v>
      </c>
      <c r="AJ55" s="252">
        <f t="shared" si="16"/>
        <v>1.6537013384206749</v>
      </c>
      <c r="AK55">
        <f t="shared" si="17"/>
        <v>29.999999999999996</v>
      </c>
      <c r="AL55" s="37"/>
      <c r="AM55" s="73"/>
      <c r="AN55" s="73"/>
      <c r="AO55" s="77"/>
      <c r="AP55" s="77"/>
    </row>
    <row r="56" spans="1:42">
      <c r="A56" s="16" t="s">
        <v>234</v>
      </c>
      <c r="B56" s="6">
        <v>512</v>
      </c>
      <c r="C56" s="6" t="s">
        <v>57</v>
      </c>
      <c r="D56" s="6">
        <v>30</v>
      </c>
      <c r="E56" s="73">
        <v>0</v>
      </c>
      <c r="F56" s="104">
        <v>0.55000000000000004</v>
      </c>
      <c r="G56" s="7">
        <v>7.3639999999999997E-2</v>
      </c>
      <c r="H56" s="36">
        <v>1.1636</v>
      </c>
      <c r="I56" s="36">
        <v>5.4600000000000003E-2</v>
      </c>
      <c r="J56" s="37"/>
      <c r="K56" s="37"/>
      <c r="L56" s="37"/>
      <c r="M56" s="37"/>
      <c r="N56" s="37"/>
      <c r="O56" s="37"/>
      <c r="P56" s="37"/>
      <c r="Q56" s="37"/>
      <c r="R56" s="14">
        <f t="shared" si="0"/>
        <v>1.747073570663084</v>
      </c>
      <c r="S56">
        <f t="shared" si="36"/>
        <v>4.2150485953519799E-2</v>
      </c>
      <c r="T56">
        <f t="shared" si="37"/>
        <v>0.81179702725591518</v>
      </c>
      <c r="U56">
        <f t="shared" si="38"/>
        <v>0.83638987710520452</v>
      </c>
      <c r="V56">
        <f t="shared" si="39"/>
        <v>0.67897881586094522</v>
      </c>
      <c r="W56">
        <f t="shared" si="40"/>
        <v>2.5073226267278382E-3</v>
      </c>
      <c r="X56">
        <f t="shared" si="41"/>
        <v>3.4225550141694171E-2</v>
      </c>
      <c r="Y56">
        <f t="shared" si="42"/>
        <v>4.3647770376228256E-4</v>
      </c>
      <c r="AA56" s="230">
        <f t="shared" si="8"/>
        <v>0.31481215744752705</v>
      </c>
      <c r="AB56" s="252">
        <f t="shared" si="9"/>
        <v>3.5964056767196513</v>
      </c>
      <c r="AC56" s="252">
        <v>3.5964056767196513</v>
      </c>
      <c r="AD56" s="252">
        <f t="shared" si="10"/>
        <v>0.49999999999999994</v>
      </c>
      <c r="AE56" s="252">
        <f t="shared" si="11"/>
        <v>-0.16070747622847126</v>
      </c>
      <c r="AF56" s="252">
        <f t="shared" si="12"/>
        <v>1.747073570663084</v>
      </c>
      <c r="AG56" s="252">
        <f t="shared" si="13"/>
        <v>5.7790517519406119</v>
      </c>
      <c r="AH56" s="252">
        <f t="shared" si="14"/>
        <v>1.0872346497104279</v>
      </c>
      <c r="AI56" s="252">
        <f t="shared" si="15"/>
        <v>1.1959581146814708</v>
      </c>
      <c r="AJ56" s="252">
        <f t="shared" si="16"/>
        <v>0.96204130519168141</v>
      </c>
      <c r="AK56">
        <f t="shared" si="17"/>
        <v>29.999999999999996</v>
      </c>
      <c r="AL56" s="37"/>
      <c r="AM56" s="73"/>
      <c r="AN56" s="73"/>
      <c r="AO56" s="77"/>
      <c r="AP56" s="77"/>
    </row>
    <row r="57" spans="1:42">
      <c r="A57" s="16" t="s">
        <v>234</v>
      </c>
      <c r="B57" s="6">
        <v>513</v>
      </c>
      <c r="C57" s="6" t="s">
        <v>58</v>
      </c>
      <c r="D57" s="6">
        <v>30</v>
      </c>
      <c r="E57" s="73">
        <v>0</v>
      </c>
      <c r="F57" s="104">
        <v>0.55000000000000004</v>
      </c>
      <c r="G57" s="7">
        <v>0.10746</v>
      </c>
      <c r="H57" s="36">
        <v>1.9692000000000001</v>
      </c>
      <c r="I57" s="36">
        <v>1.3202</v>
      </c>
      <c r="J57" s="37"/>
      <c r="K57" s="37"/>
      <c r="L57" s="37"/>
      <c r="M57" s="37"/>
      <c r="N57" s="37"/>
      <c r="O57" s="37"/>
      <c r="P57" s="37"/>
      <c r="Q57" s="37"/>
      <c r="R57" s="14">
        <f t="shared" si="0"/>
        <v>5.0036096669877761</v>
      </c>
      <c r="S57">
        <f t="shared" si="36"/>
        <v>2.1476495400707785E-2</v>
      </c>
      <c r="T57">
        <f t="shared" si="37"/>
        <v>1.1372790603229337</v>
      </c>
      <c r="U57">
        <f t="shared" si="38"/>
        <v>0.40912510064232421</v>
      </c>
      <c r="V57">
        <f t="shared" si="39"/>
        <v>0.46528941001302815</v>
      </c>
      <c r="W57">
        <f t="shared" si="40"/>
        <v>2.6732144262283156E-2</v>
      </c>
      <c r="X57">
        <f t="shared" si="41"/>
        <v>5.9654220504327463E-2</v>
      </c>
      <c r="Y57">
        <f t="shared" si="42"/>
        <v>4.2735617016298431E-3</v>
      </c>
      <c r="AA57" s="230">
        <f t="shared" si="8"/>
        <v>0.10992064461557123</v>
      </c>
      <c r="AB57" s="252">
        <f t="shared" si="9"/>
        <v>1.2557305076441201</v>
      </c>
      <c r="AC57" s="252">
        <v>1.2557305076441201</v>
      </c>
      <c r="AD57" s="252">
        <f t="shared" si="10"/>
        <v>0.49999999999999994</v>
      </c>
      <c r="AE57" s="252">
        <f t="shared" si="11"/>
        <v>-0.89133814507598697</v>
      </c>
      <c r="AF57" s="252">
        <f t="shared" si="12"/>
        <v>5.0036096669877761</v>
      </c>
      <c r="AG57" s="252">
        <f t="shared" si="13"/>
        <v>2.6184647382764128</v>
      </c>
      <c r="AH57" s="252">
        <f t="shared" si="14"/>
        <v>2.3995684247080797</v>
      </c>
      <c r="AI57" s="252">
        <f t="shared" si="15"/>
        <v>2.6395252671788878</v>
      </c>
      <c r="AJ57" s="252">
        <f t="shared" si="16"/>
        <v>1.8543987630946703</v>
      </c>
      <c r="AK57">
        <f t="shared" si="17"/>
        <v>29.999999999999996</v>
      </c>
      <c r="AL57" s="77"/>
      <c r="AM57" s="73"/>
      <c r="AN57" s="73"/>
      <c r="AO57" s="77"/>
      <c r="AP57" s="77"/>
    </row>
    <row r="58" spans="1:42">
      <c r="A58" s="16" t="s">
        <v>234</v>
      </c>
      <c r="B58" s="6">
        <v>514</v>
      </c>
      <c r="C58" s="6" t="s">
        <v>59</v>
      </c>
      <c r="D58" s="6">
        <v>30</v>
      </c>
      <c r="E58" s="73">
        <v>0</v>
      </c>
      <c r="F58" s="104">
        <v>0.55000000000000004</v>
      </c>
      <c r="G58" s="7">
        <v>0.10289</v>
      </c>
      <c r="H58" s="36">
        <v>1.4221999999999999</v>
      </c>
      <c r="I58" s="36">
        <v>0.46</v>
      </c>
      <c r="J58" s="37"/>
      <c r="K58" s="37"/>
      <c r="L58" s="37"/>
      <c r="M58" s="37"/>
      <c r="N58" s="37"/>
      <c r="O58" s="37"/>
      <c r="P58" s="37"/>
      <c r="Q58" s="37"/>
      <c r="R58" s="14">
        <f t="shared" si="0"/>
        <v>2.6099075114843648</v>
      </c>
      <c r="S58">
        <f t="shared" si="36"/>
        <v>3.9422852935306549E-2</v>
      </c>
      <c r="T58">
        <f t="shared" si="37"/>
        <v>0.83941113253130695</v>
      </c>
      <c r="U58">
        <f t="shared" si="38"/>
        <v>0.57892474423241813</v>
      </c>
      <c r="V58">
        <f t="shared" si="39"/>
        <v>0.48595587520653127</v>
      </c>
      <c r="W58">
        <f t="shared" si="40"/>
        <v>8.8076895569123501E-3</v>
      </c>
      <c r="X58">
        <f t="shared" si="41"/>
        <v>5.6533426970778559E-2</v>
      </c>
      <c r="Y58">
        <f t="shared" si="42"/>
        <v>2.1533315507297622E-3</v>
      </c>
      <c r="AA58" s="230">
        <f t="shared" si="8"/>
        <v>0.2107354370144679</v>
      </c>
      <c r="AB58" s="252">
        <f t="shared" si="9"/>
        <v>2.4074360028206798</v>
      </c>
      <c r="AC58" s="252">
        <v>2.4074360028206798</v>
      </c>
      <c r="AD58" s="252">
        <f t="shared" si="10"/>
        <v>0.49999999999999994</v>
      </c>
      <c r="AE58" s="252">
        <f t="shared" si="11"/>
        <v>-0.41956073304776709</v>
      </c>
      <c r="AF58" s="252">
        <f t="shared" si="12"/>
        <v>2.6099075114843644</v>
      </c>
      <c r="AG58" s="252">
        <f t="shared" si="13"/>
        <v>4.4401663362094022</v>
      </c>
      <c r="AH58" s="252">
        <f t="shared" si="14"/>
        <v>1.4150788126878104</v>
      </c>
      <c r="AI58" s="252">
        <f t="shared" si="15"/>
        <v>1.5565866939565915</v>
      </c>
      <c r="AJ58" s="252">
        <f t="shared" si="16"/>
        <v>1.3252644416173223</v>
      </c>
      <c r="AK58">
        <f t="shared" si="17"/>
        <v>29.999999999999996</v>
      </c>
      <c r="AL58" s="77"/>
      <c r="AM58" s="73"/>
      <c r="AN58" s="73"/>
      <c r="AO58" s="77"/>
      <c r="AP58" s="77"/>
    </row>
    <row r="59" spans="1:42">
      <c r="A59" s="16" t="s">
        <v>234</v>
      </c>
      <c r="B59" s="6">
        <v>515</v>
      </c>
      <c r="C59" s="6" t="s">
        <v>60</v>
      </c>
      <c r="D59" s="6">
        <v>30</v>
      </c>
      <c r="E59" s="73">
        <v>0</v>
      </c>
      <c r="F59" s="104">
        <v>0.55000000000000004</v>
      </c>
      <c r="G59" s="7">
        <v>0.12292</v>
      </c>
      <c r="H59" s="36">
        <v>2.1333000000000002</v>
      </c>
      <c r="I59" s="36">
        <v>3.8738999999999999</v>
      </c>
      <c r="J59" s="37"/>
      <c r="K59" s="37"/>
      <c r="L59" s="37"/>
      <c r="M59" s="37"/>
      <c r="N59" s="37"/>
      <c r="O59" s="37"/>
      <c r="P59" s="37"/>
      <c r="Q59" s="37"/>
      <c r="R59" s="14">
        <f t="shared" si="0"/>
        <v>5.872291900839822</v>
      </c>
      <c r="S59">
        <f t="shared" si="36"/>
        <v>2.093220195379264E-2</v>
      </c>
      <c r="T59">
        <f t="shared" si="37"/>
        <v>1.151970324531896</v>
      </c>
      <c r="U59">
        <f t="shared" si="38"/>
        <v>0.35310686511698547</v>
      </c>
      <c r="V59">
        <f t="shared" si="39"/>
        <v>0.40676863000325414</v>
      </c>
      <c r="W59">
        <f t="shared" si="40"/>
        <v>3.5331981549753894E-2</v>
      </c>
      <c r="X59">
        <f t="shared" si="41"/>
        <v>6.9457769065622219E-2</v>
      </c>
      <c r="Y59">
        <f t="shared" si="42"/>
        <v>1.0119541467997773E-2</v>
      </c>
      <c r="AA59" s="230">
        <f t="shared" si="8"/>
        <v>9.3660194228652391E-2</v>
      </c>
      <c r="AB59" s="252">
        <f t="shared" si="9"/>
        <v>1.0699715568091908</v>
      </c>
      <c r="AC59" s="252">
        <v>1.0699715568091908</v>
      </c>
      <c r="AD59" s="252">
        <f t="shared" si="10"/>
        <v>0.49999999999999994</v>
      </c>
      <c r="AE59" s="252">
        <f t="shared" si="11"/>
        <v>-0.97383683690377376</v>
      </c>
      <c r="AF59" s="252">
        <f t="shared" si="12"/>
        <v>5.872291900839822</v>
      </c>
      <c r="AG59" s="252">
        <f t="shared" si="13"/>
        <v>2.2659812092676717</v>
      </c>
      <c r="AH59" s="252">
        <f t="shared" si="14"/>
        <v>2.7728320435676559</v>
      </c>
      <c r="AI59" s="252">
        <f t="shared" si="15"/>
        <v>3.0501152479244218</v>
      </c>
      <c r="AJ59" s="252">
        <f t="shared" si="16"/>
        <v>1.9398216838759244</v>
      </c>
      <c r="AK59">
        <f t="shared" si="17"/>
        <v>29.999999999999996</v>
      </c>
      <c r="AL59" s="77"/>
      <c r="AM59" s="73"/>
      <c r="AN59" s="73"/>
      <c r="AO59" s="77"/>
      <c r="AP59" s="77"/>
    </row>
    <row r="60" spans="1:42" ht="13.5" thickBot="1">
      <c r="A60" s="115" t="s">
        <v>234</v>
      </c>
      <c r="B60" s="116">
        <v>516</v>
      </c>
      <c r="C60" s="116" t="s">
        <v>61</v>
      </c>
      <c r="D60" s="6">
        <v>30</v>
      </c>
      <c r="E60" s="118">
        <v>0</v>
      </c>
      <c r="F60" s="120">
        <v>0.55000000000000004</v>
      </c>
      <c r="G60" s="228">
        <v>0.13527</v>
      </c>
      <c r="H60" s="228">
        <v>1.5059</v>
      </c>
      <c r="I60" s="228">
        <v>1.3974</v>
      </c>
      <c r="J60" s="77"/>
      <c r="K60" s="77"/>
      <c r="L60" s="77"/>
      <c r="M60" s="77"/>
      <c r="N60" s="77"/>
      <c r="O60" s="77"/>
      <c r="P60" s="77"/>
      <c r="Q60" s="77"/>
      <c r="R60" s="14">
        <f t="shared" si="0"/>
        <v>2.9261462954134876</v>
      </c>
      <c r="S60">
        <f t="shared" si="36"/>
        <v>4.6228037269368756E-2</v>
      </c>
      <c r="T60">
        <f t="shared" si="37"/>
        <v>0.77516833218289904</v>
      </c>
      <c r="U60">
        <f t="shared" si="38"/>
        <v>0.47683979441364577</v>
      </c>
      <c r="V60">
        <f t="shared" si="39"/>
        <v>0.36963110815406225</v>
      </c>
      <c r="W60">
        <f t="shared" si="40"/>
        <v>1.3209130039298076E-2</v>
      </c>
      <c r="X60">
        <f t="shared" si="41"/>
        <v>7.6498909463169409E-2</v>
      </c>
      <c r="Y60">
        <f t="shared" si="42"/>
        <v>4.6990496003183812E-3</v>
      </c>
      <c r="AA60" s="230">
        <f t="shared" si="8"/>
        <v>0.18796052708030467</v>
      </c>
      <c r="AB60" s="252">
        <f t="shared" si="9"/>
        <v>2.1472560401467291</v>
      </c>
      <c r="AC60" s="252">
        <v>2.1472560401467291</v>
      </c>
      <c r="AD60" s="252">
        <f t="shared" si="10"/>
        <v>0.49999999999999994</v>
      </c>
      <c r="AE60" s="252">
        <f t="shared" si="11"/>
        <v>-0.50814880929090833</v>
      </c>
      <c r="AF60" s="252">
        <f t="shared" si="12"/>
        <v>2.9261462954134876</v>
      </c>
      <c r="AG60" s="252">
        <f t="shared" si="13"/>
        <v>4.081467923491843</v>
      </c>
      <c r="AH60" s="252">
        <f t="shared" si="14"/>
        <v>1.539442530226746</v>
      </c>
      <c r="AI60" s="252">
        <f t="shared" si="15"/>
        <v>1.6933867832494207</v>
      </c>
      <c r="AJ60" s="252">
        <f t="shared" si="16"/>
        <v>1.4337183674081881</v>
      </c>
      <c r="AK60">
        <f t="shared" si="17"/>
        <v>29.999999999999996</v>
      </c>
      <c r="AL60" s="77"/>
      <c r="AM60" s="73"/>
      <c r="AN60" s="73"/>
      <c r="AO60" s="77"/>
      <c r="AP60" s="77"/>
    </row>
    <row r="61" spans="1:42">
      <c r="A61" s="16" t="s">
        <v>234</v>
      </c>
      <c r="B61" s="6">
        <v>513</v>
      </c>
      <c r="C61" s="6" t="s">
        <v>58</v>
      </c>
      <c r="D61" s="6">
        <v>30</v>
      </c>
      <c r="E61" s="73">
        <v>0</v>
      </c>
      <c r="F61" s="104">
        <v>0.55000000000000004</v>
      </c>
      <c r="G61" s="79">
        <v>0.11659</v>
      </c>
      <c r="H61" s="73">
        <v>1.9692000000000001</v>
      </c>
      <c r="I61" s="77">
        <v>2.5399999999999999E-2</v>
      </c>
      <c r="J61" s="77"/>
      <c r="K61" s="77"/>
      <c r="L61" s="77"/>
      <c r="M61" s="77"/>
      <c r="N61" s="77"/>
      <c r="O61" s="77"/>
      <c r="P61" s="77"/>
      <c r="Q61" s="77"/>
      <c r="R61" s="14">
        <f t="shared" si="0"/>
        <v>5.0036096669877761</v>
      </c>
      <c r="S61">
        <f t="shared" si="36"/>
        <v>2.3301178101326269E-2</v>
      </c>
      <c r="T61">
        <f t="shared" si="37"/>
        <v>1.0918420341335444</v>
      </c>
      <c r="U61">
        <f>0.15/G61/T61</f>
        <v>1.1783387147923869</v>
      </c>
      <c r="V61">
        <f>0.15/G61</f>
        <v>1.2865597392572261</v>
      </c>
      <c r="W61">
        <f>0.067*6^0.5*T61*EXP(-4.75*0.15/G61/T61)</f>
        <v>6.6453327171131168E-4</v>
      </c>
      <c r="X61">
        <f>0.2*EXP(-2.6*0.15/G61)</f>
        <v>7.0516529087044366E-3</v>
      </c>
      <c r="Y61">
        <f t="shared" si="42"/>
        <v>7.5782599922458391E-5</v>
      </c>
      <c r="AA61" s="230">
        <f t="shared" si="8"/>
        <v>0.10992064461557123</v>
      </c>
      <c r="AB61" s="252">
        <f t="shared" si="9"/>
        <v>1.2557305076441201</v>
      </c>
      <c r="AC61" s="252">
        <v>1.2557305076441201</v>
      </c>
      <c r="AD61" s="252">
        <f t="shared" si="10"/>
        <v>0.49999999999999994</v>
      </c>
      <c r="AE61" s="252">
        <f t="shared" si="11"/>
        <v>-0.89133814507598697</v>
      </c>
      <c r="AF61" s="252">
        <f t="shared" si="12"/>
        <v>5.0036096669877761</v>
      </c>
      <c r="AG61" s="252">
        <f t="shared" si="13"/>
        <v>2.6184647382764128</v>
      </c>
      <c r="AH61" s="252">
        <f t="shared" si="14"/>
        <v>2.3995684247080797</v>
      </c>
      <c r="AI61" s="252">
        <f t="shared" si="15"/>
        <v>2.6395252671788878</v>
      </c>
      <c r="AJ61" s="252">
        <f t="shared" si="16"/>
        <v>1.8543987630946703</v>
      </c>
      <c r="AK61">
        <f t="shared" si="17"/>
        <v>29.999999999999996</v>
      </c>
      <c r="AL61" s="77"/>
      <c r="AM61" s="73"/>
      <c r="AN61" s="73"/>
      <c r="AO61" s="77"/>
      <c r="AP61" s="77"/>
    </row>
    <row r="62" spans="1:42">
      <c r="A62" s="16" t="s">
        <v>234</v>
      </c>
      <c r="B62" s="6">
        <v>515</v>
      </c>
      <c r="C62" s="6" t="s">
        <v>60</v>
      </c>
      <c r="D62" s="6">
        <v>30</v>
      </c>
      <c r="E62" s="73">
        <v>0</v>
      </c>
      <c r="F62" s="104">
        <v>0.55000000000000004</v>
      </c>
      <c r="G62" s="79">
        <v>0.14585000000000001</v>
      </c>
      <c r="H62" s="73">
        <v>2.1333000000000002</v>
      </c>
      <c r="I62" s="77">
        <v>0.18029999999999999</v>
      </c>
      <c r="J62" s="77"/>
      <c r="K62" s="77"/>
      <c r="L62" s="77"/>
      <c r="M62" s="77"/>
      <c r="N62" s="77"/>
      <c r="O62" s="77"/>
      <c r="P62" s="77"/>
      <c r="Q62" s="77"/>
      <c r="R62" s="14">
        <f t="shared" si="0"/>
        <v>5.872291900839822</v>
      </c>
      <c r="S62">
        <f>2*PI()*G62/9.81/(H62/1.1)^2</f>
        <v>2.4836980596816275E-2</v>
      </c>
      <c r="T62">
        <f t="shared" si="37"/>
        <v>1.0575462037373295</v>
      </c>
      <c r="U62">
        <f>0.15/G62/T62</f>
        <v>0.97249074068761154</v>
      </c>
      <c r="V62">
        <f>0.15/G62</f>
        <v>1.0284538909838874</v>
      </c>
      <c r="W62">
        <f>0.067*6^0.5*T62*EXP(-4.75*0.15/G62/T62)</f>
        <v>1.711196200137474E-3</v>
      </c>
      <c r="X62">
        <f>0.2*EXP(-2.6*0.15/G62)</f>
        <v>1.3795428235460455E-2</v>
      </c>
      <c r="Y62">
        <f>IF(W62&lt;X62,I62/1000/(9.91*G62^3)^0.5*(S62*6)^0.5," ")</f>
        <v>3.9693945905115642E-4</v>
      </c>
      <c r="AA62" s="230">
        <f t="shared" si="8"/>
        <v>9.3660194228652391E-2</v>
      </c>
      <c r="AB62" s="252">
        <f t="shared" si="9"/>
        <v>1.0699715568091908</v>
      </c>
      <c r="AC62" s="252">
        <v>1.0699715568091908</v>
      </c>
      <c r="AD62" s="252">
        <f t="shared" si="10"/>
        <v>0.49999999999999994</v>
      </c>
      <c r="AE62" s="252">
        <f t="shared" si="11"/>
        <v>-0.97383683690377376</v>
      </c>
      <c r="AF62" s="252">
        <f t="shared" si="12"/>
        <v>5.872291900839822</v>
      </c>
      <c r="AG62" s="252">
        <f t="shared" si="13"/>
        <v>2.2659812092676717</v>
      </c>
      <c r="AH62" s="252">
        <f t="shared" si="14"/>
        <v>2.7728320435676559</v>
      </c>
      <c r="AI62" s="252">
        <f t="shared" si="15"/>
        <v>3.0501152479244218</v>
      </c>
      <c r="AJ62" s="252">
        <f t="shared" si="16"/>
        <v>1.9398216838759244</v>
      </c>
      <c r="AK62">
        <f t="shared" si="17"/>
        <v>29.999999999999996</v>
      </c>
      <c r="AL62" s="77"/>
      <c r="AM62" s="73"/>
      <c r="AN62" s="73"/>
      <c r="AO62" s="77"/>
      <c r="AP62" s="77"/>
    </row>
    <row r="63" spans="1:42" ht="13.5" thickBot="1">
      <c r="A63" s="115" t="s">
        <v>234</v>
      </c>
      <c r="B63" s="116">
        <v>515</v>
      </c>
      <c r="C63" s="116" t="s">
        <v>60</v>
      </c>
      <c r="D63" s="6">
        <v>30</v>
      </c>
      <c r="E63" s="118">
        <v>0</v>
      </c>
      <c r="F63" s="120">
        <v>0.55000000000000004</v>
      </c>
      <c r="G63" s="122">
        <v>0.14585000000000001</v>
      </c>
      <c r="H63" s="118">
        <v>2.1333000000000002</v>
      </c>
      <c r="I63" s="126">
        <v>0.20180000000000001</v>
      </c>
      <c r="J63" s="77"/>
      <c r="K63" s="77"/>
      <c r="L63" s="77"/>
      <c r="M63" s="77"/>
      <c r="N63" s="77"/>
      <c r="O63" s="77"/>
      <c r="P63" s="77"/>
      <c r="Q63" s="77"/>
      <c r="R63" s="14">
        <f t="shared" si="0"/>
        <v>5.872291900839822</v>
      </c>
      <c r="S63">
        <f>2*PI()*G63/9.81/(H63/1.1)^2</f>
        <v>2.4836980596816275E-2</v>
      </c>
      <c r="T63">
        <f t="shared" si="37"/>
        <v>1.0575462037373295</v>
      </c>
      <c r="U63">
        <f>0.15/G63/T63</f>
        <v>0.97249074068761154</v>
      </c>
      <c r="V63">
        <f>0.15/G63</f>
        <v>1.0284538909838874</v>
      </c>
      <c r="W63">
        <f>0.067*6^0.5*T63*EXP(-4.75*0.15/G63/T63)</f>
        <v>1.711196200137474E-3</v>
      </c>
      <c r="X63">
        <f>0.2*EXP(-2.6*0.15/G63)</f>
        <v>1.3795428235460455E-2</v>
      </c>
      <c r="Y63">
        <f>IF(W63&lt;X63,I63/1000/(9.91*G63^3)^0.5*(S63*6)^0.5," ")</f>
        <v>4.4427278334178245E-4</v>
      </c>
      <c r="AA63" s="230">
        <f t="shared" si="8"/>
        <v>9.3660194228652391E-2</v>
      </c>
      <c r="AB63" s="252">
        <f t="shared" si="9"/>
        <v>1.0699715568091908</v>
      </c>
      <c r="AC63" s="252">
        <v>1.0699715568091908</v>
      </c>
      <c r="AD63" s="252">
        <f t="shared" si="10"/>
        <v>0.49999999999999994</v>
      </c>
      <c r="AE63" s="252">
        <f t="shared" si="11"/>
        <v>-0.97383683690377376</v>
      </c>
      <c r="AF63" s="252">
        <f t="shared" si="12"/>
        <v>5.872291900839822</v>
      </c>
      <c r="AG63" s="252">
        <f t="shared" si="13"/>
        <v>2.2659812092676717</v>
      </c>
      <c r="AH63" s="252">
        <f t="shared" si="14"/>
        <v>2.7728320435676559</v>
      </c>
      <c r="AI63" s="252">
        <f t="shared" si="15"/>
        <v>3.0501152479244218</v>
      </c>
      <c r="AJ63" s="252">
        <f t="shared" si="16"/>
        <v>1.9398216838759244</v>
      </c>
      <c r="AK63">
        <f t="shared" si="17"/>
        <v>29.999999999999996</v>
      </c>
      <c r="AL63" s="77">
        <v>30</v>
      </c>
      <c r="AM63" s="73"/>
      <c r="AN63" s="73"/>
      <c r="AO63" s="77"/>
      <c r="AP63" s="77"/>
    </row>
    <row r="64" spans="1:42">
      <c r="A64" s="16" t="s">
        <v>241</v>
      </c>
      <c r="B64" s="6">
        <v>613</v>
      </c>
      <c r="C64" s="6" t="s">
        <v>212</v>
      </c>
      <c r="D64" s="6">
        <v>45</v>
      </c>
      <c r="E64" s="73">
        <v>0</v>
      </c>
      <c r="F64" s="104">
        <v>0.55000000000000004</v>
      </c>
      <c r="G64" s="237">
        <v>8.6817000000000005E-2</v>
      </c>
      <c r="H64" s="245">
        <v>1.7067000000000001</v>
      </c>
      <c r="I64" s="245">
        <v>0.41389999999999999</v>
      </c>
      <c r="J64" s="237">
        <v>8.6817000000000005E-2</v>
      </c>
      <c r="K64" s="245">
        <v>1.7067000000000001</v>
      </c>
      <c r="L64" s="237">
        <v>8.6126999999999995E-2</v>
      </c>
      <c r="M64" s="245">
        <v>1.7067000000000001</v>
      </c>
      <c r="N64" s="245">
        <v>0</v>
      </c>
      <c r="O64" s="245">
        <v>0</v>
      </c>
      <c r="P64" s="245">
        <v>0.41389999999999999</v>
      </c>
      <c r="Q64" s="245">
        <v>0.37069999999999997</v>
      </c>
      <c r="R64" s="14">
        <f t="shared" si="0"/>
        <v>3.758531078447263</v>
      </c>
      <c r="S64">
        <f>2*PI()*G64/9.81/(H64/1.1)^2</f>
        <v>2.3098651624257994E-2</v>
      </c>
      <c r="T64">
        <f>1/6/S64^0.5</f>
        <v>1.0966181642166974</v>
      </c>
      <c r="U64">
        <f>0.05/G64/T64</f>
        <v>0.5251819539045891</v>
      </c>
      <c r="V64">
        <f>0.05/G64</f>
        <v>0.57592407017058866</v>
      </c>
      <c r="W64">
        <f>0.067*6^0.5*T64*EXP(-4.75*0.05/G64/T64)</f>
        <v>1.4852810712849633E-2</v>
      </c>
      <c r="X64">
        <f>0.2*EXP(-2.6*0.05/G64)</f>
        <v>4.4742095135677624E-2</v>
      </c>
      <c r="Y64">
        <f>IF(W64&lt;X64,I64/1000/(9.91*G64^3)^0.5*(S64*6)^0.5," ")</f>
        <v>1.9134643576969419E-3</v>
      </c>
      <c r="AA64" s="230">
        <f t="shared" si="8"/>
        <v>0.14633376404784657</v>
      </c>
      <c r="AB64" s="252">
        <f t="shared" si="9"/>
        <v>1.6717130112903886</v>
      </c>
      <c r="AC64" s="252">
        <v>1.6717130112903886</v>
      </c>
      <c r="AD64" s="252">
        <f t="shared" si="10"/>
        <v>0.70710678118654746</v>
      </c>
      <c r="AE64" s="252">
        <f t="shared" si="11"/>
        <v>-0.70137167194974648</v>
      </c>
      <c r="AF64" s="252">
        <f t="shared" si="12"/>
        <v>3.758531078447263</v>
      </c>
      <c r="AG64" s="252">
        <f t="shared" si="13"/>
        <v>3.3482585137287817</v>
      </c>
      <c r="AH64" s="252">
        <f t="shared" si="14"/>
        <v>1.8765532235389821</v>
      </c>
      <c r="AI64" s="252">
        <f t="shared" si="15"/>
        <v>2.0642085458928805</v>
      </c>
      <c r="AJ64" s="252">
        <f t="shared" si="16"/>
        <v>1.6537013384206749</v>
      </c>
      <c r="AK64">
        <f t="shared" si="17"/>
        <v>45</v>
      </c>
      <c r="AL64" s="77"/>
      <c r="AM64" s="73"/>
      <c r="AN64" s="73"/>
      <c r="AO64" s="77"/>
      <c r="AP64" s="77"/>
    </row>
    <row r="65" spans="1:53">
      <c r="A65" s="16" t="s">
        <v>241</v>
      </c>
      <c r="B65" s="6">
        <v>614</v>
      </c>
      <c r="C65" s="6" t="s">
        <v>213</v>
      </c>
      <c r="D65" s="6">
        <v>45</v>
      </c>
      <c r="E65" s="73">
        <v>0</v>
      </c>
      <c r="F65" s="104">
        <v>0.55000000000000004</v>
      </c>
      <c r="G65" s="234">
        <v>7.0094000000000004E-2</v>
      </c>
      <c r="H65" s="77">
        <v>1.2190000000000001</v>
      </c>
      <c r="I65" s="77">
        <v>3.8399999999999997E-2</v>
      </c>
      <c r="J65" s="234">
        <v>7.0094000000000004E-2</v>
      </c>
      <c r="K65" s="77">
        <v>1.2190000000000001</v>
      </c>
      <c r="L65" s="234">
        <v>7.4161000000000005E-2</v>
      </c>
      <c r="M65" s="77">
        <v>1.2190000000000001</v>
      </c>
      <c r="N65" s="77">
        <v>0</v>
      </c>
      <c r="O65" s="77">
        <v>0</v>
      </c>
      <c r="P65" s="77">
        <v>3.8399999999999997E-2</v>
      </c>
      <c r="Q65" s="37">
        <v>5.1200000000000002E-2</v>
      </c>
      <c r="R65" s="14">
        <f t="shared" si="0"/>
        <v>1.9173931872920011</v>
      </c>
      <c r="S65">
        <f t="shared" ref="S65:S76" si="43">2*PI()*G65/9.81/(H65/1.1)^2</f>
        <v>3.655692555108956E-2</v>
      </c>
      <c r="T65">
        <f t="shared" ref="T65:T78" si="44">1/6/S65^0.5</f>
        <v>0.87169372057775085</v>
      </c>
      <c r="U65">
        <f t="shared" ref="U65:U75" si="45">0.05/G65/T65</f>
        <v>0.81832391365485779</v>
      </c>
      <c r="V65">
        <f t="shared" ref="V65:V75" si="46">0.05/G65</f>
        <v>0.71332781693154912</v>
      </c>
      <c r="W65">
        <f t="shared" ref="W65:W75" si="47">0.067*6^0.5*T65*EXP(-4.75*0.05/G65/T65)</f>
        <v>2.9335597270184715E-3</v>
      </c>
      <c r="X65">
        <f t="shared" ref="X65:X75" si="48">0.2*EXP(-2.6*0.05/G65)</f>
        <v>3.1301469412361414E-2</v>
      </c>
      <c r="Y65">
        <f t="shared" ref="Y65:Y76" si="49">IF(W65&lt;X65,I65/1000/(9.91*G65^3)^0.5*(S65*6)^0.5," ")</f>
        <v>3.0784605185429437E-4</v>
      </c>
      <c r="AA65" s="230">
        <f t="shared" si="8"/>
        <v>0.28684779086796669</v>
      </c>
      <c r="AB65" s="252">
        <f t="shared" si="9"/>
        <v>3.2769414999609654</v>
      </c>
      <c r="AC65" s="252">
        <v>3.2769414999609654</v>
      </c>
      <c r="AD65" s="252">
        <f t="shared" si="10"/>
        <v>0.70710678118654746</v>
      </c>
      <c r="AE65" s="252">
        <f t="shared" si="11"/>
        <v>-0.21010848871445553</v>
      </c>
      <c r="AF65" s="252">
        <f t="shared" si="12"/>
        <v>1.9173931872920011</v>
      </c>
      <c r="AG65" s="252">
        <f t="shared" si="13"/>
        <v>5.4597059804385752</v>
      </c>
      <c r="AH65" s="252">
        <f t="shared" si="14"/>
        <v>1.1508285115886152</v>
      </c>
      <c r="AI65" s="252">
        <f t="shared" si="15"/>
        <v>1.2659113627474767</v>
      </c>
      <c r="AJ65" s="252">
        <f t="shared" si="16"/>
        <v>1.0394115408935118</v>
      </c>
      <c r="AK65">
        <f t="shared" si="17"/>
        <v>45</v>
      </c>
    </row>
    <row r="66" spans="1:53">
      <c r="A66" s="16" t="s">
        <v>241</v>
      </c>
      <c r="B66" s="6">
        <v>615</v>
      </c>
      <c r="C66" s="6" t="s">
        <v>214</v>
      </c>
      <c r="D66" s="6">
        <v>45</v>
      </c>
      <c r="E66" s="73">
        <v>0</v>
      </c>
      <c r="F66" s="104">
        <v>0.55000000000000004</v>
      </c>
      <c r="G66" s="234">
        <v>0.11854000000000001</v>
      </c>
      <c r="H66" s="77">
        <v>1.9692000000000001</v>
      </c>
      <c r="I66" s="77">
        <v>1.5331999999999999</v>
      </c>
      <c r="J66" s="234">
        <v>0.11854000000000001</v>
      </c>
      <c r="K66" s="77">
        <v>1.9692000000000001</v>
      </c>
      <c r="L66" s="234">
        <v>0.13314999999999999</v>
      </c>
      <c r="M66" s="77">
        <v>1.9692000000000001</v>
      </c>
      <c r="N66" s="77">
        <v>3.3300000000000003E-2</v>
      </c>
      <c r="O66" s="77">
        <v>0</v>
      </c>
      <c r="P66" s="77">
        <v>1.5331999999999999</v>
      </c>
      <c r="Q66" s="37">
        <v>1.3436999999999999</v>
      </c>
      <c r="R66" s="14">
        <f t="shared" si="0"/>
        <v>5.0036096669877761</v>
      </c>
      <c r="S66">
        <f t="shared" si="43"/>
        <v>2.3690896750417845E-2</v>
      </c>
      <c r="T66">
        <f t="shared" si="44"/>
        <v>1.0828243156370752</v>
      </c>
      <c r="U66">
        <f t="shared" si="45"/>
        <v>0.38953553491715598</v>
      </c>
      <c r="V66">
        <f t="shared" si="46"/>
        <v>0.42179854901299141</v>
      </c>
      <c r="W66">
        <f t="shared" si="47"/>
        <v>2.7934187522399307E-2</v>
      </c>
      <c r="X66">
        <f t="shared" si="48"/>
        <v>6.679586244073131E-2</v>
      </c>
      <c r="Y66">
        <f t="shared" si="49"/>
        <v>4.4991551959031031E-3</v>
      </c>
      <c r="AA66" s="230">
        <f t="shared" si="8"/>
        <v>0.10992064461557123</v>
      </c>
      <c r="AB66" s="252">
        <f t="shared" si="9"/>
        <v>1.2557305076441201</v>
      </c>
      <c r="AC66" s="252">
        <v>1.2557305076441201</v>
      </c>
      <c r="AD66" s="252">
        <f t="shared" si="10"/>
        <v>0.70710678118654746</v>
      </c>
      <c r="AE66" s="252">
        <f t="shared" si="11"/>
        <v>-0.89133814507598697</v>
      </c>
      <c r="AF66" s="252">
        <f t="shared" si="12"/>
        <v>5.0036096669877761</v>
      </c>
      <c r="AG66" s="252">
        <f t="shared" si="13"/>
        <v>2.6184647382764128</v>
      </c>
      <c r="AH66" s="252">
        <f t="shared" si="14"/>
        <v>2.3995684247080797</v>
      </c>
      <c r="AI66" s="252">
        <f t="shared" si="15"/>
        <v>2.6395252671788878</v>
      </c>
      <c r="AJ66" s="252">
        <f t="shared" si="16"/>
        <v>1.8543987630946703</v>
      </c>
      <c r="AK66">
        <f t="shared" si="17"/>
        <v>44.999999999999993</v>
      </c>
      <c r="AL66" s="37"/>
      <c r="AM66" s="73"/>
      <c r="AN66" s="73"/>
      <c r="AO66" s="77"/>
      <c r="AP66" s="77"/>
    </row>
    <row r="67" spans="1:53">
      <c r="A67" s="16" t="s">
        <v>241</v>
      </c>
      <c r="B67" s="6">
        <v>616</v>
      </c>
      <c r="C67" s="6" t="s">
        <v>215</v>
      </c>
      <c r="D67" s="6">
        <v>45</v>
      </c>
      <c r="E67" s="73">
        <v>0</v>
      </c>
      <c r="F67" s="104">
        <v>0.55000000000000004</v>
      </c>
      <c r="G67" s="234">
        <v>0.10607</v>
      </c>
      <c r="H67" s="77">
        <v>1.3473999999999999</v>
      </c>
      <c r="I67" s="77">
        <v>0.2984</v>
      </c>
      <c r="J67" s="234">
        <v>0.10607</v>
      </c>
      <c r="K67" s="77">
        <v>1.3473999999999999</v>
      </c>
      <c r="L67" s="234">
        <v>0.10150000000000001</v>
      </c>
      <c r="M67" s="77">
        <v>1.3473999999999999</v>
      </c>
      <c r="N67" s="77">
        <v>0</v>
      </c>
      <c r="O67" s="77">
        <v>0</v>
      </c>
      <c r="P67" s="77">
        <v>0.2984</v>
      </c>
      <c r="Q67" s="77">
        <v>0.3291</v>
      </c>
      <c r="R67" s="14">
        <f t="shared" si="0"/>
        <v>2.3425930729291196</v>
      </c>
      <c r="S67">
        <f t="shared" si="43"/>
        <v>4.5278883996430819E-2</v>
      </c>
      <c r="T67">
        <f t="shared" si="44"/>
        <v>0.78325088192293779</v>
      </c>
      <c r="U67">
        <f t="shared" si="45"/>
        <v>0.60183375582957954</v>
      </c>
      <c r="V67">
        <f t="shared" si="46"/>
        <v>0.47138682002451215</v>
      </c>
      <c r="W67">
        <f t="shared" si="47"/>
        <v>7.3710472367310769E-3</v>
      </c>
      <c r="X67">
        <f t="shared" si="48"/>
        <v>5.8715963149222783E-2</v>
      </c>
      <c r="Y67">
        <f t="shared" si="49"/>
        <v>1.4301994955672435E-3</v>
      </c>
      <c r="AA67" s="230">
        <f t="shared" si="8"/>
        <v>0.23478256055469926</v>
      </c>
      <c r="AB67" s="252">
        <f t="shared" si="9"/>
        <v>2.6821496997441594</v>
      </c>
      <c r="AC67" s="252">
        <v>2.6821496997441594</v>
      </c>
      <c r="AD67" s="252">
        <f t="shared" si="10"/>
        <v>0.70710678118654746</v>
      </c>
      <c r="AE67" s="252">
        <f t="shared" si="11"/>
        <v>-0.33971722669005722</v>
      </c>
      <c r="AF67" s="252">
        <f t="shared" si="12"/>
        <v>2.3425930729291196</v>
      </c>
      <c r="AG67" s="252">
        <f t="shared" si="13"/>
        <v>4.7897943050730021</v>
      </c>
      <c r="AH67" s="252">
        <f t="shared" si="14"/>
        <v>1.3117860406917459</v>
      </c>
      <c r="AI67" s="252">
        <f t="shared" si="15"/>
        <v>1.4429646447609206</v>
      </c>
      <c r="AJ67" s="252">
        <f t="shared" si="16"/>
        <v>1.2221413975986744</v>
      </c>
      <c r="AK67">
        <f t="shared" si="17"/>
        <v>44.999999999999993</v>
      </c>
      <c r="AL67" s="37"/>
      <c r="AM67" s="73"/>
      <c r="AN67" s="73"/>
      <c r="AO67" s="77"/>
      <c r="AP67" s="77"/>
    </row>
    <row r="68" spans="1:53">
      <c r="A68" s="16" t="s">
        <v>241</v>
      </c>
      <c r="B68" s="6">
        <v>617</v>
      </c>
      <c r="C68" s="17" t="s">
        <v>216</v>
      </c>
      <c r="D68" s="6">
        <v>45</v>
      </c>
      <c r="E68" s="73">
        <v>0</v>
      </c>
      <c r="F68" s="104">
        <v>0.55000000000000004</v>
      </c>
      <c r="G68" s="234">
        <v>0.14710000000000001</v>
      </c>
      <c r="H68" s="77">
        <v>2.1333000000000002</v>
      </c>
      <c r="I68" s="77">
        <v>2.9336000000000002</v>
      </c>
      <c r="J68" s="234">
        <v>0.14710000000000001</v>
      </c>
      <c r="K68" s="77">
        <v>2.1333000000000002</v>
      </c>
      <c r="L68" s="234">
        <v>0.16195999999999999</v>
      </c>
      <c r="M68" s="77">
        <v>2.1333000000000002</v>
      </c>
      <c r="N68" s="77">
        <v>0.1341</v>
      </c>
      <c r="O68" s="77">
        <v>6.9500000000000006E-2</v>
      </c>
      <c r="P68" s="77">
        <v>2.9336000000000002</v>
      </c>
      <c r="Q68" s="37">
        <v>2.5135000000000001</v>
      </c>
      <c r="R68" s="14">
        <f t="shared" si="0"/>
        <v>5.872291900839822</v>
      </c>
      <c r="S68">
        <f t="shared" si="43"/>
        <v>2.5049844674608666E-2</v>
      </c>
      <c r="T68">
        <f t="shared" si="44"/>
        <v>1.0530433041070837</v>
      </c>
      <c r="U68">
        <f t="shared" si="45"/>
        <v>0.32278333219805894</v>
      </c>
      <c r="V68">
        <f t="shared" si="46"/>
        <v>0.33990482664853838</v>
      </c>
      <c r="W68">
        <f t="shared" si="47"/>
        <v>3.7301587381112132E-2</v>
      </c>
      <c r="X68">
        <f t="shared" si="48"/>
        <v>8.2645867024360262E-2</v>
      </c>
      <c r="Y68">
        <f t="shared" si="49"/>
        <v>6.4035853806998196E-3</v>
      </c>
      <c r="AA68" s="230">
        <f t="shared" si="8"/>
        <v>9.3660194228652391E-2</v>
      </c>
      <c r="AB68" s="252">
        <f t="shared" si="9"/>
        <v>1.0699715568091908</v>
      </c>
      <c r="AC68" s="252">
        <v>1.0699715568091908</v>
      </c>
      <c r="AD68" s="252">
        <f t="shared" si="10"/>
        <v>0.70710678118654746</v>
      </c>
      <c r="AE68" s="252">
        <f t="shared" si="11"/>
        <v>-0.97383683690377376</v>
      </c>
      <c r="AF68" s="252">
        <f t="shared" si="12"/>
        <v>5.872291900839822</v>
      </c>
      <c r="AG68" s="252">
        <f t="shared" si="13"/>
        <v>2.2659812092676717</v>
      </c>
      <c r="AH68" s="252">
        <f t="shared" si="14"/>
        <v>2.7728320435676559</v>
      </c>
      <c r="AI68" s="252">
        <f t="shared" si="15"/>
        <v>3.0501152479244218</v>
      </c>
      <c r="AJ68" s="252">
        <f t="shared" si="16"/>
        <v>1.9398216838759244</v>
      </c>
      <c r="AK68">
        <f t="shared" si="17"/>
        <v>45</v>
      </c>
      <c r="AL68" s="37"/>
      <c r="AM68" s="73"/>
      <c r="AN68" s="73"/>
      <c r="AO68" s="77"/>
      <c r="AP68" s="77"/>
    </row>
    <row r="69" spans="1:53" ht="13.5" thickBot="1">
      <c r="A69" s="115" t="s">
        <v>241</v>
      </c>
      <c r="B69" s="116">
        <v>618</v>
      </c>
      <c r="C69" s="147" t="s">
        <v>217</v>
      </c>
      <c r="D69" s="116">
        <v>45</v>
      </c>
      <c r="E69" s="118">
        <v>0</v>
      </c>
      <c r="F69" s="120">
        <v>0.55000000000000004</v>
      </c>
      <c r="G69" s="238">
        <v>0.13796</v>
      </c>
      <c r="H69" s="151">
        <v>1.6</v>
      </c>
      <c r="I69" s="151">
        <v>0.87409999999999999</v>
      </c>
      <c r="J69" s="238">
        <v>0.13796</v>
      </c>
      <c r="K69" s="151">
        <v>1.6</v>
      </c>
      <c r="L69" s="238">
        <v>0.13444</v>
      </c>
      <c r="M69" s="151">
        <v>1.6</v>
      </c>
      <c r="N69" s="151">
        <v>0</v>
      </c>
      <c r="O69" s="151">
        <v>0</v>
      </c>
      <c r="P69" s="151">
        <v>0.87409999999999999</v>
      </c>
      <c r="Q69" s="153">
        <v>0.86109999999999998</v>
      </c>
      <c r="R69" s="14">
        <f t="shared" si="0"/>
        <v>3.303267420522829</v>
      </c>
      <c r="S69">
        <f t="shared" si="43"/>
        <v>4.1764708222794808E-2</v>
      </c>
      <c r="T69">
        <f t="shared" si="44"/>
        <v>0.81553766569563368</v>
      </c>
      <c r="U69">
        <f t="shared" si="45"/>
        <v>0.44439871538459835</v>
      </c>
      <c r="V69">
        <f t="shared" si="46"/>
        <v>0.36242389098289363</v>
      </c>
      <c r="W69">
        <f t="shared" si="47"/>
        <v>1.62123092698086E-2</v>
      </c>
      <c r="X69">
        <f t="shared" si="48"/>
        <v>7.7945919774188022E-2</v>
      </c>
      <c r="Y69">
        <f t="shared" si="49"/>
        <v>2.7125319699003703E-3</v>
      </c>
      <c r="AA69" s="230">
        <f t="shared" si="8"/>
        <v>0.16650180865857603</v>
      </c>
      <c r="AB69" s="252">
        <f t="shared" si="9"/>
        <v>1.9021122141498028</v>
      </c>
      <c r="AC69" s="252">
        <v>1.9021122141498028</v>
      </c>
      <c r="AD69" s="252">
        <f t="shared" si="10"/>
        <v>0.70710678118654746</v>
      </c>
      <c r="AE69" s="252">
        <f t="shared" si="11"/>
        <v>-0.603097392439917</v>
      </c>
      <c r="AF69" s="252">
        <f t="shared" si="12"/>
        <v>3.303267420522829</v>
      </c>
      <c r="AG69" s="252">
        <f t="shared" si="13"/>
        <v>3.7165925062460481</v>
      </c>
      <c r="AH69" s="252">
        <f t="shared" si="14"/>
        <v>1.6905768648621451</v>
      </c>
      <c r="AI69" s="252">
        <f t="shared" si="15"/>
        <v>1.8596345513483596</v>
      </c>
      <c r="AJ69" s="252">
        <f t="shared" si="16"/>
        <v>1.5443158576093721</v>
      </c>
      <c r="AK69">
        <f t="shared" si="17"/>
        <v>45</v>
      </c>
      <c r="AL69" s="77"/>
      <c r="AM69" s="73"/>
      <c r="AN69" s="73"/>
      <c r="AO69" s="77"/>
      <c r="AP69" s="77"/>
    </row>
    <row r="70" spans="1:53">
      <c r="A70" s="16" t="s">
        <v>241</v>
      </c>
      <c r="B70" s="6">
        <v>613</v>
      </c>
      <c r="C70" s="6" t="s">
        <v>212</v>
      </c>
      <c r="D70" s="6">
        <v>45</v>
      </c>
      <c r="E70" s="73">
        <v>0</v>
      </c>
      <c r="F70" s="104">
        <v>0.55000000000000004</v>
      </c>
      <c r="G70" s="237">
        <v>8.6817000000000005E-2</v>
      </c>
      <c r="H70" s="245">
        <v>1.7067000000000001</v>
      </c>
      <c r="I70" s="245">
        <v>0.37069999999999997</v>
      </c>
      <c r="J70" s="77"/>
      <c r="K70" s="77"/>
      <c r="L70" s="77"/>
      <c r="M70" s="77"/>
      <c r="N70" s="77"/>
      <c r="O70" s="77"/>
      <c r="P70" s="77"/>
      <c r="Q70" s="77"/>
      <c r="R70" s="14">
        <f t="shared" si="0"/>
        <v>3.758531078447263</v>
      </c>
      <c r="S70">
        <f t="shared" si="43"/>
        <v>2.3098651624257994E-2</v>
      </c>
      <c r="T70">
        <f t="shared" si="44"/>
        <v>1.0966181642166974</v>
      </c>
      <c r="U70">
        <f t="shared" si="45"/>
        <v>0.5251819539045891</v>
      </c>
      <c r="V70">
        <f t="shared" si="46"/>
        <v>0.57592407017058866</v>
      </c>
      <c r="W70">
        <f t="shared" si="47"/>
        <v>1.4852810712849633E-2</v>
      </c>
      <c r="X70">
        <f t="shared" si="48"/>
        <v>4.4742095135677624E-2</v>
      </c>
      <c r="Y70">
        <f t="shared" si="49"/>
        <v>1.7137502715589669E-3</v>
      </c>
      <c r="AA70" s="230">
        <f t="shared" si="8"/>
        <v>0.14633376404784657</v>
      </c>
      <c r="AB70" s="252">
        <f t="shared" si="9"/>
        <v>1.6717130112903886</v>
      </c>
      <c r="AC70" s="252">
        <v>1.6717130112903886</v>
      </c>
      <c r="AD70" s="252">
        <f t="shared" si="10"/>
        <v>0.70710678118654746</v>
      </c>
      <c r="AE70" s="252">
        <f t="shared" si="11"/>
        <v>-0.70137167194974648</v>
      </c>
      <c r="AF70" s="252">
        <f t="shared" si="12"/>
        <v>3.758531078447263</v>
      </c>
      <c r="AG70" s="252">
        <f t="shared" si="13"/>
        <v>3.3482585137287817</v>
      </c>
      <c r="AH70" s="252">
        <f t="shared" si="14"/>
        <v>1.8765532235389821</v>
      </c>
      <c r="AI70" s="252">
        <f t="shared" si="15"/>
        <v>2.0642085458928805</v>
      </c>
      <c r="AJ70" s="252">
        <f t="shared" si="16"/>
        <v>1.6537013384206749</v>
      </c>
      <c r="AK70">
        <f t="shared" si="17"/>
        <v>45</v>
      </c>
      <c r="AL70" s="37"/>
      <c r="AM70" s="73"/>
      <c r="AN70" s="73"/>
      <c r="AO70" s="77"/>
      <c r="AP70" s="77"/>
    </row>
    <row r="71" spans="1:53">
      <c r="A71" s="16" t="s">
        <v>241</v>
      </c>
      <c r="B71" s="6">
        <v>614</v>
      </c>
      <c r="C71" s="6" t="s">
        <v>213</v>
      </c>
      <c r="D71" s="6">
        <v>45</v>
      </c>
      <c r="E71" s="73">
        <v>0</v>
      </c>
      <c r="F71" s="104">
        <v>0.55000000000000004</v>
      </c>
      <c r="G71" s="234">
        <v>7.0094000000000004E-2</v>
      </c>
      <c r="H71" s="77">
        <v>1.2190000000000001</v>
      </c>
      <c r="I71" s="37">
        <v>5.1200000000000002E-2</v>
      </c>
      <c r="J71" s="37"/>
      <c r="K71" s="37"/>
      <c r="L71" s="37"/>
      <c r="M71" s="37"/>
      <c r="N71" s="37"/>
      <c r="O71" s="37"/>
      <c r="P71" s="37"/>
      <c r="Q71" s="37"/>
      <c r="R71" s="14">
        <f t="shared" si="0"/>
        <v>1.9173931872920011</v>
      </c>
      <c r="S71">
        <f t="shared" si="43"/>
        <v>3.655692555108956E-2</v>
      </c>
      <c r="T71">
        <f t="shared" si="44"/>
        <v>0.87169372057775085</v>
      </c>
      <c r="U71">
        <f t="shared" si="45"/>
        <v>0.81832391365485779</v>
      </c>
      <c r="V71">
        <f t="shared" si="46"/>
        <v>0.71332781693154912</v>
      </c>
      <c r="W71">
        <f t="shared" si="47"/>
        <v>2.9335597270184715E-3</v>
      </c>
      <c r="X71">
        <f t="shared" si="48"/>
        <v>3.1301469412361414E-2</v>
      </c>
      <c r="Y71">
        <f t="shared" si="49"/>
        <v>4.1046140247239253E-4</v>
      </c>
      <c r="AA71" s="230">
        <f t="shared" si="8"/>
        <v>0.28684779086796669</v>
      </c>
      <c r="AB71" s="252">
        <f t="shared" si="9"/>
        <v>3.2769414999609654</v>
      </c>
      <c r="AC71" s="252">
        <v>3.2769414999609654</v>
      </c>
      <c r="AD71" s="252">
        <f t="shared" si="10"/>
        <v>0.70710678118654746</v>
      </c>
      <c r="AE71" s="252">
        <f t="shared" si="11"/>
        <v>-0.21010848871445553</v>
      </c>
      <c r="AF71" s="252">
        <f t="shared" si="12"/>
        <v>1.9173931872920011</v>
      </c>
      <c r="AG71" s="252">
        <f t="shared" si="13"/>
        <v>5.4597059804385752</v>
      </c>
      <c r="AH71" s="252">
        <f t="shared" si="14"/>
        <v>1.1508285115886152</v>
      </c>
      <c r="AI71" s="252">
        <f t="shared" si="15"/>
        <v>1.2659113627474767</v>
      </c>
      <c r="AJ71" s="252">
        <f t="shared" si="16"/>
        <v>1.0394115408935118</v>
      </c>
      <c r="AK71">
        <f t="shared" si="17"/>
        <v>45</v>
      </c>
      <c r="AL71" s="37"/>
      <c r="AM71" s="73"/>
      <c r="AN71" s="73"/>
      <c r="AO71" s="77"/>
      <c r="AP71" s="77"/>
    </row>
    <row r="72" spans="1:53">
      <c r="A72" s="16" t="s">
        <v>241</v>
      </c>
      <c r="B72" s="6">
        <v>615</v>
      </c>
      <c r="C72" s="6" t="s">
        <v>214</v>
      </c>
      <c r="D72" s="6">
        <v>45</v>
      </c>
      <c r="E72" s="73">
        <v>0</v>
      </c>
      <c r="F72" s="104">
        <v>0.55000000000000004</v>
      </c>
      <c r="G72" s="234">
        <v>0.11854000000000001</v>
      </c>
      <c r="H72" s="77">
        <v>1.9692000000000001</v>
      </c>
      <c r="I72" s="37">
        <v>1.3436999999999999</v>
      </c>
      <c r="J72" s="37"/>
      <c r="K72" s="37"/>
      <c r="L72" s="37"/>
      <c r="M72" s="37"/>
      <c r="N72" s="37"/>
      <c r="O72" s="37"/>
      <c r="P72" s="37"/>
      <c r="Q72" s="37"/>
      <c r="R72" s="14">
        <f t="shared" ref="R72:R78" si="50">9.81/2/PI()*(H72/1.1)^2</f>
        <v>5.0036096669877761</v>
      </c>
      <c r="S72">
        <f t="shared" si="43"/>
        <v>2.3690896750417845E-2</v>
      </c>
      <c r="T72">
        <f t="shared" si="44"/>
        <v>1.0828243156370752</v>
      </c>
      <c r="U72">
        <f t="shared" si="45"/>
        <v>0.38953553491715598</v>
      </c>
      <c r="V72">
        <f t="shared" si="46"/>
        <v>0.42179854901299141</v>
      </c>
      <c r="W72">
        <f t="shared" si="47"/>
        <v>2.7934187522399307E-2</v>
      </c>
      <c r="X72">
        <f t="shared" si="48"/>
        <v>6.679586244073131E-2</v>
      </c>
      <c r="Y72">
        <f t="shared" si="49"/>
        <v>3.9430699430830947E-3</v>
      </c>
      <c r="AA72" s="230">
        <f t="shared" ref="AA72:AA135" si="51">F72/R72</f>
        <v>0.10992064461557123</v>
      </c>
      <c r="AB72" s="252">
        <f t="shared" ref="AB72:AB135" si="52">2*PI()/R72</f>
        <v>1.2557305076441201</v>
      </c>
      <c r="AC72" s="252">
        <v>1.2557305076441201</v>
      </c>
      <c r="AD72" s="252">
        <f t="shared" ref="AD72:AD135" si="53">SIN(D72*PI()/180)</f>
        <v>0.70710678118654746</v>
      </c>
      <c r="AE72" s="252">
        <f t="shared" ref="AE72:AE135" si="54">(9.81*AC72*TANH(AC72*0.5))^0.5-2*PI()/(H72/1.1)+AC72*E72*AD72</f>
        <v>-0.89133814507598697</v>
      </c>
      <c r="AF72" s="252">
        <f t="shared" ref="AF72:AF135" si="55">2*PI()/AC72</f>
        <v>5.0036096669877761</v>
      </c>
      <c r="AG72" s="252">
        <f t="shared" ref="AG72:AG135" si="56">(9.81*AC72*TANH(AC72*0.5))^0.5</f>
        <v>2.6184647382764128</v>
      </c>
      <c r="AH72" s="252">
        <f t="shared" ref="AH72:AH135" si="57">2*PI()/AG72</f>
        <v>2.3995684247080797</v>
      </c>
      <c r="AI72" s="252">
        <f t="shared" ref="AI72:AI135" si="58">AH72*1.1</f>
        <v>2.6395252671788878</v>
      </c>
      <c r="AJ72" s="252">
        <f t="shared" ref="AJ72:AJ135" si="59">0.5*AG72/AC72*(1+2*AC72*0.5/SINH(2*AC72*0.5))</f>
        <v>1.8543987630946703</v>
      </c>
      <c r="AK72">
        <f t="shared" ref="AK72:AK135" si="60">ATAN((AJ72*SIN(D72*PI()/180)+E72)/(AJ72*COS(D72*PI()/180)))*180/PI()</f>
        <v>44.999999999999993</v>
      </c>
    </row>
    <row r="73" spans="1:53">
      <c r="A73" s="16" t="s">
        <v>241</v>
      </c>
      <c r="B73" s="6">
        <v>616</v>
      </c>
      <c r="C73" s="6" t="s">
        <v>215</v>
      </c>
      <c r="D73" s="6">
        <v>45</v>
      </c>
      <c r="E73" s="73">
        <v>0</v>
      </c>
      <c r="F73" s="104">
        <v>0.55000000000000004</v>
      </c>
      <c r="G73" s="234">
        <v>0.10607</v>
      </c>
      <c r="H73" s="77">
        <v>1.3473999999999999</v>
      </c>
      <c r="I73" s="77">
        <v>0.3291</v>
      </c>
      <c r="J73" s="77"/>
      <c r="K73" s="77"/>
      <c r="L73" s="77"/>
      <c r="M73" s="77"/>
      <c r="N73" s="77"/>
      <c r="O73" s="77"/>
      <c r="P73" s="77"/>
      <c r="Q73" s="77"/>
      <c r="R73" s="14">
        <f t="shared" si="50"/>
        <v>2.3425930729291196</v>
      </c>
      <c r="S73">
        <f t="shared" si="43"/>
        <v>4.5278883996430819E-2</v>
      </c>
      <c r="T73">
        <f t="shared" si="44"/>
        <v>0.78325088192293779</v>
      </c>
      <c r="U73">
        <f t="shared" si="45"/>
        <v>0.60183375582957954</v>
      </c>
      <c r="V73">
        <f t="shared" si="46"/>
        <v>0.47138682002451215</v>
      </c>
      <c r="W73">
        <f t="shared" si="47"/>
        <v>7.3710472367310769E-3</v>
      </c>
      <c r="X73">
        <f t="shared" si="48"/>
        <v>5.8715963149222783E-2</v>
      </c>
      <c r="Y73">
        <f t="shared" si="49"/>
        <v>1.5773413337506026E-3</v>
      </c>
      <c r="AA73" s="230">
        <f t="shared" si="51"/>
        <v>0.23478256055469926</v>
      </c>
      <c r="AB73" s="252">
        <f t="shared" si="52"/>
        <v>2.6821496997441594</v>
      </c>
      <c r="AC73" s="252">
        <v>2.6821496997441594</v>
      </c>
      <c r="AD73" s="252">
        <f t="shared" si="53"/>
        <v>0.70710678118654746</v>
      </c>
      <c r="AE73" s="252">
        <f t="shared" si="54"/>
        <v>-0.33971722669005722</v>
      </c>
      <c r="AF73" s="252">
        <f t="shared" si="55"/>
        <v>2.3425930729291196</v>
      </c>
      <c r="AG73" s="252">
        <f t="shared" si="56"/>
        <v>4.7897943050730021</v>
      </c>
      <c r="AH73" s="252">
        <f t="shared" si="57"/>
        <v>1.3117860406917459</v>
      </c>
      <c r="AI73" s="252">
        <f t="shared" si="58"/>
        <v>1.4429646447609206</v>
      </c>
      <c r="AJ73" s="252">
        <f t="shared" si="59"/>
        <v>1.2221413975986744</v>
      </c>
      <c r="AK73">
        <f t="shared" si="60"/>
        <v>44.999999999999993</v>
      </c>
    </row>
    <row r="74" spans="1:53">
      <c r="A74" s="16" t="s">
        <v>241</v>
      </c>
      <c r="B74" s="6">
        <v>617</v>
      </c>
      <c r="C74" s="17" t="s">
        <v>216</v>
      </c>
      <c r="D74" s="6">
        <v>45</v>
      </c>
      <c r="E74" s="73">
        <v>0</v>
      </c>
      <c r="F74" s="104">
        <v>0.55000000000000004</v>
      </c>
      <c r="G74" s="234">
        <v>0.14710000000000001</v>
      </c>
      <c r="H74" s="77">
        <v>2.1333000000000002</v>
      </c>
      <c r="I74" s="37">
        <v>2.5135000000000001</v>
      </c>
      <c r="J74" s="37"/>
      <c r="K74" s="37"/>
      <c r="L74" s="37"/>
      <c r="M74" s="37"/>
      <c r="N74" s="37"/>
      <c r="O74" s="37"/>
      <c r="P74" s="37"/>
      <c r="Q74" s="37"/>
      <c r="R74" s="14">
        <f t="shared" si="50"/>
        <v>5.872291900839822</v>
      </c>
      <c r="S74">
        <f t="shared" si="43"/>
        <v>2.5049844674608666E-2</v>
      </c>
      <c r="T74">
        <f t="shared" si="44"/>
        <v>1.0530433041070837</v>
      </c>
      <c r="U74">
        <f t="shared" si="45"/>
        <v>0.32278333219805894</v>
      </c>
      <c r="V74">
        <f t="shared" si="46"/>
        <v>0.33990482664853838</v>
      </c>
      <c r="W74">
        <f t="shared" si="47"/>
        <v>3.7301587381112132E-2</v>
      </c>
      <c r="X74">
        <f t="shared" si="48"/>
        <v>8.2645867024360262E-2</v>
      </c>
      <c r="Y74">
        <f t="shared" si="49"/>
        <v>5.4865734436831872E-3</v>
      </c>
      <c r="AA74" s="230">
        <f t="shared" si="51"/>
        <v>9.3660194228652391E-2</v>
      </c>
      <c r="AB74" s="252">
        <f t="shared" si="52"/>
        <v>1.0699715568091908</v>
      </c>
      <c r="AC74" s="252">
        <v>1.0699715568091908</v>
      </c>
      <c r="AD74" s="252">
        <f t="shared" si="53"/>
        <v>0.70710678118654746</v>
      </c>
      <c r="AE74" s="252">
        <f t="shared" si="54"/>
        <v>-0.97383683690377376</v>
      </c>
      <c r="AF74" s="252">
        <f t="shared" si="55"/>
        <v>5.872291900839822</v>
      </c>
      <c r="AG74" s="252">
        <f t="shared" si="56"/>
        <v>2.2659812092676717</v>
      </c>
      <c r="AH74" s="252">
        <f t="shared" si="57"/>
        <v>2.7728320435676559</v>
      </c>
      <c r="AI74" s="252">
        <f t="shared" si="58"/>
        <v>3.0501152479244218</v>
      </c>
      <c r="AJ74" s="252">
        <f t="shared" si="59"/>
        <v>1.9398216838759244</v>
      </c>
      <c r="AK74">
        <f t="shared" si="60"/>
        <v>45</v>
      </c>
    </row>
    <row r="75" spans="1:53" ht="13.5" thickBot="1">
      <c r="A75" s="115" t="s">
        <v>241</v>
      </c>
      <c r="B75" s="116">
        <v>618</v>
      </c>
      <c r="C75" s="147" t="s">
        <v>217</v>
      </c>
      <c r="D75" s="116">
        <v>45</v>
      </c>
      <c r="E75" s="118">
        <v>0</v>
      </c>
      <c r="F75" s="120">
        <v>0.55000000000000004</v>
      </c>
      <c r="G75" s="238">
        <v>0.13796</v>
      </c>
      <c r="H75" s="151">
        <v>1.6</v>
      </c>
      <c r="I75" s="153">
        <v>0.86109999999999998</v>
      </c>
      <c r="J75" s="37"/>
      <c r="K75" s="37"/>
      <c r="L75" s="37"/>
      <c r="M75" s="37"/>
      <c r="N75" s="37"/>
      <c r="O75" s="37"/>
      <c r="P75" s="37"/>
      <c r="Q75" s="37"/>
      <c r="R75" s="14">
        <f t="shared" si="50"/>
        <v>3.303267420522829</v>
      </c>
      <c r="S75">
        <f t="shared" si="43"/>
        <v>4.1764708222794808E-2</v>
      </c>
      <c r="T75">
        <f t="shared" si="44"/>
        <v>0.81553766569563368</v>
      </c>
      <c r="U75">
        <f t="shared" si="45"/>
        <v>0.44439871538459835</v>
      </c>
      <c r="V75">
        <f t="shared" si="46"/>
        <v>0.36242389098289363</v>
      </c>
      <c r="W75">
        <f t="shared" si="47"/>
        <v>1.62123092698086E-2</v>
      </c>
      <c r="X75">
        <f t="shared" si="48"/>
        <v>7.7945919774188022E-2</v>
      </c>
      <c r="Y75">
        <f t="shared" si="49"/>
        <v>2.6721900003217123E-3</v>
      </c>
      <c r="AA75" s="230">
        <f t="shared" si="51"/>
        <v>0.16650180865857603</v>
      </c>
      <c r="AB75" s="252">
        <f t="shared" si="52"/>
        <v>1.9021122141498028</v>
      </c>
      <c r="AC75" s="252">
        <v>1.9021122141498028</v>
      </c>
      <c r="AD75" s="252">
        <f t="shared" si="53"/>
        <v>0.70710678118654746</v>
      </c>
      <c r="AE75" s="252">
        <f t="shared" si="54"/>
        <v>-0.603097392439917</v>
      </c>
      <c r="AF75" s="252">
        <f t="shared" si="55"/>
        <v>3.303267420522829</v>
      </c>
      <c r="AG75" s="252">
        <f t="shared" si="56"/>
        <v>3.7165925062460481</v>
      </c>
      <c r="AH75" s="252">
        <f t="shared" si="57"/>
        <v>1.6905768648621451</v>
      </c>
      <c r="AI75" s="252">
        <f t="shared" si="58"/>
        <v>1.8596345513483596</v>
      </c>
      <c r="AJ75" s="252">
        <f t="shared" si="59"/>
        <v>1.5443158576093721</v>
      </c>
      <c r="AK75">
        <f t="shared" si="60"/>
        <v>45</v>
      </c>
    </row>
    <row r="76" spans="1:53">
      <c r="A76" s="16" t="s">
        <v>241</v>
      </c>
      <c r="B76" s="6">
        <v>615</v>
      </c>
      <c r="C76" s="6" t="s">
        <v>214</v>
      </c>
      <c r="D76" s="6">
        <v>45</v>
      </c>
      <c r="E76" s="73">
        <v>0</v>
      </c>
      <c r="F76" s="104">
        <v>0.55000000000000004</v>
      </c>
      <c r="G76" s="234">
        <v>0.13314999999999999</v>
      </c>
      <c r="H76" s="77">
        <v>1.9692000000000001</v>
      </c>
      <c r="I76" s="77">
        <v>3.3300000000000003E-2</v>
      </c>
      <c r="J76" s="77"/>
      <c r="K76" s="77"/>
      <c r="L76" s="77"/>
      <c r="M76" s="77"/>
      <c r="N76" s="77"/>
      <c r="O76" s="77"/>
      <c r="P76" s="77"/>
      <c r="Q76" s="77"/>
      <c r="R76" s="14">
        <f t="shared" si="50"/>
        <v>5.0036096669877761</v>
      </c>
      <c r="S76">
        <f t="shared" si="43"/>
        <v>2.6610788782842374E-2</v>
      </c>
      <c r="T76">
        <f t="shared" si="44"/>
        <v>1.0216917244671897</v>
      </c>
      <c r="U76">
        <f>0.15/G76/T76</f>
        <v>1.1026310362543119</v>
      </c>
      <c r="V76">
        <f>0.15/G76</f>
        <v>1.1265490048817124</v>
      </c>
      <c r="W76">
        <f>0.067*6^0.5*T76*EXP(-4.75*0.15/G76/T76)</f>
        <v>8.9095152211837974E-4</v>
      </c>
      <c r="X76">
        <f>0.2*EXP(-2.6*0.15/G76)</f>
        <v>1.0689799337954499E-2</v>
      </c>
      <c r="Y76">
        <f t="shared" si="49"/>
        <v>8.6996173199117949E-5</v>
      </c>
      <c r="AA76" s="230">
        <f t="shared" si="51"/>
        <v>0.10992064461557123</v>
      </c>
      <c r="AB76" s="252">
        <f t="shared" si="52"/>
        <v>1.2557305076441201</v>
      </c>
      <c r="AC76" s="252">
        <v>1.2557305076441201</v>
      </c>
      <c r="AD76" s="252">
        <f t="shared" si="53"/>
        <v>0.70710678118654746</v>
      </c>
      <c r="AE76" s="252">
        <f t="shared" si="54"/>
        <v>-0.89133814507598697</v>
      </c>
      <c r="AF76" s="252">
        <f t="shared" si="55"/>
        <v>5.0036096669877761</v>
      </c>
      <c r="AG76" s="252">
        <f t="shared" si="56"/>
        <v>2.6184647382764128</v>
      </c>
      <c r="AH76" s="252">
        <f t="shared" si="57"/>
        <v>2.3995684247080797</v>
      </c>
      <c r="AI76" s="252">
        <f t="shared" si="58"/>
        <v>2.6395252671788878</v>
      </c>
      <c r="AJ76" s="252">
        <f t="shared" si="59"/>
        <v>1.8543987630946703</v>
      </c>
      <c r="AK76">
        <f t="shared" si="60"/>
        <v>44.999999999999993</v>
      </c>
    </row>
    <row r="77" spans="1:53">
      <c r="A77" s="16" t="s">
        <v>241</v>
      </c>
      <c r="B77" s="6">
        <v>617</v>
      </c>
      <c r="C77" s="17" t="s">
        <v>216</v>
      </c>
      <c r="D77" s="6">
        <v>45</v>
      </c>
      <c r="E77" s="73">
        <v>0</v>
      </c>
      <c r="F77" s="104">
        <v>0.55000000000000004</v>
      </c>
      <c r="G77" s="234">
        <v>0.16195999999999999</v>
      </c>
      <c r="H77" s="77">
        <v>2.1333000000000002</v>
      </c>
      <c r="I77" s="77">
        <v>6.9500000000000006E-2</v>
      </c>
      <c r="J77" s="77"/>
      <c r="K77" s="77"/>
      <c r="L77" s="77"/>
      <c r="M77" s="77"/>
      <c r="N77" s="77"/>
      <c r="O77" s="77"/>
      <c r="P77" s="77"/>
      <c r="Q77" s="77"/>
      <c r="R77" s="14">
        <f t="shared" si="50"/>
        <v>5.872291900839822</v>
      </c>
      <c r="S77">
        <f>2*PI()*G77/9.81/(H77/1.1)^2</f>
        <v>2.7580372831404614E-2</v>
      </c>
      <c r="T77">
        <f t="shared" si="44"/>
        <v>1.0035723406894337</v>
      </c>
      <c r="U77">
        <f>0.15/G77/T77</f>
        <v>0.92285784345085176</v>
      </c>
      <c r="V77">
        <f>0.15/G77</f>
        <v>0.9261546060755742</v>
      </c>
      <c r="W77">
        <f>0.067*6^0.5*T77*EXP(-4.75*0.15/G77/T77)</f>
        <v>2.0555913593315717E-3</v>
      </c>
      <c r="X77">
        <f>0.2*EXP(-2.6*0.15/G77)</f>
        <v>1.7998985419991578E-2</v>
      </c>
      <c r="Y77">
        <f>IF(W77&lt;X77,I77/1000/(9.91*G77^3)^0.5*(S77*6)^0.5," ")</f>
        <v>1.3778819681898262E-4</v>
      </c>
      <c r="AA77" s="230">
        <f t="shared" si="51"/>
        <v>9.3660194228652391E-2</v>
      </c>
      <c r="AB77" s="252">
        <f t="shared" si="52"/>
        <v>1.0699715568091908</v>
      </c>
      <c r="AC77" s="252">
        <v>1.0699715568091908</v>
      </c>
      <c r="AD77" s="252">
        <f t="shared" si="53"/>
        <v>0.70710678118654746</v>
      </c>
      <c r="AE77" s="252">
        <f t="shared" si="54"/>
        <v>-0.97383683690377376</v>
      </c>
      <c r="AF77" s="252">
        <f t="shared" si="55"/>
        <v>5.872291900839822</v>
      </c>
      <c r="AG77" s="252">
        <f t="shared" si="56"/>
        <v>2.2659812092676717</v>
      </c>
      <c r="AH77" s="252">
        <f t="shared" si="57"/>
        <v>2.7728320435676559</v>
      </c>
      <c r="AI77" s="252">
        <f t="shared" si="58"/>
        <v>3.0501152479244218</v>
      </c>
      <c r="AJ77" s="252">
        <f t="shared" si="59"/>
        <v>1.9398216838759244</v>
      </c>
      <c r="AK77">
        <f t="shared" si="60"/>
        <v>45</v>
      </c>
    </row>
    <row r="78" spans="1:53">
      <c r="A78" s="16" t="s">
        <v>241</v>
      </c>
      <c r="B78" s="6">
        <v>617</v>
      </c>
      <c r="C78" s="17" t="s">
        <v>216</v>
      </c>
      <c r="D78" s="6">
        <v>45</v>
      </c>
      <c r="E78" s="73">
        <v>0</v>
      </c>
      <c r="F78" s="104">
        <v>0.55000000000000004</v>
      </c>
      <c r="G78" s="234">
        <v>0.16195999999999999</v>
      </c>
      <c r="H78" s="77">
        <v>2.1333000000000002</v>
      </c>
      <c r="I78" s="77">
        <v>0.1341</v>
      </c>
      <c r="J78" s="77"/>
      <c r="K78" s="77"/>
      <c r="L78" s="77"/>
      <c r="M78" s="77"/>
      <c r="N78" s="77"/>
      <c r="O78" s="77"/>
      <c r="P78" s="77"/>
      <c r="Q78" s="77"/>
      <c r="R78" s="14">
        <f t="shared" si="50"/>
        <v>5.872291900839822</v>
      </c>
      <c r="S78">
        <f>2*PI()*G78/9.81/(H78/1.1)^2</f>
        <v>2.7580372831404614E-2</v>
      </c>
      <c r="T78">
        <f t="shared" si="44"/>
        <v>1.0035723406894337</v>
      </c>
      <c r="U78">
        <f>0.15/G78/T78</f>
        <v>0.92285784345085176</v>
      </c>
      <c r="V78">
        <f>0.15/G78</f>
        <v>0.9261546060755742</v>
      </c>
      <c r="W78">
        <f>0.067*6^0.5*T78*EXP(-4.75*0.15/G78/T78)</f>
        <v>2.0555913593315717E-3</v>
      </c>
      <c r="X78">
        <f>0.2*EXP(-2.6*0.15/G78)</f>
        <v>1.7998985419991578E-2</v>
      </c>
      <c r="Y78">
        <f>IF(W78&lt;X78,I78/1000/(9.91*G78^3)^0.5*(S78*6)^0.5," ")</f>
        <v>2.6586183012123119E-4</v>
      </c>
      <c r="AA78" s="230">
        <f t="shared" si="51"/>
        <v>9.3660194228652391E-2</v>
      </c>
      <c r="AB78" s="252">
        <f t="shared" si="52"/>
        <v>1.0699715568091908</v>
      </c>
      <c r="AC78" s="252">
        <v>1.0699715568091908</v>
      </c>
      <c r="AD78" s="252">
        <f t="shared" si="53"/>
        <v>0.70710678118654746</v>
      </c>
      <c r="AE78" s="252">
        <f t="shared" si="54"/>
        <v>-0.97383683690377376</v>
      </c>
      <c r="AF78" s="252">
        <f t="shared" si="55"/>
        <v>5.872291900839822</v>
      </c>
      <c r="AG78" s="252">
        <f t="shared" si="56"/>
        <v>2.2659812092676717</v>
      </c>
      <c r="AH78" s="252">
        <f t="shared" si="57"/>
        <v>2.7728320435676559</v>
      </c>
      <c r="AI78" s="252">
        <f t="shared" si="58"/>
        <v>3.0501152479244218</v>
      </c>
      <c r="AJ78" s="252">
        <f t="shared" si="59"/>
        <v>1.9398216838759244</v>
      </c>
      <c r="AK78">
        <f t="shared" si="60"/>
        <v>45</v>
      </c>
      <c r="AL78" s="14">
        <v>45</v>
      </c>
    </row>
    <row r="79" spans="1:53" ht="13.5" thickBot="1">
      <c r="AA79" s="230"/>
      <c r="AB79"/>
      <c r="AC79"/>
      <c r="AD79"/>
      <c r="AE79"/>
      <c r="AF79"/>
      <c r="AG79"/>
      <c r="AH79"/>
      <c r="AI79"/>
      <c r="AJ79"/>
      <c r="AK79"/>
    </row>
    <row r="80" spans="1:53">
      <c r="A80" s="88"/>
      <c r="B80" s="11"/>
      <c r="C80" s="89"/>
      <c r="D80" s="11"/>
      <c r="E80" s="11"/>
      <c r="F80" s="100"/>
      <c r="G80" s="90"/>
      <c r="H80" s="91"/>
      <c r="I80" s="39"/>
      <c r="J80" s="39"/>
      <c r="K80" s="39"/>
      <c r="L80" s="39"/>
      <c r="M80" s="39"/>
      <c r="N80" s="39"/>
      <c r="O80" s="39"/>
      <c r="P80" s="39"/>
      <c r="Q80" s="39"/>
      <c r="R80" s="73"/>
      <c r="S80" s="39"/>
      <c r="T80" s="39"/>
      <c r="U80" s="73"/>
      <c r="V80" s="7"/>
      <c r="W80" s="73"/>
      <c r="X80" s="73"/>
      <c r="Y80" s="73"/>
      <c r="Z80" s="39"/>
      <c r="AA80" s="230"/>
      <c r="AB80"/>
      <c r="AC80"/>
      <c r="AD80"/>
      <c r="AE80"/>
      <c r="AF80"/>
      <c r="AG80"/>
      <c r="AH80"/>
      <c r="AI80"/>
      <c r="AJ80"/>
      <c r="AK80"/>
      <c r="AL80" s="73"/>
      <c r="AM80" s="73"/>
      <c r="AN80" s="6"/>
      <c r="AO80" s="6"/>
      <c r="AP80" s="6"/>
      <c r="AQ80" s="1"/>
      <c r="AR80" s="7"/>
      <c r="AS80" s="7"/>
      <c r="AT80" s="7"/>
      <c r="AU80" s="7"/>
      <c r="AV80" s="38"/>
      <c r="AW80" s="38"/>
      <c r="AX80" s="38"/>
      <c r="AY80" s="38"/>
      <c r="AZ80" s="38"/>
      <c r="BA80" s="38"/>
    </row>
    <row r="81" spans="1:63" s="17" customFormat="1">
      <c r="A81" s="92" t="s">
        <v>163</v>
      </c>
      <c r="B81" s="81" t="s">
        <v>3</v>
      </c>
      <c r="C81" s="86" t="s">
        <v>4</v>
      </c>
      <c r="D81" s="81" t="s">
        <v>165</v>
      </c>
      <c r="E81" s="81" t="s">
        <v>2</v>
      </c>
      <c r="F81" s="101" t="s">
        <v>170</v>
      </c>
      <c r="G81" s="39"/>
      <c r="H81" s="73"/>
      <c r="I81" s="73"/>
      <c r="J81" s="73"/>
      <c r="K81" s="73"/>
      <c r="L81" s="73"/>
      <c r="M81" s="73"/>
      <c r="N81" s="73"/>
      <c r="O81" s="73"/>
      <c r="P81" s="73"/>
      <c r="Q81" s="73"/>
      <c r="R81" s="73"/>
      <c r="S81" s="8"/>
      <c r="T81" s="1"/>
      <c r="U81" s="1"/>
      <c r="V81" s="1"/>
      <c r="W81" s="73"/>
      <c r="X81" s="73"/>
      <c r="Y81" s="73"/>
      <c r="Z81" s="87"/>
      <c r="AA81" s="230"/>
      <c r="AB81"/>
      <c r="AC81"/>
      <c r="AD81"/>
      <c r="AE81"/>
      <c r="AF81"/>
      <c r="AG81"/>
      <c r="AH81"/>
      <c r="AI81"/>
      <c r="AJ81"/>
      <c r="AK81"/>
      <c r="AL81" s="73"/>
      <c r="AM81" s="73"/>
      <c r="AR81" s="39"/>
      <c r="AS81" s="7"/>
      <c r="AT81" s="7"/>
      <c r="AU81" s="7"/>
      <c r="AV81" s="41"/>
      <c r="AW81" s="38"/>
      <c r="AX81" s="38"/>
      <c r="AY81" s="38"/>
      <c r="AZ81" s="38"/>
      <c r="BA81" s="38"/>
      <c r="BB81" s="9"/>
    </row>
    <row r="82" spans="1:63" s="17" customFormat="1">
      <c r="A82" s="93" t="s">
        <v>164</v>
      </c>
      <c r="C82" s="18"/>
      <c r="D82" s="10" t="s">
        <v>166</v>
      </c>
      <c r="F82" s="102" t="s">
        <v>171</v>
      </c>
      <c r="G82" s="37" t="s">
        <v>176</v>
      </c>
      <c r="H82" s="73" t="s">
        <v>1</v>
      </c>
      <c r="I82" s="84" t="s">
        <v>283</v>
      </c>
      <c r="J82" s="84"/>
      <c r="K82" s="84"/>
      <c r="L82" s="84"/>
      <c r="M82" s="84"/>
      <c r="N82" s="84"/>
      <c r="O82" s="84"/>
      <c r="P82" s="84"/>
      <c r="Q82" s="84"/>
      <c r="R82" s="197" t="s">
        <v>284</v>
      </c>
      <c r="S82" t="s">
        <v>202</v>
      </c>
      <c r="T82" s="70" t="s">
        <v>203</v>
      </c>
      <c r="U82" s="6" t="s">
        <v>204</v>
      </c>
      <c r="V82" s="6" t="s">
        <v>205</v>
      </c>
      <c r="W82" s="6" t="s">
        <v>206</v>
      </c>
      <c r="X82" s="6" t="s">
        <v>207</v>
      </c>
      <c r="Y82" s="6" t="s">
        <v>208</v>
      </c>
      <c r="Z82" s="37"/>
      <c r="AA82" s="230"/>
      <c r="AB82"/>
      <c r="AC82"/>
      <c r="AD82"/>
      <c r="AE82"/>
      <c r="AF82"/>
      <c r="AG82"/>
      <c r="AH82"/>
      <c r="AI82"/>
      <c r="AJ82"/>
      <c r="AK82"/>
      <c r="AL82" s="73"/>
      <c r="AM82" s="73"/>
      <c r="AR82" s="36"/>
      <c r="AS82" s="36"/>
      <c r="AT82" s="36"/>
      <c r="AU82" s="36"/>
      <c r="AV82" s="75"/>
      <c r="AW82" s="75"/>
      <c r="AX82" s="77"/>
      <c r="AY82" s="75"/>
      <c r="AZ82" s="75"/>
      <c r="BA82" s="77"/>
      <c r="BB82" s="7"/>
      <c r="BC82" s="7"/>
      <c r="BD82" s="7"/>
      <c r="BE82" s="7"/>
    </row>
    <row r="83" spans="1:63" s="200" customFormat="1">
      <c r="A83" s="201" t="s">
        <v>225</v>
      </c>
      <c r="B83" s="202">
        <v>467</v>
      </c>
      <c r="C83" s="202" t="s">
        <v>48</v>
      </c>
      <c r="D83" s="203" t="s">
        <v>249</v>
      </c>
      <c r="E83" s="204">
        <v>0.15</v>
      </c>
      <c r="F83" s="205">
        <v>0.55000000000000004</v>
      </c>
      <c r="G83" s="206">
        <v>8.3696999999999994E-2</v>
      </c>
      <c r="H83" s="204">
        <v>1.6</v>
      </c>
      <c r="I83" s="207">
        <v>1.2</v>
      </c>
      <c r="J83" s="235">
        <v>8.3696999999999994E-2</v>
      </c>
      <c r="K83" s="241">
        <v>1.6</v>
      </c>
      <c r="L83" s="235">
        <v>8.3793000000000006E-2</v>
      </c>
      <c r="M83" s="241">
        <v>1.6</v>
      </c>
      <c r="N83" s="240">
        <v>0</v>
      </c>
      <c r="O83" s="240">
        <v>0</v>
      </c>
      <c r="P83" s="240">
        <v>1.2</v>
      </c>
      <c r="Q83" s="241">
        <v>1.2354000000000001</v>
      </c>
      <c r="R83" s="14">
        <f>9.81/2/PI()*(H83/1.1)^2</f>
        <v>3.303267420522829</v>
      </c>
      <c r="S83">
        <f>2*PI()*G83/9.81/(H83/1.1)^2</f>
        <v>2.5337639780539697E-2</v>
      </c>
      <c r="T83">
        <f>1/6/S83^0.5</f>
        <v>1.0470457801549014</v>
      </c>
      <c r="U83">
        <f>0.05/G83/T83</f>
        <v>0.57055096192621368</v>
      </c>
      <c r="V83">
        <f>0.05/G83</f>
        <v>0.59739297704816186</v>
      </c>
      <c r="W83">
        <f>0.067*6^0.5*T83*EXP(-4.75*0.05/G83/T83)</f>
        <v>1.1432131471462079E-2</v>
      </c>
      <c r="X83">
        <f>0.2*EXP(-2.6*0.05/G83)</f>
        <v>4.23130532628401E-2</v>
      </c>
      <c r="Y83">
        <f>IF(W83&lt;X83,I83/1000/(9.91*G83^3)^0.5*(S83*6)^0.5," ")</f>
        <v>6.1381611395739406E-3</v>
      </c>
      <c r="Z83" s="206"/>
      <c r="AA83" s="230">
        <f t="shared" si="51"/>
        <v>0.16650180865857603</v>
      </c>
      <c r="AB83">
        <f t="shared" si="52"/>
        <v>1.9021122141498028</v>
      </c>
      <c r="AC83">
        <v>2.3177483380777746</v>
      </c>
      <c r="AD83">
        <f t="shared" si="53"/>
        <v>0</v>
      </c>
      <c r="AE83">
        <f t="shared" si="54"/>
        <v>4.9471778407195188E-7</v>
      </c>
      <c r="AF83">
        <f t="shared" si="55"/>
        <v>2.710900577062024</v>
      </c>
      <c r="AG83">
        <f t="shared" si="56"/>
        <v>4.3196903934037492</v>
      </c>
      <c r="AH83">
        <f t="shared" si="57"/>
        <v>1.4545452879618714</v>
      </c>
      <c r="AI83" s="253">
        <f t="shared" si="58"/>
        <v>1.5999998167580587</v>
      </c>
      <c r="AJ83">
        <f t="shared" si="59"/>
        <v>1.3615086034273671</v>
      </c>
      <c r="AK83">
        <f t="shared" si="60"/>
        <v>6.287030130325153</v>
      </c>
      <c r="AL83" s="73"/>
      <c r="AM83" s="73"/>
      <c r="AN83" s="17"/>
      <c r="AO83" s="17"/>
      <c r="AP83" s="17"/>
      <c r="AR83" s="207"/>
      <c r="AS83" s="207"/>
      <c r="AT83" s="207"/>
      <c r="AU83" s="208"/>
      <c r="AV83" s="208"/>
      <c r="AW83" s="208"/>
      <c r="AX83" s="207"/>
      <c r="AY83" s="208"/>
      <c r="AZ83" s="208"/>
      <c r="BA83" s="208"/>
      <c r="BB83" s="207"/>
      <c r="BC83" s="207"/>
      <c r="BD83" s="207"/>
      <c r="BE83" s="207"/>
    </row>
    <row r="84" spans="1:63" s="17" customFormat="1">
      <c r="A84" s="16" t="s">
        <v>225</v>
      </c>
      <c r="B84" s="6">
        <v>468</v>
      </c>
      <c r="C84" s="6" t="s">
        <v>49</v>
      </c>
      <c r="D84" s="72" t="s">
        <v>249</v>
      </c>
      <c r="E84" s="73">
        <v>0.15</v>
      </c>
      <c r="F84" s="104">
        <v>0.55000000000000004</v>
      </c>
      <c r="G84" s="79">
        <v>8.0249000000000001E-2</v>
      </c>
      <c r="H84" s="73">
        <v>1.1636</v>
      </c>
      <c r="I84" s="77">
        <v>0.19339999999999999</v>
      </c>
      <c r="J84" s="232">
        <v>8.0249000000000001E-2</v>
      </c>
      <c r="K84" s="36">
        <v>1.1636</v>
      </c>
      <c r="L84" s="232">
        <v>8.4529000000000007E-2</v>
      </c>
      <c r="M84" s="36">
        <v>1.1636</v>
      </c>
      <c r="N84" s="7">
        <v>0</v>
      </c>
      <c r="O84" s="7">
        <v>0</v>
      </c>
      <c r="P84" s="7">
        <v>0.19339999999999999</v>
      </c>
      <c r="Q84" s="36">
        <v>0.2571</v>
      </c>
      <c r="R84" s="14">
        <f t="shared" ref="R84:R143" si="61">9.81/2/PI()*(H84/1.1)^2</f>
        <v>1.747073570663084</v>
      </c>
      <c r="S84">
        <f t="shared" ref="S84:S143" si="62">2*PI()*G84/9.81/(H84/1.1)^2</f>
        <v>4.5933383314557444E-2</v>
      </c>
      <c r="T84">
        <f t="shared" ref="T84:T143" si="63">1/6/S84^0.5</f>
        <v>0.77765063669068546</v>
      </c>
      <c r="U84">
        <f t="shared" ref="U84:U143" si="64">0.05/G84/T84</f>
        <v>0.8012090443975779</v>
      </c>
      <c r="V84">
        <f t="shared" ref="V84:V143" si="65">0.05/G84</f>
        <v>0.62306072349811215</v>
      </c>
      <c r="W84">
        <f t="shared" ref="W84:W143" si="66">0.067*6^0.5*T84*EXP(-4.75*0.05/G84/T84)</f>
        <v>2.8387149982119194E-3</v>
      </c>
      <c r="X84">
        <f t="shared" ref="X84:X143" si="67">0.2*EXP(-2.6*0.05/G84)</f>
        <v>3.9581406907128337E-2</v>
      </c>
      <c r="Y84">
        <f t="shared" ref="Y84:Y143" si="68">IF(W84&lt;X84,I84/1000/(9.91*G84^3)^0.5*(S84*6)^0.5," ")</f>
        <v>1.4187309447872653E-3</v>
      </c>
      <c r="Z84" s="79"/>
      <c r="AA84" s="230">
        <f t="shared" si="51"/>
        <v>0.31481215744752705</v>
      </c>
      <c r="AB84">
        <f t="shared" si="52"/>
        <v>3.5964056767196513</v>
      </c>
      <c r="AC84">
        <v>3.7667015665124755</v>
      </c>
      <c r="AD84">
        <f t="shared" si="53"/>
        <v>0</v>
      </c>
      <c r="AE84">
        <f t="shared" si="54"/>
        <v>2.3591525977195715E-7</v>
      </c>
      <c r="AF84">
        <f t="shared" si="55"/>
        <v>1.6680868383733092</v>
      </c>
      <c r="AG84">
        <f t="shared" si="56"/>
        <v>5.939759464084343</v>
      </c>
      <c r="AH84">
        <f t="shared" si="57"/>
        <v>1.0578181398037783</v>
      </c>
      <c r="AI84" s="253">
        <f t="shared" si="58"/>
        <v>1.1635999537841561</v>
      </c>
      <c r="AJ84">
        <f t="shared" si="59"/>
        <v>0.9259059545965862</v>
      </c>
      <c r="AK84">
        <f t="shared" si="60"/>
        <v>9.2021682543025456</v>
      </c>
      <c r="AL84" s="73"/>
      <c r="AM84" s="73"/>
      <c r="AR84" s="37"/>
      <c r="AS84" s="37"/>
      <c r="AT84" s="37"/>
      <c r="AU84" s="37"/>
      <c r="AV84" s="37"/>
      <c r="AW84" s="37"/>
      <c r="AX84" s="77"/>
      <c r="AY84" s="37"/>
      <c r="AZ84" s="37"/>
      <c r="BA84" s="37"/>
      <c r="BB84" s="77"/>
      <c r="BC84" s="77"/>
      <c r="BD84" s="77"/>
      <c r="BE84" s="77"/>
    </row>
    <row r="85" spans="1:63" s="17" customFormat="1">
      <c r="A85" s="16" t="s">
        <v>225</v>
      </c>
      <c r="B85" s="6">
        <v>469</v>
      </c>
      <c r="C85" s="6" t="s">
        <v>47</v>
      </c>
      <c r="D85" s="72" t="s">
        <v>249</v>
      </c>
      <c r="E85" s="73">
        <v>0.15</v>
      </c>
      <c r="F85" s="104">
        <v>0.55000000000000004</v>
      </c>
      <c r="G85" s="79">
        <v>0.11914</v>
      </c>
      <c r="H85" s="73">
        <v>1.9692000000000001</v>
      </c>
      <c r="I85" s="77">
        <v>3.5754999999999999</v>
      </c>
      <c r="J85" s="232">
        <v>0.11914</v>
      </c>
      <c r="K85" s="7">
        <v>1.9692000000000001</v>
      </c>
      <c r="L85" s="232">
        <v>0.11552</v>
      </c>
      <c r="M85" s="7">
        <v>1.9692000000000001</v>
      </c>
      <c r="N85" s="7">
        <v>4.4600000000000001E-2</v>
      </c>
      <c r="O85" s="7">
        <v>5.2900000000000003E-2</v>
      </c>
      <c r="P85" s="7">
        <v>3.5754999999999999</v>
      </c>
      <c r="Q85" s="7">
        <v>3.4314</v>
      </c>
      <c r="R85" s="14">
        <f t="shared" si="61"/>
        <v>5.0036096669877761</v>
      </c>
      <c r="S85">
        <f t="shared" si="62"/>
        <v>2.3810810180907555E-2</v>
      </c>
      <c r="T85">
        <f t="shared" si="63"/>
        <v>1.080094272679083</v>
      </c>
      <c r="U85">
        <f t="shared" si="64"/>
        <v>0.3885534284677245</v>
      </c>
      <c r="V85">
        <f t="shared" si="65"/>
        <v>0.41967433271781102</v>
      </c>
      <c r="W85">
        <f t="shared" si="66"/>
        <v>2.7994047425491244E-2</v>
      </c>
      <c r="X85">
        <f t="shared" si="67"/>
        <v>6.7165794094256132E-2</v>
      </c>
      <c r="Y85">
        <f t="shared" si="68"/>
        <v>1.0439417658373336E-2</v>
      </c>
      <c r="Z85" s="79"/>
      <c r="AA85" s="230">
        <f t="shared" si="51"/>
        <v>0.10992064461557123</v>
      </c>
      <c r="AB85">
        <f t="shared" si="52"/>
        <v>1.2557305076441201</v>
      </c>
      <c r="AC85">
        <v>1.7708272606653537</v>
      </c>
      <c r="AD85">
        <f t="shared" si="53"/>
        <v>0</v>
      </c>
      <c r="AE85">
        <f t="shared" si="54"/>
        <v>4.9888287190213987E-7</v>
      </c>
      <c r="AF85">
        <f t="shared" si="55"/>
        <v>3.548163870494518</v>
      </c>
      <c r="AG85">
        <f t="shared" si="56"/>
        <v>3.5098033822352717</v>
      </c>
      <c r="AH85">
        <f t="shared" si="57"/>
        <v>1.7901815637256706</v>
      </c>
      <c r="AI85" s="253">
        <f t="shared" si="58"/>
        <v>1.9691997200982378</v>
      </c>
      <c r="AJ85">
        <f t="shared" si="59"/>
        <v>1.6061659568898647</v>
      </c>
      <c r="AK85">
        <f t="shared" si="60"/>
        <v>5.3353832906853311</v>
      </c>
      <c r="AL85" s="73"/>
      <c r="AM85" s="73"/>
      <c r="AR85" s="77"/>
      <c r="AS85" s="77"/>
      <c r="AT85" s="77"/>
      <c r="AU85" s="77"/>
      <c r="AV85" s="77"/>
      <c r="AW85" s="77"/>
      <c r="AX85" s="77"/>
      <c r="AY85" s="77"/>
      <c r="AZ85" s="77"/>
      <c r="BA85" s="77"/>
      <c r="BB85" s="77"/>
      <c r="BC85" s="77"/>
      <c r="BD85" s="77"/>
      <c r="BE85" s="77"/>
    </row>
    <row r="86" spans="1:63" s="17" customFormat="1">
      <c r="A86" s="16" t="s">
        <v>225</v>
      </c>
      <c r="B86" s="6">
        <v>470</v>
      </c>
      <c r="C86" s="6" t="s">
        <v>50</v>
      </c>
      <c r="D86" s="72" t="s">
        <v>249</v>
      </c>
      <c r="E86" s="73">
        <v>0.15</v>
      </c>
      <c r="F86" s="104">
        <v>0.55000000000000004</v>
      </c>
      <c r="G86" s="79">
        <v>0.10396</v>
      </c>
      <c r="H86" s="73">
        <v>1.3473999999999999</v>
      </c>
      <c r="I86" s="77">
        <v>1.3166</v>
      </c>
      <c r="J86" s="232">
        <v>0.10396</v>
      </c>
      <c r="K86" s="7">
        <v>1.3473999999999999</v>
      </c>
      <c r="L86" s="232">
        <v>0.11332</v>
      </c>
      <c r="M86" s="7">
        <v>1.3473999999999999</v>
      </c>
      <c r="N86" s="7">
        <v>0</v>
      </c>
      <c r="O86" s="7">
        <v>0</v>
      </c>
      <c r="P86" s="7">
        <v>1.3166</v>
      </c>
      <c r="Q86" s="36">
        <v>1.4644999999999999</v>
      </c>
      <c r="R86" s="14">
        <f t="shared" si="61"/>
        <v>2.3425930729291196</v>
      </c>
      <c r="S86">
        <f t="shared" si="62"/>
        <v>4.4378172718666425E-2</v>
      </c>
      <c r="T86">
        <f t="shared" si="63"/>
        <v>0.79115948951948967</v>
      </c>
      <c r="U86">
        <f t="shared" si="64"/>
        <v>0.60791056611229499</v>
      </c>
      <c r="V86">
        <f t="shared" si="65"/>
        <v>0.4809542131589073</v>
      </c>
      <c r="W86">
        <f t="shared" si="66"/>
        <v>7.2336334635343157E-3</v>
      </c>
      <c r="X86">
        <f t="shared" si="67"/>
        <v>5.7273406860489366E-2</v>
      </c>
      <c r="Y86">
        <f t="shared" si="68"/>
        <v>6.4383999377814402E-3</v>
      </c>
      <c r="Z86" s="79"/>
      <c r="AA86" s="230">
        <f t="shared" si="51"/>
        <v>0.23478256055469926</v>
      </c>
      <c r="AB86">
        <f t="shared" si="52"/>
        <v>2.6821496997441594</v>
      </c>
      <c r="AC86">
        <v>2.9717150573049369</v>
      </c>
      <c r="AD86">
        <f t="shared" si="53"/>
        <v>0</v>
      </c>
      <c r="AE86">
        <f t="shared" si="54"/>
        <v>3.8743203045754626E-7</v>
      </c>
      <c r="AF86">
        <f t="shared" si="55"/>
        <v>2.1143296668819378</v>
      </c>
      <c r="AG86">
        <f t="shared" si="56"/>
        <v>5.1295119191950898</v>
      </c>
      <c r="AH86">
        <f t="shared" si="57"/>
        <v>1.2249089983917083</v>
      </c>
      <c r="AI86" s="253">
        <f t="shared" si="58"/>
        <v>1.3473998982308792</v>
      </c>
      <c r="AJ86">
        <f t="shared" si="59"/>
        <v>1.1264567121974149</v>
      </c>
      <c r="AK86">
        <f t="shared" si="60"/>
        <v>7.5849365377748841</v>
      </c>
      <c r="AL86" s="73"/>
      <c r="AM86" s="73"/>
      <c r="AR86" s="37"/>
      <c r="AS86" s="37"/>
      <c r="AT86" s="37"/>
      <c r="AU86" s="37"/>
      <c r="AV86" s="37"/>
      <c r="AW86" s="37"/>
      <c r="AX86" s="77"/>
      <c r="AY86" s="37"/>
      <c r="AZ86" s="37"/>
      <c r="BA86" s="37"/>
      <c r="BB86" s="77"/>
      <c r="BC86" s="77"/>
      <c r="BD86" s="77"/>
      <c r="BE86" s="77"/>
    </row>
    <row r="87" spans="1:63" s="17" customFormat="1">
      <c r="A87" s="16" t="s">
        <v>225</v>
      </c>
      <c r="B87" s="6">
        <v>471</v>
      </c>
      <c r="C87" s="6" t="s">
        <v>51</v>
      </c>
      <c r="D87" s="72" t="s">
        <v>249</v>
      </c>
      <c r="E87" s="73">
        <v>0.15</v>
      </c>
      <c r="F87" s="104">
        <v>0.55000000000000004</v>
      </c>
      <c r="G87" s="79">
        <v>0.15454000000000001</v>
      </c>
      <c r="H87" s="73">
        <v>2.1333000000000002</v>
      </c>
      <c r="I87" s="77">
        <v>7.8643000000000001</v>
      </c>
      <c r="J87" s="232">
        <v>0.15454000000000001</v>
      </c>
      <c r="K87" s="7">
        <v>2.1333000000000002</v>
      </c>
      <c r="L87" s="232">
        <v>0.14879999999999999</v>
      </c>
      <c r="M87" s="7">
        <v>2.1333000000000002</v>
      </c>
      <c r="N87" s="7">
        <v>0.20349999999999999</v>
      </c>
      <c r="O87" s="7">
        <v>0.32279999999999998</v>
      </c>
      <c r="P87" s="7">
        <v>7.8643000000000001</v>
      </c>
      <c r="Q87" s="36">
        <v>7.5151000000000003</v>
      </c>
      <c r="R87" s="14">
        <f t="shared" si="61"/>
        <v>5.872291900839822</v>
      </c>
      <c r="S87">
        <f t="shared" si="62"/>
        <v>2.6316811665628985E-2</v>
      </c>
      <c r="T87">
        <f t="shared" si="63"/>
        <v>1.0273823805640447</v>
      </c>
      <c r="U87">
        <f t="shared" si="64"/>
        <v>0.31491763628964126</v>
      </c>
      <c r="V87">
        <f t="shared" si="65"/>
        <v>0.32354083085285362</v>
      </c>
      <c r="W87">
        <f t="shared" si="66"/>
        <v>3.7778032050300142E-2</v>
      </c>
      <c r="X87">
        <f t="shared" si="67"/>
        <v>8.6238025055028811E-2</v>
      </c>
      <c r="Y87">
        <f t="shared" si="68"/>
        <v>1.6340078722632982E-2</v>
      </c>
      <c r="Z87" s="79"/>
      <c r="AA87" s="230">
        <f t="shared" si="51"/>
        <v>9.3660194228652391E-2</v>
      </c>
      <c r="AB87">
        <f t="shared" si="52"/>
        <v>1.0699715568091908</v>
      </c>
      <c r="AC87">
        <v>1.6067552612805538</v>
      </c>
      <c r="AD87">
        <f t="shared" si="53"/>
        <v>0</v>
      </c>
      <c r="AE87">
        <f t="shared" si="54"/>
        <v>3.3788704811854586E-7</v>
      </c>
      <c r="AF87">
        <f t="shared" si="55"/>
        <v>3.9104806180450939</v>
      </c>
      <c r="AG87">
        <f t="shared" si="56"/>
        <v>3.2398183840584935</v>
      </c>
      <c r="AH87">
        <f t="shared" si="57"/>
        <v>1.9393634341035784</v>
      </c>
      <c r="AI87" s="253">
        <f t="shared" si="58"/>
        <v>2.1332997775139364</v>
      </c>
      <c r="AJ87">
        <f t="shared" si="59"/>
        <v>1.6851136612802857</v>
      </c>
      <c r="AK87">
        <f t="shared" si="60"/>
        <v>5.0867635282665953</v>
      </c>
      <c r="AL87" s="73"/>
      <c r="AM87" s="73"/>
      <c r="AR87" s="37"/>
      <c r="AS87" s="37"/>
      <c r="AT87" s="37"/>
      <c r="AU87" s="37"/>
      <c r="AV87" s="37"/>
      <c r="AW87" s="37"/>
      <c r="AX87" s="77"/>
      <c r="AY87" s="37"/>
      <c r="AZ87" s="37"/>
      <c r="BA87" s="37"/>
      <c r="BB87" s="77"/>
      <c r="BC87" s="77"/>
      <c r="BD87" s="77"/>
      <c r="BE87" s="77"/>
    </row>
    <row r="88" spans="1:63" s="17" customFormat="1" ht="13.5" thickBot="1">
      <c r="A88" s="115" t="s">
        <v>225</v>
      </c>
      <c r="B88" s="116">
        <v>472</v>
      </c>
      <c r="C88" s="116" t="s">
        <v>52</v>
      </c>
      <c r="D88" s="117" t="s">
        <v>249</v>
      </c>
      <c r="E88" s="118">
        <v>0.15</v>
      </c>
      <c r="F88" s="120">
        <v>0.55000000000000004</v>
      </c>
      <c r="G88" s="122">
        <v>0.13497000000000001</v>
      </c>
      <c r="H88" s="118">
        <v>1.5059</v>
      </c>
      <c r="I88" s="126">
        <v>3.601</v>
      </c>
      <c r="J88" s="233">
        <v>0.13497000000000001</v>
      </c>
      <c r="K88" s="228">
        <v>1.5059</v>
      </c>
      <c r="L88" s="233">
        <v>0.13865</v>
      </c>
      <c r="M88" s="228">
        <v>1.5059</v>
      </c>
      <c r="N88" s="228">
        <v>3.4799999999999998E-2</v>
      </c>
      <c r="O88" s="228">
        <v>3.7199999999999997E-2</v>
      </c>
      <c r="P88" s="228">
        <v>3.601</v>
      </c>
      <c r="Q88" s="45">
        <v>3.5102000000000002</v>
      </c>
      <c r="R88" s="14">
        <f t="shared" si="61"/>
        <v>2.9261462954134876</v>
      </c>
      <c r="S88">
        <f t="shared" si="62"/>
        <v>4.6125513345506776E-2</v>
      </c>
      <c r="T88">
        <f t="shared" si="63"/>
        <v>0.77602934359147435</v>
      </c>
      <c r="U88">
        <f t="shared" si="64"/>
        <v>0.47736944002222825</v>
      </c>
      <c r="V88">
        <f t="shared" si="65"/>
        <v>0.37045269319107949</v>
      </c>
      <c r="W88">
        <f t="shared" si="66"/>
        <v>1.3190575117152287E-2</v>
      </c>
      <c r="X88">
        <f t="shared" si="67"/>
        <v>7.6335672937389479E-2</v>
      </c>
      <c r="Y88">
        <f t="shared" si="68"/>
        <v>1.2136030347735293E-2</v>
      </c>
      <c r="Z88" s="79"/>
      <c r="AA88" s="230">
        <f t="shared" si="51"/>
        <v>0.18796052708030467</v>
      </c>
      <c r="AB88">
        <f t="shared" si="52"/>
        <v>2.1472560401467291</v>
      </c>
      <c r="AC88">
        <v>2.5221484141056987</v>
      </c>
      <c r="AD88">
        <f t="shared" si="53"/>
        <v>0</v>
      </c>
      <c r="AE88">
        <f t="shared" si="54"/>
        <v>2.148980327021377E-7</v>
      </c>
      <c r="AF88">
        <f t="shared" si="55"/>
        <v>2.4912036389450432</v>
      </c>
      <c r="AG88">
        <f t="shared" si="56"/>
        <v>4.589616947680784</v>
      </c>
      <c r="AH88">
        <f t="shared" si="57"/>
        <v>1.3689999358997906</v>
      </c>
      <c r="AI88" s="253">
        <f t="shared" si="58"/>
        <v>1.5058999294897699</v>
      </c>
      <c r="AJ88">
        <f t="shared" si="59"/>
        <v>1.280739516376886</v>
      </c>
      <c r="AK88">
        <f t="shared" si="60"/>
        <v>6.6800396424337292</v>
      </c>
      <c r="AL88" s="73"/>
      <c r="AM88" s="73"/>
      <c r="AR88" s="37"/>
      <c r="AS88" s="37"/>
      <c r="AT88" s="37"/>
      <c r="AU88" s="37"/>
      <c r="AV88" s="37"/>
      <c r="AW88" s="37"/>
      <c r="AX88" s="77"/>
      <c r="AY88" s="37"/>
      <c r="AZ88" s="37"/>
      <c r="BA88" s="37"/>
      <c r="BB88" s="77"/>
      <c r="BC88" s="77"/>
      <c r="BD88" s="77"/>
      <c r="BE88" s="77"/>
    </row>
    <row r="89" spans="1:63" s="17" customFormat="1">
      <c r="A89" s="16"/>
      <c r="B89" s="6"/>
      <c r="C89" s="6"/>
      <c r="D89" s="72" t="s">
        <v>249</v>
      </c>
      <c r="E89" s="73">
        <v>0.15</v>
      </c>
      <c r="F89" s="104">
        <v>0.55000000000000004</v>
      </c>
      <c r="G89" s="79">
        <v>8.3696999999999994E-2</v>
      </c>
      <c r="H89" s="73">
        <v>1.6</v>
      </c>
      <c r="I89" s="37">
        <v>1.2354000000000001</v>
      </c>
      <c r="J89" s="37"/>
      <c r="K89" s="37"/>
      <c r="L89" s="37"/>
      <c r="M89" s="37"/>
      <c r="N89" s="37"/>
      <c r="O89" s="37"/>
      <c r="P89" s="37"/>
      <c r="Q89" s="37"/>
      <c r="R89" s="14">
        <f t="shared" si="61"/>
        <v>3.303267420522829</v>
      </c>
      <c r="S89">
        <f t="shared" si="62"/>
        <v>2.5337639780539697E-2</v>
      </c>
      <c r="T89">
        <f t="shared" si="63"/>
        <v>1.0470457801549014</v>
      </c>
      <c r="U89">
        <f t="shared" si="64"/>
        <v>0.57055096192621368</v>
      </c>
      <c r="V89">
        <f t="shared" si="65"/>
        <v>0.59739297704816186</v>
      </c>
      <c r="W89">
        <f t="shared" si="66"/>
        <v>1.1432131471462079E-2</v>
      </c>
      <c r="X89">
        <f t="shared" si="67"/>
        <v>4.23130532628401E-2</v>
      </c>
      <c r="Y89">
        <f t="shared" si="68"/>
        <v>6.3192368931913731E-3</v>
      </c>
      <c r="Z89" s="79"/>
      <c r="AA89" s="230">
        <f t="shared" si="51"/>
        <v>0.16650180865857603</v>
      </c>
      <c r="AB89">
        <f t="shared" si="52"/>
        <v>1.9021122141498028</v>
      </c>
      <c r="AC89">
        <v>2.3177483380777746</v>
      </c>
      <c r="AD89">
        <f t="shared" si="53"/>
        <v>0</v>
      </c>
      <c r="AE89">
        <f t="shared" si="54"/>
        <v>4.9471778407195188E-7</v>
      </c>
      <c r="AF89">
        <f t="shared" si="55"/>
        <v>2.710900577062024</v>
      </c>
      <c r="AG89">
        <f t="shared" si="56"/>
        <v>4.3196903934037492</v>
      </c>
      <c r="AH89">
        <f t="shared" si="57"/>
        <v>1.4545452879618714</v>
      </c>
      <c r="AI89" s="253">
        <f t="shared" si="58"/>
        <v>1.5999998167580587</v>
      </c>
      <c r="AJ89">
        <f t="shared" si="59"/>
        <v>1.3615086034273671</v>
      </c>
      <c r="AK89">
        <f t="shared" si="60"/>
        <v>6.287030130325153</v>
      </c>
      <c r="AL89" s="73"/>
      <c r="AM89" s="73"/>
      <c r="AR89" s="37"/>
      <c r="AS89" s="37"/>
      <c r="AT89" s="37"/>
      <c r="AU89" s="37"/>
      <c r="AV89" s="37"/>
      <c r="AW89" s="37"/>
      <c r="AX89" s="77"/>
      <c r="AY89" s="37"/>
      <c r="AZ89" s="37"/>
      <c r="BA89" s="37"/>
      <c r="BB89" s="84"/>
      <c r="BC89" s="77"/>
      <c r="BD89" s="77"/>
      <c r="BE89" s="77"/>
    </row>
    <row r="90" spans="1:63" s="17" customFormat="1">
      <c r="A90" s="16"/>
      <c r="B90" s="6"/>
      <c r="C90" s="6"/>
      <c r="D90" s="117" t="s">
        <v>249</v>
      </c>
      <c r="E90" s="118">
        <v>0.15</v>
      </c>
      <c r="F90" s="120">
        <v>0.55000000000000004</v>
      </c>
      <c r="G90" s="79">
        <v>8.0249000000000001E-2</v>
      </c>
      <c r="H90" s="73">
        <v>1.1636</v>
      </c>
      <c r="I90" s="37">
        <v>0.2571</v>
      </c>
      <c r="J90" s="37"/>
      <c r="K90" s="37"/>
      <c r="L90" s="37"/>
      <c r="M90" s="37"/>
      <c r="N90" s="37"/>
      <c r="O90" s="37"/>
      <c r="P90" s="37"/>
      <c r="Q90" s="37"/>
      <c r="R90" s="14">
        <f t="shared" si="61"/>
        <v>1.747073570663084</v>
      </c>
      <c r="S90">
        <f t="shared" si="62"/>
        <v>4.5933383314557444E-2</v>
      </c>
      <c r="T90">
        <f t="shared" si="63"/>
        <v>0.77765063669068546</v>
      </c>
      <c r="U90">
        <f t="shared" si="64"/>
        <v>0.8012090443975779</v>
      </c>
      <c r="V90">
        <f t="shared" si="65"/>
        <v>0.62306072349811215</v>
      </c>
      <c r="W90">
        <f t="shared" si="66"/>
        <v>2.8387149982119194E-3</v>
      </c>
      <c r="X90">
        <f t="shared" si="67"/>
        <v>3.9581406907128337E-2</v>
      </c>
      <c r="Y90">
        <f t="shared" si="68"/>
        <v>1.8860171970258839E-3</v>
      </c>
      <c r="Z90" s="79"/>
      <c r="AA90" s="230">
        <f t="shared" si="51"/>
        <v>0.31481215744752705</v>
      </c>
      <c r="AB90">
        <f t="shared" si="52"/>
        <v>3.5964056767196513</v>
      </c>
      <c r="AC90">
        <v>3.7667015665124755</v>
      </c>
      <c r="AD90">
        <f t="shared" si="53"/>
        <v>0</v>
      </c>
      <c r="AE90">
        <f t="shared" si="54"/>
        <v>2.3591525977195715E-7</v>
      </c>
      <c r="AF90">
        <f t="shared" si="55"/>
        <v>1.6680868383733092</v>
      </c>
      <c r="AG90">
        <f t="shared" si="56"/>
        <v>5.939759464084343</v>
      </c>
      <c r="AH90">
        <f t="shared" si="57"/>
        <v>1.0578181398037783</v>
      </c>
      <c r="AI90" s="253">
        <f t="shared" si="58"/>
        <v>1.1635999537841561</v>
      </c>
      <c r="AJ90">
        <f t="shared" si="59"/>
        <v>0.9259059545965862</v>
      </c>
      <c r="AK90">
        <f t="shared" si="60"/>
        <v>9.2021682543025456</v>
      </c>
      <c r="AL90" s="73"/>
      <c r="AM90" s="73"/>
      <c r="AR90" s="37"/>
      <c r="AS90" s="37"/>
      <c r="AT90" s="37"/>
      <c r="AU90" s="37"/>
      <c r="AV90" s="37"/>
      <c r="AW90" s="37"/>
      <c r="AX90" s="77"/>
      <c r="AY90" s="37"/>
      <c r="AZ90" s="37"/>
      <c r="BA90" s="37"/>
      <c r="BB90" s="84"/>
      <c r="BC90" s="77"/>
      <c r="BD90" s="77"/>
      <c r="BE90" s="77"/>
    </row>
    <row r="91" spans="1:63" s="147" customFormat="1">
      <c r="A91" s="115"/>
      <c r="B91" s="116"/>
      <c r="C91" s="116"/>
      <c r="D91" s="72" t="s">
        <v>249</v>
      </c>
      <c r="E91" s="73">
        <v>0.15</v>
      </c>
      <c r="F91" s="104">
        <v>0.55000000000000004</v>
      </c>
      <c r="G91" s="79">
        <v>0.11914</v>
      </c>
      <c r="H91" s="73">
        <v>1.9692000000000001</v>
      </c>
      <c r="I91" s="77">
        <v>3.4314</v>
      </c>
      <c r="J91" s="77"/>
      <c r="K91" s="77"/>
      <c r="L91" s="77"/>
      <c r="M91" s="77"/>
      <c r="N91" s="77"/>
      <c r="O91" s="77"/>
      <c r="P91" s="77"/>
      <c r="Q91" s="77"/>
      <c r="R91" s="14">
        <f t="shared" si="61"/>
        <v>5.0036096669877761</v>
      </c>
      <c r="S91">
        <f t="shared" si="62"/>
        <v>2.3810810180907555E-2</v>
      </c>
      <c r="T91">
        <f t="shared" si="63"/>
        <v>1.080094272679083</v>
      </c>
      <c r="U91">
        <f t="shared" si="64"/>
        <v>0.3885534284677245</v>
      </c>
      <c r="V91">
        <f t="shared" si="65"/>
        <v>0.41967433271781102</v>
      </c>
      <c r="W91">
        <f t="shared" si="66"/>
        <v>2.7994047425491244E-2</v>
      </c>
      <c r="X91">
        <f t="shared" si="67"/>
        <v>6.7165794094256132E-2</v>
      </c>
      <c r="Y91">
        <f t="shared" si="68"/>
        <v>1.0018687666883587E-2</v>
      </c>
      <c r="Z91" s="79"/>
      <c r="AA91" s="230">
        <f t="shared" si="51"/>
        <v>0.10992064461557123</v>
      </c>
      <c r="AB91">
        <f t="shared" si="52"/>
        <v>1.2557305076441201</v>
      </c>
      <c r="AC91">
        <v>1.7708272606653537</v>
      </c>
      <c r="AD91">
        <f t="shared" si="53"/>
        <v>0</v>
      </c>
      <c r="AE91">
        <f t="shared" si="54"/>
        <v>4.9888287190213987E-7</v>
      </c>
      <c r="AF91">
        <f t="shared" si="55"/>
        <v>3.548163870494518</v>
      </c>
      <c r="AG91">
        <f t="shared" si="56"/>
        <v>3.5098033822352717</v>
      </c>
      <c r="AH91">
        <f t="shared" si="57"/>
        <v>1.7901815637256706</v>
      </c>
      <c r="AI91" s="253">
        <f t="shared" si="58"/>
        <v>1.9691997200982378</v>
      </c>
      <c r="AJ91">
        <f t="shared" si="59"/>
        <v>1.6061659568898647</v>
      </c>
      <c r="AK91">
        <f t="shared" si="60"/>
        <v>5.3353832906853311</v>
      </c>
      <c r="AL91" s="73"/>
      <c r="AM91" s="73"/>
      <c r="AN91" s="17"/>
      <c r="AO91" s="17"/>
      <c r="AP91" s="17"/>
      <c r="AQ91" s="17"/>
      <c r="AR91" s="77"/>
      <c r="AS91" s="77"/>
      <c r="AT91" s="77"/>
      <c r="AU91" s="77"/>
      <c r="AV91" s="77"/>
      <c r="AW91" s="77"/>
      <c r="AX91" s="77"/>
      <c r="AY91" s="77"/>
      <c r="AZ91" s="77"/>
      <c r="BA91" s="77"/>
      <c r="BB91" s="84"/>
      <c r="BC91" s="77"/>
      <c r="BD91" s="77"/>
      <c r="BE91" s="77"/>
      <c r="BF91" s="17"/>
      <c r="BG91" s="17"/>
      <c r="BH91" s="17"/>
      <c r="BI91" s="17"/>
      <c r="BJ91" s="17"/>
      <c r="BK91" s="17"/>
    </row>
    <row r="92" spans="1:63">
      <c r="D92" s="117" t="s">
        <v>249</v>
      </c>
      <c r="E92" s="118">
        <v>0.15</v>
      </c>
      <c r="F92" s="120">
        <v>0.55000000000000004</v>
      </c>
      <c r="G92" s="79">
        <v>0.10396</v>
      </c>
      <c r="H92" s="73">
        <v>1.3473999999999999</v>
      </c>
      <c r="I92" s="37">
        <v>1.4644999999999999</v>
      </c>
      <c r="J92" s="37"/>
      <c r="K92" s="37"/>
      <c r="L92" s="37"/>
      <c r="M92" s="37"/>
      <c r="N92" s="37"/>
      <c r="O92" s="37"/>
      <c r="P92" s="37"/>
      <c r="Q92" s="37"/>
      <c r="R92" s="14">
        <f t="shared" si="61"/>
        <v>2.3425930729291196</v>
      </c>
      <c r="S92">
        <f t="shared" si="62"/>
        <v>4.4378172718666425E-2</v>
      </c>
      <c r="T92">
        <f t="shared" si="63"/>
        <v>0.79115948951948967</v>
      </c>
      <c r="U92">
        <f t="shared" si="64"/>
        <v>0.60791056611229499</v>
      </c>
      <c r="V92">
        <f t="shared" si="65"/>
        <v>0.4809542131589073</v>
      </c>
      <c r="W92">
        <f t="shared" si="66"/>
        <v>7.2336334635343157E-3</v>
      </c>
      <c r="X92">
        <f t="shared" si="67"/>
        <v>5.7273406860489366E-2</v>
      </c>
      <c r="Y92">
        <f t="shared" si="68"/>
        <v>7.1616563184573288E-3</v>
      </c>
      <c r="AA92" s="230">
        <f t="shared" si="51"/>
        <v>0.23478256055469926</v>
      </c>
      <c r="AB92">
        <f t="shared" si="52"/>
        <v>2.6821496997441594</v>
      </c>
      <c r="AC92">
        <v>2.9717150573049369</v>
      </c>
      <c r="AD92">
        <f t="shared" si="53"/>
        <v>0</v>
      </c>
      <c r="AE92">
        <f t="shared" si="54"/>
        <v>3.8743203045754626E-7</v>
      </c>
      <c r="AF92">
        <f t="shared" si="55"/>
        <v>2.1143296668819378</v>
      </c>
      <c r="AG92">
        <f t="shared" si="56"/>
        <v>5.1295119191950898</v>
      </c>
      <c r="AH92">
        <f t="shared" si="57"/>
        <v>1.2249089983917083</v>
      </c>
      <c r="AI92" s="253">
        <f t="shared" si="58"/>
        <v>1.3473998982308792</v>
      </c>
      <c r="AJ92">
        <f t="shared" si="59"/>
        <v>1.1264567121974149</v>
      </c>
      <c r="AK92">
        <f t="shared" si="60"/>
        <v>7.5849365377748841</v>
      </c>
    </row>
    <row r="93" spans="1:63">
      <c r="D93" s="72" t="s">
        <v>249</v>
      </c>
      <c r="E93" s="73">
        <v>0.15</v>
      </c>
      <c r="F93" s="104">
        <v>0.55000000000000004</v>
      </c>
      <c r="G93" s="79">
        <v>0.15454000000000001</v>
      </c>
      <c r="H93" s="73">
        <v>2.1333000000000002</v>
      </c>
      <c r="I93" s="37">
        <v>7.5151000000000003</v>
      </c>
      <c r="J93" s="37"/>
      <c r="K93" s="37"/>
      <c r="L93" s="37"/>
      <c r="M93" s="37"/>
      <c r="N93" s="37"/>
      <c r="O93" s="37"/>
      <c r="P93" s="37"/>
      <c r="Q93" s="37"/>
      <c r="R93" s="14">
        <f t="shared" si="61"/>
        <v>5.872291900839822</v>
      </c>
      <c r="S93">
        <f t="shared" si="62"/>
        <v>2.6316811665628985E-2</v>
      </c>
      <c r="T93">
        <f t="shared" si="63"/>
        <v>1.0273823805640447</v>
      </c>
      <c r="U93">
        <f t="shared" si="64"/>
        <v>0.31491763628964126</v>
      </c>
      <c r="V93">
        <f t="shared" si="65"/>
        <v>0.32354083085285362</v>
      </c>
      <c r="W93">
        <f t="shared" si="66"/>
        <v>3.7778032050300142E-2</v>
      </c>
      <c r="X93">
        <f t="shared" si="67"/>
        <v>8.6238025055028811E-2</v>
      </c>
      <c r="Y93">
        <f t="shared" si="68"/>
        <v>1.5614527117284329E-2</v>
      </c>
      <c r="AA93" s="230">
        <f t="shared" si="51"/>
        <v>9.3660194228652391E-2</v>
      </c>
      <c r="AB93">
        <f t="shared" si="52"/>
        <v>1.0699715568091908</v>
      </c>
      <c r="AC93">
        <v>1.6067552612805538</v>
      </c>
      <c r="AD93">
        <f t="shared" si="53"/>
        <v>0</v>
      </c>
      <c r="AE93">
        <f t="shared" si="54"/>
        <v>3.3788704811854586E-7</v>
      </c>
      <c r="AF93">
        <f t="shared" si="55"/>
        <v>3.9104806180450939</v>
      </c>
      <c r="AG93">
        <f t="shared" si="56"/>
        <v>3.2398183840584935</v>
      </c>
      <c r="AH93">
        <f t="shared" si="57"/>
        <v>1.9393634341035784</v>
      </c>
      <c r="AI93" s="253">
        <f t="shared" si="58"/>
        <v>2.1332997775139364</v>
      </c>
      <c r="AJ93">
        <f t="shared" si="59"/>
        <v>1.6851136612802857</v>
      </c>
      <c r="AK93">
        <f t="shared" si="60"/>
        <v>5.0867635282665953</v>
      </c>
    </row>
    <row r="94" spans="1:63">
      <c r="D94" s="117" t="s">
        <v>249</v>
      </c>
      <c r="E94" s="118">
        <v>0.15</v>
      </c>
      <c r="F94" s="120">
        <v>0.55000000000000004</v>
      </c>
      <c r="G94" s="122">
        <v>0.13497000000000001</v>
      </c>
      <c r="H94" s="118">
        <v>1.5059</v>
      </c>
      <c r="I94" s="128">
        <v>3.5102000000000002</v>
      </c>
      <c r="J94" s="37"/>
      <c r="K94" s="37"/>
      <c r="L94" s="37"/>
      <c r="M94" s="37"/>
      <c r="N94" s="37"/>
      <c r="O94" s="37"/>
      <c r="P94" s="37"/>
      <c r="Q94" s="37"/>
      <c r="R94" s="14">
        <f t="shared" si="61"/>
        <v>2.9261462954134876</v>
      </c>
      <c r="S94">
        <f t="shared" si="62"/>
        <v>4.6125513345506776E-2</v>
      </c>
      <c r="T94">
        <f t="shared" si="63"/>
        <v>0.77602934359147435</v>
      </c>
      <c r="U94">
        <f t="shared" si="64"/>
        <v>0.47736944002222825</v>
      </c>
      <c r="V94">
        <f t="shared" si="65"/>
        <v>0.37045269319107949</v>
      </c>
      <c r="W94">
        <f t="shared" si="66"/>
        <v>1.3190575117152287E-2</v>
      </c>
      <c r="X94">
        <f t="shared" si="67"/>
        <v>7.6335672937389479E-2</v>
      </c>
      <c r="Y94">
        <f t="shared" si="68"/>
        <v>1.1830017696923196E-2</v>
      </c>
      <c r="AA94" s="230">
        <f t="shared" si="51"/>
        <v>0.18796052708030467</v>
      </c>
      <c r="AB94">
        <f t="shared" si="52"/>
        <v>2.1472560401467291</v>
      </c>
      <c r="AC94">
        <v>2.5221484141056987</v>
      </c>
      <c r="AD94">
        <f t="shared" si="53"/>
        <v>0</v>
      </c>
      <c r="AE94">
        <f t="shared" si="54"/>
        <v>2.148980327021377E-7</v>
      </c>
      <c r="AF94">
        <f t="shared" si="55"/>
        <v>2.4912036389450432</v>
      </c>
      <c r="AG94">
        <f t="shared" si="56"/>
        <v>4.589616947680784</v>
      </c>
      <c r="AH94">
        <f t="shared" si="57"/>
        <v>1.3689999358997906</v>
      </c>
      <c r="AI94" s="253">
        <f t="shared" si="58"/>
        <v>1.5058999294897699</v>
      </c>
      <c r="AJ94">
        <f t="shared" si="59"/>
        <v>1.280739516376886</v>
      </c>
      <c r="AK94">
        <f t="shared" si="60"/>
        <v>6.6800396424337292</v>
      </c>
    </row>
    <row r="95" spans="1:63">
      <c r="D95" s="72" t="s">
        <v>249</v>
      </c>
      <c r="E95" s="73">
        <v>0.15</v>
      </c>
      <c r="F95" s="104">
        <v>0.55000000000000004</v>
      </c>
      <c r="G95" s="79">
        <v>0.11552</v>
      </c>
      <c r="H95" s="73">
        <v>1.9692000000000001</v>
      </c>
      <c r="I95" s="77">
        <v>4.4600000000000001E-2</v>
      </c>
      <c r="J95" s="77"/>
      <c r="K95" s="77"/>
      <c r="L95" s="77"/>
      <c r="M95" s="77"/>
      <c r="N95" s="77"/>
      <c r="O95" s="77"/>
      <c r="P95" s="77"/>
      <c r="Q95" s="77"/>
      <c r="R95" s="14">
        <f t="shared" si="61"/>
        <v>5.0036096669877761</v>
      </c>
      <c r="S95">
        <f t="shared" si="62"/>
        <v>2.3087332483619612E-2</v>
      </c>
      <c r="T95">
        <f t="shared" si="63"/>
        <v>1.0968869534800489</v>
      </c>
      <c r="U95">
        <f t="shared" ref="U95:U100" si="69">0.15/G95/T95</f>
        <v>1.1837832970608364</v>
      </c>
      <c r="V95">
        <f t="shared" si="65"/>
        <v>0.43282548476454297</v>
      </c>
      <c r="W95">
        <f t="shared" si="66"/>
        <v>2.7625104032070677E-2</v>
      </c>
      <c r="X95">
        <f t="shared" si="67"/>
        <v>6.4908014505831946E-2</v>
      </c>
      <c r="Y95">
        <f t="shared" si="68"/>
        <v>1.3429961416954432E-4</v>
      </c>
      <c r="AA95" s="230">
        <f t="shared" si="51"/>
        <v>0.10992064461557123</v>
      </c>
      <c r="AB95">
        <f t="shared" si="52"/>
        <v>1.2557305076441201</v>
      </c>
      <c r="AC95">
        <v>1.7708272606653537</v>
      </c>
      <c r="AD95">
        <f t="shared" si="53"/>
        <v>0</v>
      </c>
      <c r="AE95">
        <f t="shared" si="54"/>
        <v>4.9888287190213987E-7</v>
      </c>
      <c r="AF95">
        <f t="shared" si="55"/>
        <v>3.548163870494518</v>
      </c>
      <c r="AG95">
        <f t="shared" si="56"/>
        <v>3.5098033822352717</v>
      </c>
      <c r="AH95">
        <f t="shared" si="57"/>
        <v>1.7901815637256706</v>
      </c>
      <c r="AI95" s="253">
        <f t="shared" si="58"/>
        <v>1.9691997200982378</v>
      </c>
      <c r="AJ95">
        <f t="shared" si="59"/>
        <v>1.6061659568898647</v>
      </c>
      <c r="AK95">
        <f t="shared" si="60"/>
        <v>5.3353832906853311</v>
      </c>
    </row>
    <row r="96" spans="1:63">
      <c r="D96" s="117" t="s">
        <v>249</v>
      </c>
      <c r="E96" s="118">
        <v>0.15</v>
      </c>
      <c r="F96" s="120">
        <v>0.55000000000000004</v>
      </c>
      <c r="G96" s="79">
        <v>0.14879999999999999</v>
      </c>
      <c r="H96" s="73">
        <v>2.1333000000000002</v>
      </c>
      <c r="I96" s="77">
        <v>0.20349999999999999</v>
      </c>
      <c r="J96" s="77"/>
      <c r="K96" s="77"/>
      <c r="L96" s="77"/>
      <c r="M96" s="77"/>
      <c r="N96" s="77"/>
      <c r="O96" s="77"/>
      <c r="P96" s="77"/>
      <c r="Q96" s="77"/>
      <c r="R96" s="14">
        <f t="shared" si="61"/>
        <v>5.872291900839822</v>
      </c>
      <c r="S96">
        <f t="shared" si="62"/>
        <v>2.5339339820406315E-2</v>
      </c>
      <c r="T96">
        <f t="shared" si="63"/>
        <v>1.0470106559283461</v>
      </c>
      <c r="U96">
        <f t="shared" si="69"/>
        <v>0.96280253732013676</v>
      </c>
      <c r="V96">
        <f t="shared" si="65"/>
        <v>0.33602150537634412</v>
      </c>
      <c r="W96">
        <f t="shared" si="66"/>
        <v>3.7415090512022658E-2</v>
      </c>
      <c r="X96">
        <f t="shared" si="67"/>
        <v>8.34845389610894E-2</v>
      </c>
      <c r="Y96">
        <f t="shared" si="68"/>
        <v>4.3913339218392631E-4</v>
      </c>
      <c r="AA96" s="230">
        <f t="shared" si="51"/>
        <v>9.3660194228652391E-2</v>
      </c>
      <c r="AB96">
        <f t="shared" si="52"/>
        <v>1.0699715568091908</v>
      </c>
      <c r="AC96">
        <v>1.6067552612805538</v>
      </c>
      <c r="AD96">
        <f t="shared" si="53"/>
        <v>0</v>
      </c>
      <c r="AE96">
        <f t="shared" si="54"/>
        <v>3.3788704811854586E-7</v>
      </c>
      <c r="AF96">
        <f t="shared" si="55"/>
        <v>3.9104806180450939</v>
      </c>
      <c r="AG96">
        <f t="shared" si="56"/>
        <v>3.2398183840584935</v>
      </c>
      <c r="AH96">
        <f t="shared" si="57"/>
        <v>1.9393634341035784</v>
      </c>
      <c r="AI96" s="253">
        <f t="shared" si="58"/>
        <v>2.1332997775139364</v>
      </c>
      <c r="AJ96">
        <f t="shared" si="59"/>
        <v>1.6851136612802857</v>
      </c>
      <c r="AK96">
        <f t="shared" si="60"/>
        <v>5.0867635282665953</v>
      </c>
    </row>
    <row r="97" spans="1:57">
      <c r="D97" s="72" t="s">
        <v>249</v>
      </c>
      <c r="E97" s="73">
        <v>0.15</v>
      </c>
      <c r="F97" s="104">
        <v>0.55000000000000004</v>
      </c>
      <c r="G97" s="122">
        <v>0.13865</v>
      </c>
      <c r="H97" s="118">
        <v>1.5059</v>
      </c>
      <c r="I97" s="126">
        <v>3.4799999999999998E-2</v>
      </c>
      <c r="J97" s="77"/>
      <c r="K97" s="77"/>
      <c r="L97" s="77"/>
      <c r="M97" s="77"/>
      <c r="N97" s="77"/>
      <c r="O97" s="77"/>
      <c r="P97" s="77"/>
      <c r="Q97" s="77"/>
      <c r="R97" s="14">
        <f t="shared" si="61"/>
        <v>2.9261462954134876</v>
      </c>
      <c r="S97">
        <f t="shared" si="62"/>
        <v>4.7383140144880438E-2</v>
      </c>
      <c r="T97">
        <f t="shared" si="63"/>
        <v>0.76566153601548981</v>
      </c>
      <c r="U97">
        <f t="shared" si="69"/>
        <v>1.4129752504050377</v>
      </c>
      <c r="V97">
        <f t="shared" si="65"/>
        <v>0.36062026685899751</v>
      </c>
      <c r="W97">
        <f t="shared" si="66"/>
        <v>1.3414637680613354E-2</v>
      </c>
      <c r="X97">
        <f t="shared" si="67"/>
        <v>7.8312299524826615E-2</v>
      </c>
      <c r="Y97">
        <f t="shared" si="68"/>
        <v>1.1416951347304235E-4</v>
      </c>
      <c r="AA97" s="230">
        <f t="shared" si="51"/>
        <v>0.18796052708030467</v>
      </c>
      <c r="AB97">
        <f t="shared" si="52"/>
        <v>2.1472560401467291</v>
      </c>
      <c r="AC97">
        <v>2.5221484141056987</v>
      </c>
      <c r="AD97">
        <f t="shared" si="53"/>
        <v>0</v>
      </c>
      <c r="AE97">
        <f t="shared" si="54"/>
        <v>2.148980327021377E-7</v>
      </c>
      <c r="AF97">
        <f t="shared" si="55"/>
        <v>2.4912036389450432</v>
      </c>
      <c r="AG97">
        <f t="shared" si="56"/>
        <v>4.589616947680784</v>
      </c>
      <c r="AH97">
        <f t="shared" si="57"/>
        <v>1.3689999358997906</v>
      </c>
      <c r="AI97" s="253">
        <f t="shared" si="58"/>
        <v>1.5058999294897699</v>
      </c>
      <c r="AJ97">
        <f t="shared" si="59"/>
        <v>1.280739516376886</v>
      </c>
      <c r="AK97">
        <f t="shared" si="60"/>
        <v>6.6800396424337292</v>
      </c>
    </row>
    <row r="98" spans="1:57">
      <c r="D98" s="117" t="s">
        <v>249</v>
      </c>
      <c r="E98" s="118">
        <v>0.15</v>
      </c>
      <c r="F98" s="120">
        <v>0.55000000000000004</v>
      </c>
      <c r="G98" s="79">
        <v>0.11552</v>
      </c>
      <c r="H98" s="73">
        <v>1.9692000000000001</v>
      </c>
      <c r="I98" s="77">
        <v>5.2900000000000003E-2</v>
      </c>
      <c r="J98" s="77"/>
      <c r="K98" s="77"/>
      <c r="L98" s="77"/>
      <c r="M98" s="77"/>
      <c r="N98" s="77"/>
      <c r="O98" s="77"/>
      <c r="P98" s="77"/>
      <c r="Q98" s="77"/>
      <c r="R98" s="14">
        <f t="shared" si="61"/>
        <v>5.0036096669877761</v>
      </c>
      <c r="S98">
        <f t="shared" si="62"/>
        <v>2.3087332483619612E-2</v>
      </c>
      <c r="T98">
        <f t="shared" si="63"/>
        <v>1.0968869534800489</v>
      </c>
      <c r="U98">
        <f t="shared" si="69"/>
        <v>1.1837832970608364</v>
      </c>
      <c r="V98">
        <f t="shared" si="65"/>
        <v>0.43282548476454297</v>
      </c>
      <c r="W98">
        <f t="shared" si="66"/>
        <v>2.7625104032070677E-2</v>
      </c>
      <c r="X98">
        <f t="shared" si="67"/>
        <v>6.4908014505831946E-2</v>
      </c>
      <c r="Y98">
        <f t="shared" si="68"/>
        <v>1.5929259169436986E-4</v>
      </c>
      <c r="AA98" s="230">
        <f t="shared" si="51"/>
        <v>0.10992064461557123</v>
      </c>
      <c r="AB98">
        <f t="shared" si="52"/>
        <v>1.2557305076441201</v>
      </c>
      <c r="AC98">
        <v>1.7708272606653537</v>
      </c>
      <c r="AD98">
        <f t="shared" si="53"/>
        <v>0</v>
      </c>
      <c r="AE98">
        <f t="shared" si="54"/>
        <v>4.9888287190213987E-7</v>
      </c>
      <c r="AF98">
        <f t="shared" si="55"/>
        <v>3.548163870494518</v>
      </c>
      <c r="AG98">
        <f t="shared" si="56"/>
        <v>3.5098033822352717</v>
      </c>
      <c r="AH98">
        <f t="shared" si="57"/>
        <v>1.7901815637256706</v>
      </c>
      <c r="AI98" s="253">
        <f t="shared" si="58"/>
        <v>1.9691997200982378</v>
      </c>
      <c r="AJ98">
        <f t="shared" si="59"/>
        <v>1.6061659568898647</v>
      </c>
      <c r="AK98">
        <f t="shared" si="60"/>
        <v>5.3353832906853311</v>
      </c>
    </row>
    <row r="99" spans="1:57">
      <c r="D99" s="72" t="s">
        <v>249</v>
      </c>
      <c r="E99" s="73">
        <v>0.15</v>
      </c>
      <c r="F99" s="104">
        <v>0.55000000000000004</v>
      </c>
      <c r="G99" s="79">
        <v>0.14879999999999999</v>
      </c>
      <c r="H99" s="73">
        <v>2.1333000000000002</v>
      </c>
      <c r="I99" s="77">
        <v>0.32279999999999998</v>
      </c>
      <c r="J99" s="77"/>
      <c r="K99" s="77"/>
      <c r="L99" s="77"/>
      <c r="M99" s="77"/>
      <c r="N99" s="77"/>
      <c r="O99" s="77"/>
      <c r="P99" s="77"/>
      <c r="Q99" s="77"/>
      <c r="R99" s="14">
        <f t="shared" si="61"/>
        <v>5.872291900839822</v>
      </c>
      <c r="S99">
        <f t="shared" si="62"/>
        <v>2.5339339820406315E-2</v>
      </c>
      <c r="T99">
        <f t="shared" si="63"/>
        <v>1.0470106559283461</v>
      </c>
      <c r="U99">
        <f t="shared" si="69"/>
        <v>0.96280253732013676</v>
      </c>
      <c r="V99">
        <f t="shared" si="65"/>
        <v>0.33602150537634412</v>
      </c>
      <c r="W99">
        <f t="shared" si="66"/>
        <v>3.7415090512022658E-2</v>
      </c>
      <c r="X99">
        <f t="shared" si="67"/>
        <v>8.34845389610894E-2</v>
      </c>
      <c r="Y99">
        <f t="shared" si="68"/>
        <v>6.9657129728241483E-4</v>
      </c>
      <c r="AA99" s="230">
        <f t="shared" si="51"/>
        <v>9.3660194228652391E-2</v>
      </c>
      <c r="AB99">
        <f t="shared" si="52"/>
        <v>1.0699715568091908</v>
      </c>
      <c r="AC99">
        <v>1.6067552612805538</v>
      </c>
      <c r="AD99">
        <f t="shared" si="53"/>
        <v>0</v>
      </c>
      <c r="AE99">
        <f t="shared" si="54"/>
        <v>3.3788704811854586E-7</v>
      </c>
      <c r="AF99">
        <f t="shared" si="55"/>
        <v>3.9104806180450939</v>
      </c>
      <c r="AG99">
        <f t="shared" si="56"/>
        <v>3.2398183840584935</v>
      </c>
      <c r="AH99">
        <f t="shared" si="57"/>
        <v>1.9393634341035784</v>
      </c>
      <c r="AI99" s="253">
        <f t="shared" si="58"/>
        <v>2.1332997775139364</v>
      </c>
      <c r="AJ99">
        <f t="shared" si="59"/>
        <v>1.6851136612802857</v>
      </c>
      <c r="AK99">
        <f t="shared" si="60"/>
        <v>5.0867635282665953</v>
      </c>
    </row>
    <row r="100" spans="1:57" s="210" customFormat="1">
      <c r="C100" s="209"/>
      <c r="D100" s="117" t="s">
        <v>249</v>
      </c>
      <c r="E100" s="118">
        <v>0.15</v>
      </c>
      <c r="F100" s="120">
        <v>0.55000000000000004</v>
      </c>
      <c r="G100" s="212">
        <v>0.13865</v>
      </c>
      <c r="H100" s="213">
        <v>1.5059</v>
      </c>
      <c r="I100" s="214">
        <v>3.7199999999999997E-2</v>
      </c>
      <c r="J100" s="207"/>
      <c r="K100" s="207"/>
      <c r="L100" s="207"/>
      <c r="M100" s="207"/>
      <c r="N100" s="207"/>
      <c r="O100" s="207"/>
      <c r="P100" s="207"/>
      <c r="Q100" s="207"/>
      <c r="R100" s="14">
        <f t="shared" si="61"/>
        <v>2.9261462954134876</v>
      </c>
      <c r="S100">
        <f t="shared" si="62"/>
        <v>4.7383140144880438E-2</v>
      </c>
      <c r="T100">
        <f t="shared" si="63"/>
        <v>0.76566153601548981</v>
      </c>
      <c r="U100">
        <f t="shared" si="69"/>
        <v>1.4129752504050377</v>
      </c>
      <c r="V100">
        <f t="shared" si="65"/>
        <v>0.36062026685899751</v>
      </c>
      <c r="W100">
        <f t="shared" si="66"/>
        <v>1.3414637680613354E-2</v>
      </c>
      <c r="X100">
        <f t="shared" si="67"/>
        <v>7.8312299524826615E-2</v>
      </c>
      <c r="Y100">
        <f t="shared" si="68"/>
        <v>1.2204327302290733E-4</v>
      </c>
      <c r="AA100" s="230">
        <f t="shared" si="51"/>
        <v>0.18796052708030467</v>
      </c>
      <c r="AB100">
        <f t="shared" si="52"/>
        <v>2.1472560401467291</v>
      </c>
      <c r="AC100">
        <v>2.5221484141056987</v>
      </c>
      <c r="AD100">
        <f t="shared" si="53"/>
        <v>0</v>
      </c>
      <c r="AE100">
        <f t="shared" si="54"/>
        <v>2.148980327021377E-7</v>
      </c>
      <c r="AF100">
        <f t="shared" si="55"/>
        <v>2.4912036389450432</v>
      </c>
      <c r="AG100">
        <f t="shared" si="56"/>
        <v>4.589616947680784</v>
      </c>
      <c r="AH100">
        <f t="shared" si="57"/>
        <v>1.3689999358997906</v>
      </c>
      <c r="AI100" s="253">
        <f t="shared" si="58"/>
        <v>1.5058999294897699</v>
      </c>
      <c r="AJ100">
        <f t="shared" si="59"/>
        <v>1.280739516376886</v>
      </c>
      <c r="AK100">
        <f t="shared" si="60"/>
        <v>6.6800396424337292</v>
      </c>
      <c r="AL100" s="14">
        <f>AVERAGE(AK83:AK100)</f>
        <v>6.364278649463766</v>
      </c>
      <c r="AM100" s="14"/>
      <c r="AN100" s="14"/>
      <c r="AO100" s="14"/>
      <c r="AP100" s="14"/>
    </row>
    <row r="101" spans="1:57" s="17" customFormat="1">
      <c r="A101" s="16" t="s">
        <v>222</v>
      </c>
      <c r="B101" s="6">
        <v>458</v>
      </c>
      <c r="C101" s="6" t="s">
        <v>120</v>
      </c>
      <c r="D101" s="72" t="s">
        <v>249</v>
      </c>
      <c r="E101" s="73">
        <v>0.3</v>
      </c>
      <c r="F101" s="104">
        <v>0.55000000000000004</v>
      </c>
      <c r="G101" s="79">
        <v>8.1071000000000004E-2</v>
      </c>
      <c r="H101" s="73">
        <v>1.7067000000000001</v>
      </c>
      <c r="I101" s="77">
        <v>0.75600000000000001</v>
      </c>
      <c r="J101" s="235">
        <v>8.1071000000000004E-2</v>
      </c>
      <c r="K101" s="241">
        <v>1.7067000000000001</v>
      </c>
      <c r="L101" s="235">
        <v>8.4628999999999996E-2</v>
      </c>
      <c r="M101" s="241">
        <v>1.6</v>
      </c>
      <c r="N101" s="240">
        <v>0</v>
      </c>
      <c r="O101" s="240">
        <v>0</v>
      </c>
      <c r="P101" s="240">
        <v>0.75600000000000001</v>
      </c>
      <c r="Q101" s="241">
        <v>1.2905</v>
      </c>
      <c r="R101" s="14">
        <f t="shared" si="61"/>
        <v>3.758531078447263</v>
      </c>
      <c r="S101">
        <f t="shared" si="62"/>
        <v>2.1569862882041761E-2</v>
      </c>
      <c r="T101">
        <f t="shared" si="63"/>
        <v>1.1348149732869883</v>
      </c>
      <c r="U101">
        <f t="shared" si="64"/>
        <v>0.54347480685471738</v>
      </c>
      <c r="V101">
        <f t="shared" si="65"/>
        <v>0.61674334842298728</v>
      </c>
      <c r="W101">
        <f t="shared" si="66"/>
        <v>1.4091004850771431E-2</v>
      </c>
      <c r="X101">
        <f t="shared" si="67"/>
        <v>4.0236907065508025E-2</v>
      </c>
      <c r="Y101">
        <f t="shared" si="68"/>
        <v>3.7427083887482601E-3</v>
      </c>
      <c r="Z101" s="79"/>
      <c r="AA101" s="230">
        <f t="shared" si="51"/>
        <v>0.14633376404784657</v>
      </c>
      <c r="AB101">
        <f t="shared" si="52"/>
        <v>1.6717130112903886</v>
      </c>
      <c r="AC101">
        <v>2.1251243548699534</v>
      </c>
      <c r="AD101">
        <f t="shared" si="53"/>
        <v>0</v>
      </c>
      <c r="AE101">
        <f t="shared" si="54"/>
        <v>1.8860082917626642E-7</v>
      </c>
      <c r="AF101">
        <f t="shared" si="55"/>
        <v>2.9566200645063354</v>
      </c>
      <c r="AG101">
        <f t="shared" si="56"/>
        <v>4.0496303742793573</v>
      </c>
      <c r="AH101">
        <f t="shared" si="57"/>
        <v>1.5515453822863268</v>
      </c>
      <c r="AI101" s="253">
        <f t="shared" si="58"/>
        <v>1.7066999205149596</v>
      </c>
      <c r="AJ101">
        <f t="shared" si="59"/>
        <v>1.4433939105153388</v>
      </c>
      <c r="AK101">
        <f t="shared" si="60"/>
        <v>11.741386758262175</v>
      </c>
      <c r="AL101" s="73"/>
      <c r="AM101" s="73"/>
      <c r="AR101" s="77"/>
      <c r="AS101" s="77"/>
      <c r="AT101" s="77"/>
      <c r="AU101" s="37"/>
      <c r="AV101" s="37"/>
      <c r="AW101" s="37"/>
      <c r="AX101" s="77"/>
      <c r="AY101" s="37"/>
      <c r="AZ101" s="37"/>
      <c r="BA101" s="37"/>
      <c r="BB101" s="77"/>
      <c r="BC101" s="77"/>
      <c r="BD101" s="77"/>
      <c r="BE101" s="77"/>
    </row>
    <row r="102" spans="1:57" s="17" customFormat="1">
      <c r="A102" s="16" t="s">
        <v>222</v>
      </c>
      <c r="B102" s="6">
        <v>459</v>
      </c>
      <c r="C102" s="6" t="s">
        <v>121</v>
      </c>
      <c r="D102" s="72" t="s">
        <v>249</v>
      </c>
      <c r="E102" s="73">
        <v>0.3</v>
      </c>
      <c r="F102" s="104">
        <v>0.55000000000000004</v>
      </c>
      <c r="G102" s="79">
        <v>8.4726999999999997E-2</v>
      </c>
      <c r="H102" s="73">
        <v>1.1636</v>
      </c>
      <c r="I102" s="77">
        <v>0.246</v>
      </c>
      <c r="J102" s="232">
        <v>8.4726999999999997E-2</v>
      </c>
      <c r="K102" s="36">
        <v>1.1636</v>
      </c>
      <c r="L102" s="232">
        <v>8.5507E-2</v>
      </c>
      <c r="M102" s="36">
        <v>1.2190000000000001</v>
      </c>
      <c r="N102" s="7">
        <v>0</v>
      </c>
      <c r="O102" s="7">
        <v>0</v>
      </c>
      <c r="P102" s="7">
        <v>0.246</v>
      </c>
      <c r="Q102" s="36">
        <v>0.254</v>
      </c>
      <c r="R102" s="14">
        <f t="shared" si="61"/>
        <v>1.747073570663084</v>
      </c>
      <c r="S102">
        <f t="shared" si="62"/>
        <v>4.8496526661921127E-2</v>
      </c>
      <c r="T102">
        <f t="shared" si="63"/>
        <v>0.75682144909595406</v>
      </c>
      <c r="U102">
        <f t="shared" si="64"/>
        <v>0.77974885044805442</v>
      </c>
      <c r="V102">
        <f t="shared" si="65"/>
        <v>0.5901306549270009</v>
      </c>
      <c r="W102">
        <f t="shared" si="66"/>
        <v>3.0591509023276823E-3</v>
      </c>
      <c r="X102">
        <f t="shared" si="67"/>
        <v>4.3119600587201296E-2</v>
      </c>
      <c r="Y102">
        <f t="shared" si="68"/>
        <v>1.7092141473996362E-3</v>
      </c>
      <c r="Z102" s="79"/>
      <c r="AA102" s="230">
        <f t="shared" si="51"/>
        <v>0.31481215744752705</v>
      </c>
      <c r="AB102">
        <f t="shared" si="52"/>
        <v>3.5964056767196513</v>
      </c>
      <c r="AC102">
        <v>3.7667015665124755</v>
      </c>
      <c r="AD102">
        <f t="shared" si="53"/>
        <v>0</v>
      </c>
      <c r="AE102">
        <f t="shared" si="54"/>
        <v>2.3591525977195715E-7</v>
      </c>
      <c r="AF102">
        <f t="shared" si="55"/>
        <v>1.6680868383733092</v>
      </c>
      <c r="AG102">
        <f t="shared" si="56"/>
        <v>5.939759464084343</v>
      </c>
      <c r="AH102">
        <f t="shared" si="57"/>
        <v>1.0578181398037783</v>
      </c>
      <c r="AI102" s="253">
        <f t="shared" si="58"/>
        <v>1.1635999537841561</v>
      </c>
      <c r="AJ102">
        <f t="shared" si="59"/>
        <v>0.9259059545965862</v>
      </c>
      <c r="AK102">
        <f t="shared" si="60"/>
        <v>17.952686680835342</v>
      </c>
      <c r="AL102" s="73"/>
      <c r="AM102" s="73"/>
      <c r="AR102" s="37"/>
      <c r="AS102" s="37"/>
      <c r="AT102" s="37"/>
      <c r="AU102" s="37"/>
      <c r="AV102" s="37"/>
      <c r="AW102" s="37"/>
      <c r="AX102" s="77"/>
      <c r="AY102" s="37"/>
      <c r="AZ102" s="37"/>
      <c r="BA102" s="37"/>
      <c r="BB102" s="77"/>
      <c r="BC102" s="77"/>
      <c r="BD102" s="77"/>
      <c r="BE102" s="77"/>
    </row>
    <row r="103" spans="1:57" s="17" customFormat="1">
      <c r="A103" s="16" t="s">
        <v>222</v>
      </c>
      <c r="B103" s="6">
        <v>460</v>
      </c>
      <c r="C103" s="6" t="s">
        <v>122</v>
      </c>
      <c r="D103" s="72" t="s">
        <v>249</v>
      </c>
      <c r="E103" s="73">
        <v>0.3</v>
      </c>
      <c r="F103" s="104">
        <v>0.55000000000000004</v>
      </c>
      <c r="G103" s="79">
        <v>0.11835</v>
      </c>
      <c r="H103" s="73">
        <v>1.9692000000000001</v>
      </c>
      <c r="I103" s="77">
        <v>3.4586000000000001</v>
      </c>
      <c r="J103" s="232">
        <v>0.11835</v>
      </c>
      <c r="K103" s="7">
        <v>1.9692000000000001</v>
      </c>
      <c r="L103" s="232">
        <v>0.11704000000000001</v>
      </c>
      <c r="M103" s="7">
        <v>1.9692000000000001</v>
      </c>
      <c r="N103" s="7">
        <v>5.8299999999999998E-2</v>
      </c>
      <c r="O103" s="7">
        <v>5.2400000000000002E-2</v>
      </c>
      <c r="P103" s="7">
        <v>3.4586000000000001</v>
      </c>
      <c r="Q103" s="7">
        <v>3.8123</v>
      </c>
      <c r="R103" s="14">
        <f t="shared" si="61"/>
        <v>5.0036096669877761</v>
      </c>
      <c r="S103">
        <f t="shared" si="62"/>
        <v>2.3652924164096097E-2</v>
      </c>
      <c r="T103">
        <f t="shared" si="63"/>
        <v>1.0836931543079591</v>
      </c>
      <c r="U103">
        <f t="shared" si="64"/>
        <v>0.38984809119385938</v>
      </c>
      <c r="V103">
        <f t="shared" si="65"/>
        <v>0.42247570764681036</v>
      </c>
      <c r="W103">
        <f t="shared" si="66"/>
        <v>2.7915126651658455E-2</v>
      </c>
      <c r="X103">
        <f t="shared" si="67"/>
        <v>6.667836427856276E-2</v>
      </c>
      <c r="Y103">
        <f t="shared" si="68"/>
        <v>1.0165509753102755E-2</v>
      </c>
      <c r="Z103" s="79"/>
      <c r="AA103" s="230">
        <f t="shared" si="51"/>
        <v>0.10992064461557123</v>
      </c>
      <c r="AB103">
        <f t="shared" si="52"/>
        <v>1.2557305076441201</v>
      </c>
      <c r="AC103">
        <v>1.7708272606653537</v>
      </c>
      <c r="AD103">
        <f t="shared" si="53"/>
        <v>0</v>
      </c>
      <c r="AE103">
        <f t="shared" si="54"/>
        <v>4.9888287190213987E-7</v>
      </c>
      <c r="AF103">
        <f t="shared" si="55"/>
        <v>3.548163870494518</v>
      </c>
      <c r="AG103">
        <f t="shared" si="56"/>
        <v>3.5098033822352717</v>
      </c>
      <c r="AH103">
        <f t="shared" si="57"/>
        <v>1.7901815637256706</v>
      </c>
      <c r="AI103" s="253">
        <f t="shared" si="58"/>
        <v>1.9691997200982378</v>
      </c>
      <c r="AJ103">
        <f t="shared" si="59"/>
        <v>1.6061659568898647</v>
      </c>
      <c r="AK103">
        <f t="shared" si="60"/>
        <v>10.579809286343915</v>
      </c>
      <c r="AL103" s="73"/>
      <c r="AM103" s="73"/>
      <c r="AR103" s="77"/>
      <c r="AS103" s="77"/>
      <c r="AT103" s="77"/>
      <c r="AU103" s="77"/>
      <c r="AV103" s="77"/>
      <c r="AW103" s="77"/>
      <c r="AX103" s="77"/>
      <c r="AY103" s="77"/>
      <c r="AZ103" s="77"/>
      <c r="BA103" s="77"/>
      <c r="BB103" s="77"/>
      <c r="BC103" s="77"/>
      <c r="BD103" s="77"/>
      <c r="BE103" s="77"/>
    </row>
    <row r="104" spans="1:57" s="17" customFormat="1">
      <c r="A104" s="16" t="s">
        <v>222</v>
      </c>
      <c r="B104" s="6">
        <v>461</v>
      </c>
      <c r="C104" s="6" t="s">
        <v>123</v>
      </c>
      <c r="D104" s="72" t="s">
        <v>249</v>
      </c>
      <c r="E104" s="73">
        <v>0.3</v>
      </c>
      <c r="F104" s="104">
        <v>0.55000000000000004</v>
      </c>
      <c r="G104" s="79">
        <v>0.10561</v>
      </c>
      <c r="H104" s="73">
        <v>1.3473999999999999</v>
      </c>
      <c r="I104" s="77">
        <v>0.92559999999999998</v>
      </c>
      <c r="J104" s="232">
        <v>0.10561</v>
      </c>
      <c r="K104" s="7">
        <v>1.3473999999999999</v>
      </c>
      <c r="L104" s="232">
        <v>0.11447</v>
      </c>
      <c r="M104" s="7">
        <v>1.3473999999999999</v>
      </c>
      <c r="N104" s="7">
        <v>0</v>
      </c>
      <c r="O104" s="7">
        <v>0</v>
      </c>
      <c r="P104" s="7">
        <v>0.92559999999999998</v>
      </c>
      <c r="Q104" s="36">
        <v>1.3382000000000001</v>
      </c>
      <c r="R104" s="14">
        <f t="shared" si="61"/>
        <v>2.3425930729291196</v>
      </c>
      <c r="S104">
        <f t="shared" si="62"/>
        <v>4.508252040033052E-2</v>
      </c>
      <c r="T104">
        <f t="shared" si="63"/>
        <v>0.78495481113318299</v>
      </c>
      <c r="U104">
        <f t="shared" si="64"/>
        <v>0.60314301974480433</v>
      </c>
      <c r="V104">
        <f t="shared" si="65"/>
        <v>0.47344001515008055</v>
      </c>
      <c r="W104">
        <f t="shared" si="66"/>
        <v>7.3412849009027474E-3</v>
      </c>
      <c r="X104">
        <f t="shared" si="67"/>
        <v>5.8403354436034921E-2</v>
      </c>
      <c r="Y104">
        <f t="shared" si="68"/>
        <v>4.4556254293010335E-3</v>
      </c>
      <c r="Z104" s="79"/>
      <c r="AA104" s="230">
        <f t="shared" si="51"/>
        <v>0.23478256055469926</v>
      </c>
      <c r="AB104">
        <f t="shared" si="52"/>
        <v>2.6821496997441594</v>
      </c>
      <c r="AC104">
        <v>2.9717150573049369</v>
      </c>
      <c r="AD104">
        <f t="shared" si="53"/>
        <v>0</v>
      </c>
      <c r="AE104">
        <f t="shared" si="54"/>
        <v>3.8743203045754626E-7</v>
      </c>
      <c r="AF104">
        <f t="shared" si="55"/>
        <v>2.1143296668819378</v>
      </c>
      <c r="AG104">
        <f t="shared" si="56"/>
        <v>5.1295119191950898</v>
      </c>
      <c r="AH104">
        <f t="shared" si="57"/>
        <v>1.2249089983917083</v>
      </c>
      <c r="AI104" s="253">
        <f t="shared" si="58"/>
        <v>1.3473998982308792</v>
      </c>
      <c r="AJ104">
        <f t="shared" si="59"/>
        <v>1.1264567121974149</v>
      </c>
      <c r="AK104">
        <f t="shared" si="60"/>
        <v>14.912969005147671</v>
      </c>
      <c r="AL104" s="73"/>
      <c r="AM104" s="73"/>
      <c r="AR104" s="37"/>
      <c r="AS104" s="37"/>
      <c r="AT104" s="37"/>
      <c r="AU104" s="37"/>
      <c r="AV104" s="37"/>
      <c r="AW104" s="37"/>
      <c r="AX104" s="77"/>
      <c r="AY104" s="37"/>
      <c r="AZ104" s="37"/>
      <c r="BA104" s="37"/>
      <c r="BB104" s="77"/>
      <c r="BC104" s="77"/>
      <c r="BD104" s="77"/>
      <c r="BE104" s="77"/>
    </row>
    <row r="105" spans="1:57" s="17" customFormat="1">
      <c r="A105" s="16" t="s">
        <v>222</v>
      </c>
      <c r="B105" s="6">
        <v>462</v>
      </c>
      <c r="C105" s="6" t="s">
        <v>124</v>
      </c>
      <c r="D105" s="72" t="s">
        <v>249</v>
      </c>
      <c r="E105" s="73">
        <v>0.3</v>
      </c>
      <c r="F105" s="104">
        <v>0.55000000000000004</v>
      </c>
      <c r="G105" s="79">
        <v>0.15251999999999999</v>
      </c>
      <c r="H105" s="73">
        <v>2.1333000000000002</v>
      </c>
      <c r="I105" s="77">
        <v>8.2891999999999992</v>
      </c>
      <c r="J105" s="232">
        <v>0.15251999999999999</v>
      </c>
      <c r="K105" s="7">
        <v>2.1333000000000002</v>
      </c>
      <c r="L105" s="232">
        <v>0.15262000000000001</v>
      </c>
      <c r="M105" s="7">
        <v>2.1333000000000002</v>
      </c>
      <c r="N105" s="7">
        <v>0.42409999999999998</v>
      </c>
      <c r="O105" s="7">
        <v>0.4264</v>
      </c>
      <c r="P105" s="7">
        <v>8.2891999999999992</v>
      </c>
      <c r="Q105" s="36">
        <v>8.4187999999999992</v>
      </c>
      <c r="R105" s="14">
        <f t="shared" si="61"/>
        <v>5.872291900839822</v>
      </c>
      <c r="S105">
        <f t="shared" si="62"/>
        <v>2.5972823315916476E-2</v>
      </c>
      <c r="T105">
        <f t="shared" si="63"/>
        <v>1.0341634128679276</v>
      </c>
      <c r="U105">
        <f t="shared" si="64"/>
        <v>0.31699618728014006</v>
      </c>
      <c r="V105">
        <f t="shared" si="65"/>
        <v>0.32782585890375038</v>
      </c>
      <c r="W105">
        <f t="shared" si="66"/>
        <v>3.7653776985252074E-2</v>
      </c>
      <c r="X105">
        <f t="shared" si="67"/>
        <v>8.5282573190618702E-2</v>
      </c>
      <c r="Y105">
        <f t="shared" si="68"/>
        <v>1.7451019425857264E-2</v>
      </c>
      <c r="Z105" s="79"/>
      <c r="AA105" s="230">
        <f t="shared" si="51"/>
        <v>9.3660194228652391E-2</v>
      </c>
      <c r="AB105">
        <f t="shared" si="52"/>
        <v>1.0699715568091908</v>
      </c>
      <c r="AC105">
        <v>1.6067552612805538</v>
      </c>
      <c r="AD105">
        <f t="shared" si="53"/>
        <v>0</v>
      </c>
      <c r="AE105">
        <f t="shared" si="54"/>
        <v>3.3788704811854586E-7</v>
      </c>
      <c r="AF105">
        <f t="shared" si="55"/>
        <v>3.9104806180450939</v>
      </c>
      <c r="AG105">
        <f t="shared" si="56"/>
        <v>3.2398183840584935</v>
      </c>
      <c r="AH105">
        <f t="shared" si="57"/>
        <v>1.9393634341035784</v>
      </c>
      <c r="AI105" s="253">
        <f t="shared" si="58"/>
        <v>2.1332997775139364</v>
      </c>
      <c r="AJ105">
        <f t="shared" si="59"/>
        <v>1.6851136612802857</v>
      </c>
      <c r="AK105">
        <f t="shared" si="60"/>
        <v>10.094580033698106</v>
      </c>
      <c r="AL105" s="73"/>
      <c r="AM105" s="73"/>
      <c r="AR105" s="37"/>
      <c r="AS105" s="37"/>
      <c r="AT105" s="37"/>
      <c r="AU105" s="37"/>
      <c r="AV105" s="37"/>
      <c r="AW105" s="37"/>
      <c r="AX105" s="77"/>
      <c r="AY105" s="37"/>
      <c r="AZ105" s="37"/>
      <c r="BA105" s="37"/>
      <c r="BB105" s="84"/>
      <c r="BC105" s="77"/>
      <c r="BD105" s="77"/>
      <c r="BE105" s="77"/>
    </row>
    <row r="106" spans="1:57" s="17" customFormat="1" ht="13.5" thickBot="1">
      <c r="A106" s="115" t="s">
        <v>222</v>
      </c>
      <c r="B106" s="116">
        <v>463</v>
      </c>
      <c r="C106" s="116" t="s">
        <v>125</v>
      </c>
      <c r="D106" s="117" t="s">
        <v>249</v>
      </c>
      <c r="E106" s="118">
        <v>0.3</v>
      </c>
      <c r="F106" s="120">
        <v>0.55000000000000004</v>
      </c>
      <c r="G106" s="122">
        <v>0.13078000000000001</v>
      </c>
      <c r="H106" s="118">
        <v>1.5059</v>
      </c>
      <c r="I106" s="126">
        <v>2.7288000000000001</v>
      </c>
      <c r="J106" s="233">
        <v>0.13078000000000001</v>
      </c>
      <c r="K106" s="228">
        <v>1.5059</v>
      </c>
      <c r="L106" s="233">
        <v>0.14074999999999999</v>
      </c>
      <c r="M106" s="228">
        <v>1.5059</v>
      </c>
      <c r="N106" s="228">
        <v>2.98E-2</v>
      </c>
      <c r="O106" s="228">
        <v>5.7799999999999997E-2</v>
      </c>
      <c r="P106" s="228">
        <v>2.7288000000000001</v>
      </c>
      <c r="Q106" s="45">
        <v>3.8893</v>
      </c>
      <c r="R106" s="14">
        <f t="shared" si="61"/>
        <v>2.9261462954134876</v>
      </c>
      <c r="S106">
        <f t="shared" si="62"/>
        <v>4.4693595875567718E-2</v>
      </c>
      <c r="T106">
        <f t="shared" si="63"/>
        <v>0.78836275906345477</v>
      </c>
      <c r="U106">
        <f t="shared" si="64"/>
        <v>0.48495626091507349</v>
      </c>
      <c r="V106">
        <f t="shared" si="65"/>
        <v>0.38232145588010397</v>
      </c>
      <c r="W106">
        <f t="shared" si="66"/>
        <v>1.2925901593501045E-2</v>
      </c>
      <c r="X106">
        <f t="shared" si="67"/>
        <v>7.401602185032119E-2</v>
      </c>
      <c r="Y106">
        <f t="shared" si="68"/>
        <v>9.491200626444745E-3</v>
      </c>
      <c r="Z106" s="79"/>
      <c r="AA106" s="230">
        <f t="shared" si="51"/>
        <v>0.18796052708030467</v>
      </c>
      <c r="AB106">
        <f t="shared" si="52"/>
        <v>2.1472560401467291</v>
      </c>
      <c r="AC106">
        <v>2.5221484141056987</v>
      </c>
      <c r="AD106">
        <f t="shared" si="53"/>
        <v>0</v>
      </c>
      <c r="AE106">
        <f t="shared" si="54"/>
        <v>2.148980327021377E-7</v>
      </c>
      <c r="AF106">
        <f t="shared" si="55"/>
        <v>2.4912036389450432</v>
      </c>
      <c r="AG106">
        <f t="shared" si="56"/>
        <v>4.589616947680784</v>
      </c>
      <c r="AH106">
        <f t="shared" si="57"/>
        <v>1.3689999358997906</v>
      </c>
      <c r="AI106" s="253">
        <f t="shared" si="58"/>
        <v>1.5058999294897699</v>
      </c>
      <c r="AJ106">
        <f t="shared" si="59"/>
        <v>1.280739516376886</v>
      </c>
      <c r="AK106">
        <f t="shared" si="60"/>
        <v>13.183260334756136</v>
      </c>
      <c r="AL106" s="73"/>
      <c r="AM106" s="73"/>
      <c r="AR106" s="37"/>
      <c r="AS106" s="37"/>
      <c r="AT106" s="37"/>
      <c r="AU106" s="37"/>
      <c r="AV106" s="37"/>
      <c r="AW106" s="37"/>
      <c r="AX106" s="77"/>
      <c r="AY106" s="37"/>
      <c r="AZ106" s="37"/>
      <c r="BA106" s="37"/>
      <c r="BB106" s="77"/>
      <c r="BC106" s="77"/>
      <c r="BD106" s="77"/>
      <c r="BE106" s="77"/>
    </row>
    <row r="107" spans="1:57" s="17" customFormat="1">
      <c r="A107" s="16"/>
      <c r="B107" s="6"/>
      <c r="C107" s="6"/>
      <c r="D107" s="72" t="s">
        <v>249</v>
      </c>
      <c r="E107" s="73">
        <v>0.3</v>
      </c>
      <c r="F107" s="104">
        <v>0.55000000000000004</v>
      </c>
      <c r="G107" s="79">
        <v>8.1071000000000004E-2</v>
      </c>
      <c r="H107" s="73">
        <v>1.7067000000000001</v>
      </c>
      <c r="I107" s="37">
        <v>1.2905</v>
      </c>
      <c r="J107" s="37"/>
      <c r="K107" s="37"/>
      <c r="L107" s="37"/>
      <c r="M107" s="37"/>
      <c r="N107" s="37"/>
      <c r="O107" s="37"/>
      <c r="P107" s="37"/>
      <c r="Q107" s="37"/>
      <c r="R107" s="14">
        <f t="shared" si="61"/>
        <v>3.758531078447263</v>
      </c>
      <c r="S107">
        <f t="shared" si="62"/>
        <v>2.1569862882041761E-2</v>
      </c>
      <c r="T107">
        <f t="shared" si="63"/>
        <v>1.1348149732869883</v>
      </c>
      <c r="U107">
        <f t="shared" si="64"/>
        <v>0.54347480685471738</v>
      </c>
      <c r="V107">
        <f t="shared" si="65"/>
        <v>0.61674334842298728</v>
      </c>
      <c r="W107">
        <f t="shared" si="66"/>
        <v>1.4091004850771431E-2</v>
      </c>
      <c r="X107">
        <f t="shared" si="67"/>
        <v>4.0236907065508025E-2</v>
      </c>
      <c r="Y107">
        <f t="shared" si="68"/>
        <v>6.3888428249730539E-3</v>
      </c>
      <c r="Z107" s="79"/>
      <c r="AA107" s="230">
        <f t="shared" si="51"/>
        <v>0.14633376404784657</v>
      </c>
      <c r="AB107">
        <f t="shared" si="52"/>
        <v>1.6717130112903886</v>
      </c>
      <c r="AC107">
        <v>2.1251243548699534</v>
      </c>
      <c r="AD107">
        <f t="shared" si="53"/>
        <v>0</v>
      </c>
      <c r="AE107">
        <f t="shared" si="54"/>
        <v>1.8860082917626642E-7</v>
      </c>
      <c r="AF107">
        <f t="shared" si="55"/>
        <v>2.9566200645063354</v>
      </c>
      <c r="AG107">
        <f t="shared" si="56"/>
        <v>4.0496303742793573</v>
      </c>
      <c r="AH107">
        <f t="shared" si="57"/>
        <v>1.5515453822863268</v>
      </c>
      <c r="AI107" s="253">
        <f t="shared" si="58"/>
        <v>1.7066999205149596</v>
      </c>
      <c r="AJ107">
        <f t="shared" si="59"/>
        <v>1.4433939105153388</v>
      </c>
      <c r="AK107">
        <f t="shared" si="60"/>
        <v>11.741386758262175</v>
      </c>
      <c r="AL107" s="73"/>
      <c r="AM107" s="73"/>
      <c r="AR107" s="37"/>
      <c r="AS107" s="37"/>
      <c r="AT107" s="37"/>
      <c r="AU107" s="37"/>
      <c r="AV107" s="37"/>
      <c r="AW107" s="37"/>
      <c r="AX107" s="77"/>
      <c r="AY107" s="37"/>
      <c r="AZ107" s="37"/>
      <c r="BA107" s="37"/>
      <c r="BB107" s="77"/>
      <c r="BC107" s="77"/>
      <c r="BD107" s="77"/>
      <c r="BE107" s="77"/>
    </row>
    <row r="108" spans="1:57" s="17" customFormat="1">
      <c r="A108" s="16"/>
      <c r="B108" s="6"/>
      <c r="C108" s="6"/>
      <c r="D108" s="117" t="s">
        <v>249</v>
      </c>
      <c r="E108" s="118">
        <v>0.3</v>
      </c>
      <c r="F108" s="120">
        <v>0.55000000000000004</v>
      </c>
      <c r="G108" s="79">
        <v>8.4726999999999997E-2</v>
      </c>
      <c r="H108" s="73">
        <v>1.1636</v>
      </c>
      <c r="I108" s="37">
        <v>0.254</v>
      </c>
      <c r="J108" s="37"/>
      <c r="K108" s="37"/>
      <c r="L108" s="37"/>
      <c r="M108" s="37"/>
      <c r="N108" s="37"/>
      <c r="O108" s="37"/>
      <c r="P108" s="37"/>
      <c r="Q108" s="37"/>
      <c r="R108" s="14">
        <f t="shared" si="61"/>
        <v>1.747073570663084</v>
      </c>
      <c r="S108">
        <f t="shared" si="62"/>
        <v>4.8496526661921127E-2</v>
      </c>
      <c r="T108">
        <f t="shared" si="63"/>
        <v>0.75682144909595406</v>
      </c>
      <c r="U108">
        <f t="shared" si="64"/>
        <v>0.77974885044805442</v>
      </c>
      <c r="V108">
        <f t="shared" si="65"/>
        <v>0.5901306549270009</v>
      </c>
      <c r="W108">
        <f t="shared" si="66"/>
        <v>3.0591509023276823E-3</v>
      </c>
      <c r="X108">
        <f t="shared" si="67"/>
        <v>4.3119600587201296E-2</v>
      </c>
      <c r="Y108">
        <f t="shared" si="68"/>
        <v>1.7647983473150716E-3</v>
      </c>
      <c r="Z108" s="79"/>
      <c r="AA108" s="230">
        <f t="shared" si="51"/>
        <v>0.31481215744752705</v>
      </c>
      <c r="AB108">
        <f t="shared" si="52"/>
        <v>3.5964056767196513</v>
      </c>
      <c r="AC108">
        <v>3.7667015665124755</v>
      </c>
      <c r="AD108">
        <f t="shared" si="53"/>
        <v>0</v>
      </c>
      <c r="AE108">
        <f t="shared" si="54"/>
        <v>2.3591525977195715E-7</v>
      </c>
      <c r="AF108">
        <f t="shared" si="55"/>
        <v>1.6680868383733092</v>
      </c>
      <c r="AG108">
        <f t="shared" si="56"/>
        <v>5.939759464084343</v>
      </c>
      <c r="AH108">
        <f t="shared" si="57"/>
        <v>1.0578181398037783</v>
      </c>
      <c r="AI108" s="253">
        <f t="shared" si="58"/>
        <v>1.1635999537841561</v>
      </c>
      <c r="AJ108">
        <f t="shared" si="59"/>
        <v>0.9259059545965862</v>
      </c>
      <c r="AK108">
        <f t="shared" si="60"/>
        <v>17.952686680835342</v>
      </c>
      <c r="AL108" s="73"/>
      <c r="AM108" s="73"/>
      <c r="AR108" s="37"/>
      <c r="AS108" s="37"/>
      <c r="AT108" s="37"/>
      <c r="AU108" s="37"/>
      <c r="AV108" s="37"/>
      <c r="AW108" s="37"/>
      <c r="AX108" s="77"/>
      <c r="AY108" s="37"/>
      <c r="AZ108" s="37"/>
      <c r="BA108" s="37"/>
      <c r="BB108" s="77"/>
      <c r="BC108" s="77"/>
      <c r="BD108" s="77"/>
      <c r="BE108" s="77"/>
    </row>
    <row r="109" spans="1:57" s="17" customFormat="1">
      <c r="A109" s="115"/>
      <c r="B109" s="116"/>
      <c r="C109" s="116"/>
      <c r="D109" s="72" t="s">
        <v>249</v>
      </c>
      <c r="E109" s="73">
        <v>0.3</v>
      </c>
      <c r="F109" s="104">
        <v>0.55000000000000004</v>
      </c>
      <c r="G109" s="79">
        <v>0.11835</v>
      </c>
      <c r="H109" s="73">
        <v>1.9692000000000001</v>
      </c>
      <c r="I109" s="77">
        <v>3.8123</v>
      </c>
      <c r="J109" s="77"/>
      <c r="K109" s="77"/>
      <c r="L109" s="77"/>
      <c r="M109" s="77"/>
      <c r="N109" s="77"/>
      <c r="O109" s="77"/>
      <c r="P109" s="77"/>
      <c r="Q109" s="77"/>
      <c r="R109" s="14">
        <f t="shared" si="61"/>
        <v>5.0036096669877761</v>
      </c>
      <c r="S109">
        <f t="shared" si="62"/>
        <v>2.3652924164096097E-2</v>
      </c>
      <c r="T109">
        <f t="shared" si="63"/>
        <v>1.0836931543079591</v>
      </c>
      <c r="U109">
        <f t="shared" si="64"/>
        <v>0.38984809119385938</v>
      </c>
      <c r="V109">
        <f t="shared" si="65"/>
        <v>0.42247570764681036</v>
      </c>
      <c r="W109">
        <f t="shared" si="66"/>
        <v>2.7915126651658455E-2</v>
      </c>
      <c r="X109">
        <f t="shared" si="67"/>
        <v>6.667836427856276E-2</v>
      </c>
      <c r="Y109">
        <f t="shared" si="68"/>
        <v>1.1205104039713653E-2</v>
      </c>
      <c r="Z109" s="79"/>
      <c r="AA109" s="230">
        <f t="shared" si="51"/>
        <v>0.10992064461557123</v>
      </c>
      <c r="AB109">
        <f t="shared" si="52"/>
        <v>1.2557305076441201</v>
      </c>
      <c r="AC109">
        <v>1.7708272606653537</v>
      </c>
      <c r="AD109">
        <f t="shared" si="53"/>
        <v>0</v>
      </c>
      <c r="AE109">
        <f t="shared" si="54"/>
        <v>4.9888287190213987E-7</v>
      </c>
      <c r="AF109">
        <f t="shared" si="55"/>
        <v>3.548163870494518</v>
      </c>
      <c r="AG109">
        <f t="shared" si="56"/>
        <v>3.5098033822352717</v>
      </c>
      <c r="AH109">
        <f t="shared" si="57"/>
        <v>1.7901815637256706</v>
      </c>
      <c r="AI109" s="253">
        <f t="shared" si="58"/>
        <v>1.9691997200982378</v>
      </c>
      <c r="AJ109">
        <f t="shared" si="59"/>
        <v>1.6061659568898647</v>
      </c>
      <c r="AK109">
        <f t="shared" si="60"/>
        <v>10.579809286343915</v>
      </c>
      <c r="AL109" s="73"/>
      <c r="AM109" s="73"/>
      <c r="AR109" s="77"/>
      <c r="AS109" s="77"/>
      <c r="AT109" s="77"/>
      <c r="AU109" s="77"/>
      <c r="AV109" s="77"/>
      <c r="AW109" s="77"/>
      <c r="AX109" s="77"/>
      <c r="AY109" s="77"/>
      <c r="AZ109" s="77"/>
      <c r="BA109" s="77"/>
      <c r="BB109" s="77"/>
      <c r="BC109" s="77"/>
      <c r="BD109" s="77"/>
      <c r="BE109" s="77"/>
    </row>
    <row r="110" spans="1:57" s="17" customFormat="1">
      <c r="A110" s="16"/>
      <c r="B110" s="6"/>
      <c r="C110" s="6"/>
      <c r="D110" s="117" t="s">
        <v>249</v>
      </c>
      <c r="E110" s="118">
        <v>0.3</v>
      </c>
      <c r="F110" s="120">
        <v>0.55000000000000004</v>
      </c>
      <c r="G110" s="79">
        <v>0.10561</v>
      </c>
      <c r="H110" s="73">
        <v>1.3473999999999999</v>
      </c>
      <c r="I110" s="37">
        <v>1.3382000000000001</v>
      </c>
      <c r="J110" s="37"/>
      <c r="K110" s="37"/>
      <c r="L110" s="37"/>
      <c r="M110" s="37"/>
      <c r="N110" s="37"/>
      <c r="O110" s="37"/>
      <c r="P110" s="37"/>
      <c r="Q110" s="37"/>
      <c r="R110" s="14">
        <f t="shared" si="61"/>
        <v>2.3425930729291196</v>
      </c>
      <c r="S110">
        <f t="shared" si="62"/>
        <v>4.508252040033052E-2</v>
      </c>
      <c r="T110">
        <f t="shared" si="63"/>
        <v>0.78495481113318299</v>
      </c>
      <c r="U110">
        <f t="shared" si="64"/>
        <v>0.60314301974480433</v>
      </c>
      <c r="V110">
        <f t="shared" si="65"/>
        <v>0.47344001515008055</v>
      </c>
      <c r="W110">
        <f t="shared" si="66"/>
        <v>7.3412849009027474E-3</v>
      </c>
      <c r="X110">
        <f t="shared" si="67"/>
        <v>5.8403354436034921E-2</v>
      </c>
      <c r="Y110">
        <f t="shared" si="68"/>
        <v>6.4417868944367379E-3</v>
      </c>
      <c r="Z110" s="79"/>
      <c r="AA110" s="230">
        <f t="shared" si="51"/>
        <v>0.23478256055469926</v>
      </c>
      <c r="AB110">
        <f t="shared" si="52"/>
        <v>2.6821496997441594</v>
      </c>
      <c r="AC110">
        <v>2.9717150573049369</v>
      </c>
      <c r="AD110">
        <f t="shared" si="53"/>
        <v>0</v>
      </c>
      <c r="AE110">
        <f t="shared" si="54"/>
        <v>3.8743203045754626E-7</v>
      </c>
      <c r="AF110">
        <f t="shared" si="55"/>
        <v>2.1143296668819378</v>
      </c>
      <c r="AG110">
        <f t="shared" si="56"/>
        <v>5.1295119191950898</v>
      </c>
      <c r="AH110">
        <f t="shared" si="57"/>
        <v>1.2249089983917083</v>
      </c>
      <c r="AI110" s="253">
        <f t="shared" si="58"/>
        <v>1.3473998982308792</v>
      </c>
      <c r="AJ110">
        <f t="shared" si="59"/>
        <v>1.1264567121974149</v>
      </c>
      <c r="AK110">
        <f t="shared" si="60"/>
        <v>14.912969005147671</v>
      </c>
      <c r="AL110" s="73"/>
      <c r="AM110" s="73"/>
      <c r="AR110" s="37"/>
      <c r="AS110" s="37"/>
      <c r="AT110" s="37"/>
      <c r="AU110" s="37"/>
      <c r="AV110" s="37"/>
      <c r="AW110" s="37"/>
      <c r="AX110" s="77"/>
      <c r="AY110" s="37"/>
      <c r="AZ110" s="37"/>
      <c r="BA110" s="37"/>
      <c r="BB110" s="77"/>
      <c r="BC110" s="77"/>
      <c r="BD110" s="77"/>
      <c r="BE110" s="77"/>
    </row>
    <row r="111" spans="1:57" s="17" customFormat="1">
      <c r="A111" s="16"/>
      <c r="B111" s="6"/>
      <c r="C111" s="6"/>
      <c r="D111" s="72" t="s">
        <v>249</v>
      </c>
      <c r="E111" s="73">
        <v>0.3</v>
      </c>
      <c r="F111" s="104">
        <v>0.55000000000000004</v>
      </c>
      <c r="G111" s="79">
        <v>0.15251999999999999</v>
      </c>
      <c r="H111" s="73">
        <v>2.1333000000000002</v>
      </c>
      <c r="I111" s="37">
        <v>8.4187999999999992</v>
      </c>
      <c r="J111" s="37"/>
      <c r="K111" s="37"/>
      <c r="L111" s="37"/>
      <c r="M111" s="37"/>
      <c r="N111" s="37"/>
      <c r="O111" s="37"/>
      <c r="P111" s="37"/>
      <c r="Q111" s="37"/>
      <c r="R111" s="14">
        <f t="shared" si="61"/>
        <v>5.872291900839822</v>
      </c>
      <c r="S111">
        <f t="shared" si="62"/>
        <v>2.5972823315916476E-2</v>
      </c>
      <c r="T111">
        <f t="shared" si="63"/>
        <v>1.0341634128679276</v>
      </c>
      <c r="U111">
        <f t="shared" si="64"/>
        <v>0.31699618728014006</v>
      </c>
      <c r="V111">
        <f t="shared" si="65"/>
        <v>0.32782585890375038</v>
      </c>
      <c r="W111">
        <f t="shared" si="66"/>
        <v>3.7653776985252074E-2</v>
      </c>
      <c r="X111">
        <f t="shared" si="67"/>
        <v>8.5282573190618702E-2</v>
      </c>
      <c r="Y111">
        <f t="shared" si="68"/>
        <v>1.7723862657724163E-2</v>
      </c>
      <c r="Z111" s="79"/>
      <c r="AA111" s="230">
        <f t="shared" si="51"/>
        <v>9.3660194228652391E-2</v>
      </c>
      <c r="AB111">
        <f t="shared" si="52"/>
        <v>1.0699715568091908</v>
      </c>
      <c r="AC111">
        <v>1.6067552612805538</v>
      </c>
      <c r="AD111">
        <f t="shared" si="53"/>
        <v>0</v>
      </c>
      <c r="AE111">
        <f t="shared" si="54"/>
        <v>3.3788704811854586E-7</v>
      </c>
      <c r="AF111">
        <f t="shared" si="55"/>
        <v>3.9104806180450939</v>
      </c>
      <c r="AG111">
        <f t="shared" si="56"/>
        <v>3.2398183840584935</v>
      </c>
      <c r="AH111">
        <f t="shared" si="57"/>
        <v>1.9393634341035784</v>
      </c>
      <c r="AI111" s="253">
        <f t="shared" si="58"/>
        <v>2.1332997775139364</v>
      </c>
      <c r="AJ111">
        <f t="shared" si="59"/>
        <v>1.6851136612802857</v>
      </c>
      <c r="AK111">
        <f t="shared" si="60"/>
        <v>10.094580033698106</v>
      </c>
      <c r="AL111" s="73"/>
      <c r="AM111" s="73"/>
      <c r="AR111" s="37"/>
      <c r="AS111" s="37"/>
      <c r="AT111" s="37"/>
      <c r="AU111" s="37"/>
      <c r="AV111" s="37"/>
      <c r="AW111" s="37"/>
      <c r="AX111" s="77"/>
      <c r="AY111" s="37"/>
      <c r="AZ111" s="37"/>
      <c r="BA111" s="37"/>
      <c r="BB111" s="77"/>
      <c r="BC111" s="77"/>
      <c r="BD111" s="77"/>
      <c r="BE111" s="77"/>
    </row>
    <row r="112" spans="1:57" s="17" customFormat="1">
      <c r="A112" s="115"/>
      <c r="B112" s="116"/>
      <c r="C112" s="116"/>
      <c r="D112" s="117" t="s">
        <v>249</v>
      </c>
      <c r="E112" s="118">
        <v>0.3</v>
      </c>
      <c r="F112" s="120">
        <v>0.55000000000000004</v>
      </c>
      <c r="G112" s="122">
        <v>0.13078000000000001</v>
      </c>
      <c r="H112" s="118">
        <v>1.5059</v>
      </c>
      <c r="I112" s="128">
        <v>3.8893</v>
      </c>
      <c r="J112" s="37"/>
      <c r="K112" s="37"/>
      <c r="L112" s="37"/>
      <c r="M112" s="37"/>
      <c r="N112" s="37"/>
      <c r="O112" s="37"/>
      <c r="P112" s="37"/>
      <c r="Q112" s="37"/>
      <c r="R112" s="14">
        <f t="shared" si="61"/>
        <v>2.9261462954134876</v>
      </c>
      <c r="S112">
        <f t="shared" si="62"/>
        <v>4.4693595875567718E-2</v>
      </c>
      <c r="T112">
        <f t="shared" si="63"/>
        <v>0.78836275906345477</v>
      </c>
      <c r="U112">
        <f t="shared" si="64"/>
        <v>0.48495626091507349</v>
      </c>
      <c r="V112">
        <f t="shared" si="65"/>
        <v>0.38232145588010397</v>
      </c>
      <c r="W112">
        <f t="shared" si="66"/>
        <v>1.2925901593501045E-2</v>
      </c>
      <c r="X112">
        <f t="shared" si="67"/>
        <v>7.401602185032119E-2</v>
      </c>
      <c r="Y112">
        <f t="shared" si="68"/>
        <v>1.3527604293620472E-2</v>
      </c>
      <c r="Z112" s="79"/>
      <c r="AA112" s="230">
        <f t="shared" si="51"/>
        <v>0.18796052708030467</v>
      </c>
      <c r="AB112">
        <f t="shared" si="52"/>
        <v>2.1472560401467291</v>
      </c>
      <c r="AC112">
        <v>2.5221484141056987</v>
      </c>
      <c r="AD112">
        <f t="shared" si="53"/>
        <v>0</v>
      </c>
      <c r="AE112">
        <f t="shared" si="54"/>
        <v>2.148980327021377E-7</v>
      </c>
      <c r="AF112">
        <f t="shared" si="55"/>
        <v>2.4912036389450432</v>
      </c>
      <c r="AG112">
        <f t="shared" si="56"/>
        <v>4.589616947680784</v>
      </c>
      <c r="AH112">
        <f t="shared" si="57"/>
        <v>1.3689999358997906</v>
      </c>
      <c r="AI112" s="253">
        <f t="shared" si="58"/>
        <v>1.5058999294897699</v>
      </c>
      <c r="AJ112">
        <f t="shared" si="59"/>
        <v>1.280739516376886</v>
      </c>
      <c r="AK112">
        <f t="shared" si="60"/>
        <v>13.183260334756136</v>
      </c>
      <c r="AL112" s="73"/>
      <c r="AM112" s="73"/>
      <c r="AR112" s="37"/>
      <c r="AS112" s="37"/>
      <c r="AT112" s="37"/>
      <c r="AU112" s="37"/>
      <c r="AV112" s="37"/>
      <c r="AW112" s="37"/>
      <c r="AX112" s="77"/>
      <c r="AY112" s="37"/>
      <c r="AZ112" s="37"/>
      <c r="BA112" s="37"/>
      <c r="BB112" s="77"/>
      <c r="BC112" s="77"/>
      <c r="BD112" s="77"/>
      <c r="BE112" s="77"/>
    </row>
    <row r="113" spans="1:57">
      <c r="D113" s="72" t="s">
        <v>249</v>
      </c>
      <c r="E113" s="73">
        <v>0.3</v>
      </c>
      <c r="F113" s="104">
        <v>0.55000000000000004</v>
      </c>
      <c r="G113" s="79">
        <v>0.11704000000000001</v>
      </c>
      <c r="H113" s="73">
        <v>1.9692000000000001</v>
      </c>
      <c r="I113" s="77">
        <v>5.8299999999999998E-2</v>
      </c>
      <c r="J113" s="77"/>
      <c r="K113" s="77"/>
      <c r="L113" s="77"/>
      <c r="M113" s="77"/>
      <c r="N113" s="77"/>
      <c r="O113" s="77"/>
      <c r="P113" s="77"/>
      <c r="Q113" s="77"/>
      <c r="R113" s="14">
        <f t="shared" si="61"/>
        <v>5.0036096669877761</v>
      </c>
      <c r="S113">
        <f t="shared" si="62"/>
        <v>2.3391113174193557E-2</v>
      </c>
      <c r="T113">
        <f t="shared" si="63"/>
        <v>1.0897410340667351</v>
      </c>
      <c r="U113">
        <f t="shared" ref="U113:U118" si="70">0.15/G113/T113</f>
        <v>1.1760712716631552</v>
      </c>
      <c r="V113">
        <f t="shared" si="65"/>
        <v>0.42720437457279564</v>
      </c>
      <c r="W113">
        <f t="shared" si="66"/>
        <v>2.7782312905383598E-2</v>
      </c>
      <c r="X113">
        <f t="shared" si="67"/>
        <v>6.5863603675284751E-2</v>
      </c>
      <c r="Y113">
        <f t="shared" si="68"/>
        <v>1.7327317292598478E-4</v>
      </c>
      <c r="AA113" s="230">
        <f t="shared" si="51"/>
        <v>0.10992064461557123</v>
      </c>
      <c r="AB113">
        <f t="shared" si="52"/>
        <v>1.2557305076441201</v>
      </c>
      <c r="AC113">
        <v>1.7708272606653537</v>
      </c>
      <c r="AD113">
        <f t="shared" si="53"/>
        <v>0</v>
      </c>
      <c r="AE113">
        <f t="shared" si="54"/>
        <v>4.9888287190213987E-7</v>
      </c>
      <c r="AF113">
        <f t="shared" si="55"/>
        <v>3.548163870494518</v>
      </c>
      <c r="AG113">
        <f t="shared" si="56"/>
        <v>3.5098033822352717</v>
      </c>
      <c r="AH113">
        <f t="shared" si="57"/>
        <v>1.7901815637256706</v>
      </c>
      <c r="AI113" s="253">
        <f t="shared" si="58"/>
        <v>1.9691997200982378</v>
      </c>
      <c r="AJ113">
        <f t="shared" si="59"/>
        <v>1.6061659568898647</v>
      </c>
      <c r="AK113">
        <f t="shared" si="60"/>
        <v>10.579809286343915</v>
      </c>
    </row>
    <row r="114" spans="1:57">
      <c r="D114" s="117" t="s">
        <v>249</v>
      </c>
      <c r="E114" s="118">
        <v>0.3</v>
      </c>
      <c r="F114" s="120">
        <v>0.55000000000000004</v>
      </c>
      <c r="G114" s="79">
        <v>0.15262000000000001</v>
      </c>
      <c r="H114" s="73">
        <v>2.1333000000000002</v>
      </c>
      <c r="I114" s="77">
        <v>0.42409999999999998</v>
      </c>
      <c r="J114" s="77"/>
      <c r="K114" s="77"/>
      <c r="L114" s="77"/>
      <c r="M114" s="77"/>
      <c r="N114" s="77"/>
      <c r="O114" s="77"/>
      <c r="P114" s="77"/>
      <c r="Q114" s="77"/>
      <c r="R114" s="14">
        <f t="shared" si="61"/>
        <v>5.872291900839822</v>
      </c>
      <c r="S114">
        <f t="shared" si="62"/>
        <v>2.5989852442139867E-2</v>
      </c>
      <c r="T114">
        <f t="shared" si="63"/>
        <v>1.033824553979815</v>
      </c>
      <c r="U114">
        <f t="shared" si="70"/>
        <v>0.95067695641843042</v>
      </c>
      <c r="V114">
        <f t="shared" si="65"/>
        <v>0.32761106014939068</v>
      </c>
      <c r="W114">
        <f t="shared" si="66"/>
        <v>3.7660015106715447E-2</v>
      </c>
      <c r="X114">
        <f t="shared" si="67"/>
        <v>8.5330214828027939E-2</v>
      </c>
      <c r="Y114">
        <f t="shared" si="68"/>
        <v>8.922607796219232E-4</v>
      </c>
      <c r="AA114" s="230">
        <f t="shared" si="51"/>
        <v>9.3660194228652391E-2</v>
      </c>
      <c r="AB114">
        <f t="shared" si="52"/>
        <v>1.0699715568091908</v>
      </c>
      <c r="AC114">
        <v>1.6067552612805538</v>
      </c>
      <c r="AD114">
        <f t="shared" si="53"/>
        <v>0</v>
      </c>
      <c r="AE114">
        <f t="shared" si="54"/>
        <v>3.3788704811854586E-7</v>
      </c>
      <c r="AF114">
        <f t="shared" si="55"/>
        <v>3.9104806180450939</v>
      </c>
      <c r="AG114">
        <f t="shared" si="56"/>
        <v>3.2398183840584935</v>
      </c>
      <c r="AH114">
        <f t="shared" si="57"/>
        <v>1.9393634341035784</v>
      </c>
      <c r="AI114" s="253">
        <f t="shared" si="58"/>
        <v>2.1332997775139364</v>
      </c>
      <c r="AJ114">
        <f t="shared" si="59"/>
        <v>1.6851136612802857</v>
      </c>
      <c r="AK114">
        <f t="shared" si="60"/>
        <v>10.094580033698106</v>
      </c>
    </row>
    <row r="115" spans="1:57">
      <c r="D115" s="72" t="s">
        <v>249</v>
      </c>
      <c r="E115" s="73">
        <v>0.3</v>
      </c>
      <c r="F115" s="104">
        <v>0.55000000000000004</v>
      </c>
      <c r="G115" s="122">
        <v>0.14074999999999999</v>
      </c>
      <c r="H115" s="118">
        <v>1.5059</v>
      </c>
      <c r="I115" s="126">
        <v>2.98E-2</v>
      </c>
      <c r="J115" s="77"/>
      <c r="K115" s="77"/>
      <c r="L115" s="77"/>
      <c r="M115" s="77"/>
      <c r="N115" s="77"/>
      <c r="O115" s="77"/>
      <c r="P115" s="77"/>
      <c r="Q115" s="77"/>
      <c r="R115" s="14">
        <f t="shared" si="61"/>
        <v>2.9261462954134876</v>
      </c>
      <c r="S115">
        <f t="shared" si="62"/>
        <v>4.8100807611914327E-2</v>
      </c>
      <c r="T115">
        <f t="shared" si="63"/>
        <v>0.75992820797337879</v>
      </c>
      <c r="U115">
        <f t="shared" si="70"/>
        <v>1.4023947912270645</v>
      </c>
      <c r="V115">
        <f t="shared" si="65"/>
        <v>0.35523978685612795</v>
      </c>
      <c r="W115">
        <f t="shared" si="66"/>
        <v>1.3539111178562E-2</v>
      </c>
      <c r="X115">
        <f t="shared" si="67"/>
        <v>7.9415528384297177E-2</v>
      </c>
      <c r="Y115">
        <f t="shared" si="68"/>
        <v>9.6307174349750347E-5</v>
      </c>
      <c r="AA115" s="230">
        <f t="shared" si="51"/>
        <v>0.18796052708030467</v>
      </c>
      <c r="AB115">
        <f t="shared" si="52"/>
        <v>2.1472560401467291</v>
      </c>
      <c r="AC115">
        <v>2.5221484141056987</v>
      </c>
      <c r="AD115">
        <f t="shared" si="53"/>
        <v>0</v>
      </c>
      <c r="AE115">
        <f t="shared" si="54"/>
        <v>2.148980327021377E-7</v>
      </c>
      <c r="AF115">
        <f t="shared" si="55"/>
        <v>2.4912036389450432</v>
      </c>
      <c r="AG115">
        <f t="shared" si="56"/>
        <v>4.589616947680784</v>
      </c>
      <c r="AH115">
        <f t="shared" si="57"/>
        <v>1.3689999358997906</v>
      </c>
      <c r="AI115" s="253">
        <f t="shared" si="58"/>
        <v>1.5058999294897699</v>
      </c>
      <c r="AJ115">
        <f t="shared" si="59"/>
        <v>1.280739516376886</v>
      </c>
      <c r="AK115">
        <f t="shared" si="60"/>
        <v>13.183260334756136</v>
      </c>
    </row>
    <row r="116" spans="1:57">
      <c r="D116" s="117" t="s">
        <v>249</v>
      </c>
      <c r="E116" s="118">
        <v>0.3</v>
      </c>
      <c r="F116" s="120">
        <v>0.55000000000000004</v>
      </c>
      <c r="G116" s="79">
        <v>0.11704000000000001</v>
      </c>
      <c r="H116" s="73">
        <v>1.9692000000000001</v>
      </c>
      <c r="I116" s="77">
        <v>5.2400000000000002E-2</v>
      </c>
      <c r="J116" s="77"/>
      <c r="K116" s="77"/>
      <c r="L116" s="77"/>
      <c r="M116" s="77"/>
      <c r="N116" s="77"/>
      <c r="O116" s="77"/>
      <c r="P116" s="77"/>
      <c r="Q116" s="77"/>
      <c r="R116" s="14">
        <f t="shared" si="61"/>
        <v>5.0036096669877761</v>
      </c>
      <c r="S116">
        <f t="shared" si="62"/>
        <v>2.3391113174193557E-2</v>
      </c>
      <c r="T116">
        <f t="shared" si="63"/>
        <v>1.0897410340667351</v>
      </c>
      <c r="U116">
        <f t="shared" si="70"/>
        <v>1.1760712716631552</v>
      </c>
      <c r="V116">
        <f t="shared" si="65"/>
        <v>0.42720437457279564</v>
      </c>
      <c r="W116">
        <f t="shared" si="66"/>
        <v>2.7782312905383598E-2</v>
      </c>
      <c r="X116">
        <f t="shared" si="67"/>
        <v>6.5863603675284751E-2</v>
      </c>
      <c r="Y116">
        <f t="shared" si="68"/>
        <v>1.5573780894205148E-4</v>
      </c>
      <c r="AA116" s="230">
        <f t="shared" si="51"/>
        <v>0.10992064461557123</v>
      </c>
      <c r="AB116">
        <f t="shared" si="52"/>
        <v>1.2557305076441201</v>
      </c>
      <c r="AC116">
        <v>1.7708272606653537</v>
      </c>
      <c r="AD116">
        <f t="shared" si="53"/>
        <v>0</v>
      </c>
      <c r="AE116">
        <f t="shared" si="54"/>
        <v>4.9888287190213987E-7</v>
      </c>
      <c r="AF116">
        <f t="shared" si="55"/>
        <v>3.548163870494518</v>
      </c>
      <c r="AG116">
        <f t="shared" si="56"/>
        <v>3.5098033822352717</v>
      </c>
      <c r="AH116">
        <f t="shared" si="57"/>
        <v>1.7901815637256706</v>
      </c>
      <c r="AI116" s="253">
        <f t="shared" si="58"/>
        <v>1.9691997200982378</v>
      </c>
      <c r="AJ116">
        <f t="shared" si="59"/>
        <v>1.6061659568898647</v>
      </c>
      <c r="AK116">
        <f t="shared" si="60"/>
        <v>10.579809286343915</v>
      </c>
    </row>
    <row r="117" spans="1:57">
      <c r="D117" s="72" t="s">
        <v>249</v>
      </c>
      <c r="E117" s="73">
        <v>0.3</v>
      </c>
      <c r="F117" s="104">
        <v>0.55000000000000004</v>
      </c>
      <c r="G117" s="79">
        <v>0.15262000000000001</v>
      </c>
      <c r="H117" s="73">
        <v>2.1333000000000002</v>
      </c>
      <c r="I117" s="77">
        <v>0.4264</v>
      </c>
      <c r="J117" s="77"/>
      <c r="K117" s="77"/>
      <c r="L117" s="77"/>
      <c r="M117" s="77"/>
      <c r="N117" s="77"/>
      <c r="O117" s="77"/>
      <c r="P117" s="77"/>
      <c r="Q117" s="77"/>
      <c r="R117" s="14">
        <f t="shared" si="61"/>
        <v>5.872291900839822</v>
      </c>
      <c r="S117">
        <f t="shared" si="62"/>
        <v>2.5989852442139867E-2</v>
      </c>
      <c r="T117">
        <f t="shared" si="63"/>
        <v>1.033824553979815</v>
      </c>
      <c r="U117">
        <f t="shared" si="70"/>
        <v>0.95067695641843042</v>
      </c>
      <c r="V117">
        <f t="shared" si="65"/>
        <v>0.32761106014939068</v>
      </c>
      <c r="W117">
        <f t="shared" si="66"/>
        <v>3.7660015106715447E-2</v>
      </c>
      <c r="X117">
        <f t="shared" si="67"/>
        <v>8.5330214828027939E-2</v>
      </c>
      <c r="Y117">
        <f t="shared" si="68"/>
        <v>8.9709973221124286E-4</v>
      </c>
      <c r="AA117" s="230">
        <f t="shared" si="51"/>
        <v>9.3660194228652391E-2</v>
      </c>
      <c r="AB117">
        <f t="shared" si="52"/>
        <v>1.0699715568091908</v>
      </c>
      <c r="AC117">
        <v>1.6067552612805538</v>
      </c>
      <c r="AD117">
        <f t="shared" si="53"/>
        <v>0</v>
      </c>
      <c r="AE117">
        <f t="shared" si="54"/>
        <v>3.3788704811854586E-7</v>
      </c>
      <c r="AF117">
        <f t="shared" si="55"/>
        <v>3.9104806180450939</v>
      </c>
      <c r="AG117">
        <f t="shared" si="56"/>
        <v>3.2398183840584935</v>
      </c>
      <c r="AH117">
        <f t="shared" si="57"/>
        <v>1.9393634341035784</v>
      </c>
      <c r="AI117" s="253">
        <f t="shared" si="58"/>
        <v>2.1332997775139364</v>
      </c>
      <c r="AJ117">
        <f t="shared" si="59"/>
        <v>1.6851136612802857</v>
      </c>
      <c r="AK117">
        <f t="shared" si="60"/>
        <v>10.094580033698106</v>
      </c>
    </row>
    <row r="118" spans="1:57">
      <c r="D118" s="117" t="s">
        <v>249</v>
      </c>
      <c r="E118" s="118">
        <v>0.3</v>
      </c>
      <c r="F118" s="120">
        <v>0.55000000000000004</v>
      </c>
      <c r="G118" s="122">
        <v>0.14074999999999999</v>
      </c>
      <c r="H118" s="118">
        <v>1.5059</v>
      </c>
      <c r="I118" s="126">
        <v>5.7799999999999997E-2</v>
      </c>
      <c r="J118" s="77"/>
      <c r="K118" s="77"/>
      <c r="L118" s="77"/>
      <c r="M118" s="77"/>
      <c r="N118" s="77"/>
      <c r="O118" s="77"/>
      <c r="P118" s="77"/>
      <c r="Q118" s="77"/>
      <c r="R118" s="14">
        <f t="shared" si="61"/>
        <v>2.9261462954134876</v>
      </c>
      <c r="S118">
        <f t="shared" si="62"/>
        <v>4.8100807611914327E-2</v>
      </c>
      <c r="T118">
        <f t="shared" si="63"/>
        <v>0.75992820797337879</v>
      </c>
      <c r="U118">
        <f t="shared" si="70"/>
        <v>1.4023947912270645</v>
      </c>
      <c r="V118">
        <f t="shared" si="65"/>
        <v>0.35523978685612795</v>
      </c>
      <c r="W118">
        <f t="shared" si="66"/>
        <v>1.3539111178562E-2</v>
      </c>
      <c r="X118">
        <f t="shared" si="67"/>
        <v>7.9415528384297177E-2</v>
      </c>
      <c r="Y118">
        <f t="shared" si="68"/>
        <v>1.8679713682602582E-4</v>
      </c>
      <c r="AA118" s="230">
        <f t="shared" si="51"/>
        <v>0.18796052708030467</v>
      </c>
      <c r="AB118">
        <f t="shared" si="52"/>
        <v>2.1472560401467291</v>
      </c>
      <c r="AC118">
        <v>2.5221484141056987</v>
      </c>
      <c r="AD118">
        <f t="shared" si="53"/>
        <v>0</v>
      </c>
      <c r="AE118">
        <f t="shared" si="54"/>
        <v>2.148980327021377E-7</v>
      </c>
      <c r="AF118">
        <f t="shared" si="55"/>
        <v>2.4912036389450432</v>
      </c>
      <c r="AG118">
        <f t="shared" si="56"/>
        <v>4.589616947680784</v>
      </c>
      <c r="AH118">
        <f t="shared" si="57"/>
        <v>1.3689999358997906</v>
      </c>
      <c r="AI118" s="253">
        <f t="shared" si="58"/>
        <v>1.5058999294897699</v>
      </c>
      <c r="AJ118">
        <f t="shared" si="59"/>
        <v>1.280739516376886</v>
      </c>
      <c r="AK118">
        <f t="shared" si="60"/>
        <v>13.183260334756136</v>
      </c>
      <c r="AL118" s="14">
        <f>AVERAGE(AK101:AK118)</f>
        <v>12.480260194871276</v>
      </c>
    </row>
    <row r="119" spans="1:57" s="17" customFormat="1">
      <c r="A119" s="16" t="s">
        <v>227</v>
      </c>
      <c r="B119" s="6">
        <v>480</v>
      </c>
      <c r="C119" s="6" t="s">
        <v>132</v>
      </c>
      <c r="D119" s="72" t="s">
        <v>249</v>
      </c>
      <c r="E119" s="73">
        <v>0.4</v>
      </c>
      <c r="F119" s="104">
        <v>0.55000000000000004</v>
      </c>
      <c r="G119" s="79">
        <v>7.8688999999999995E-2</v>
      </c>
      <c r="H119" s="73">
        <v>1.7067000000000001</v>
      </c>
      <c r="I119" s="77">
        <v>1.0339</v>
      </c>
      <c r="J119" s="235">
        <v>7.8688999999999995E-2</v>
      </c>
      <c r="K119" s="240">
        <v>1.7067000000000001</v>
      </c>
      <c r="L119" s="235">
        <v>8.5734000000000005E-2</v>
      </c>
      <c r="M119" s="240">
        <v>1.6</v>
      </c>
      <c r="N119" s="240">
        <v>0</v>
      </c>
      <c r="O119" s="240">
        <v>0</v>
      </c>
      <c r="P119" s="240">
        <v>1.0339</v>
      </c>
      <c r="Q119" s="241">
        <v>1.3247</v>
      </c>
      <c r="R119" s="14">
        <f t="shared" si="61"/>
        <v>3.758531078447263</v>
      </c>
      <c r="S119">
        <f t="shared" si="62"/>
        <v>2.0936104653019993E-2</v>
      </c>
      <c r="T119">
        <f t="shared" si="63"/>
        <v>1.1518629501347779</v>
      </c>
      <c r="U119">
        <f t="shared" si="64"/>
        <v>0.55163926197974955</v>
      </c>
      <c r="V119">
        <f t="shared" si="65"/>
        <v>0.63541282771416596</v>
      </c>
      <c r="W119">
        <f t="shared" si="66"/>
        <v>1.3758632535797967E-2</v>
      </c>
      <c r="X119">
        <f t="shared" si="67"/>
        <v>3.8330426810711048E-2</v>
      </c>
      <c r="Y119">
        <f t="shared" si="68"/>
        <v>5.2734427338340219E-3</v>
      </c>
      <c r="Z119" s="79"/>
      <c r="AA119" s="230">
        <f t="shared" si="51"/>
        <v>0.14633376404784657</v>
      </c>
      <c r="AB119">
        <f t="shared" si="52"/>
        <v>1.6717130112903886</v>
      </c>
      <c r="AC119">
        <v>2.1251243548699534</v>
      </c>
      <c r="AD119">
        <f t="shared" si="53"/>
        <v>0</v>
      </c>
      <c r="AE119">
        <f t="shared" si="54"/>
        <v>1.8860082917626642E-7</v>
      </c>
      <c r="AF119">
        <f t="shared" si="55"/>
        <v>2.9566200645063354</v>
      </c>
      <c r="AG119">
        <f t="shared" si="56"/>
        <v>4.0496303742793573</v>
      </c>
      <c r="AH119">
        <f t="shared" si="57"/>
        <v>1.5515453822863268</v>
      </c>
      <c r="AI119" s="253">
        <f t="shared" si="58"/>
        <v>1.7066999205149596</v>
      </c>
      <c r="AJ119">
        <f t="shared" si="59"/>
        <v>1.4433939105153388</v>
      </c>
      <c r="AK119">
        <f t="shared" si="60"/>
        <v>15.489363114876124</v>
      </c>
      <c r="AL119" s="73"/>
      <c r="AM119" s="73"/>
      <c r="AR119" s="37"/>
      <c r="AS119" s="37"/>
      <c r="AT119" s="37"/>
      <c r="AU119" s="37"/>
      <c r="AV119" s="37"/>
      <c r="AW119" s="37"/>
      <c r="AX119" s="77"/>
      <c r="AY119" s="37"/>
      <c r="AZ119" s="37"/>
      <c r="BA119" s="37"/>
      <c r="BB119" s="84"/>
      <c r="BC119" s="77"/>
      <c r="BD119" s="77"/>
      <c r="BE119" s="77"/>
    </row>
    <row r="120" spans="1:57" s="17" customFormat="1">
      <c r="A120" s="16" t="s">
        <v>227</v>
      </c>
      <c r="B120" s="6">
        <v>481</v>
      </c>
      <c r="C120" s="6" t="s">
        <v>133</v>
      </c>
      <c r="D120" s="72" t="s">
        <v>249</v>
      </c>
      <c r="E120" s="73">
        <v>0.4</v>
      </c>
      <c r="F120" s="104">
        <v>0.55000000000000004</v>
      </c>
      <c r="G120" s="79">
        <v>8.2816000000000001E-2</v>
      </c>
      <c r="H120" s="73">
        <v>1.2190000000000001</v>
      </c>
      <c r="I120" s="77">
        <v>0.27539999999999998</v>
      </c>
      <c r="J120" s="232">
        <v>8.2816000000000001E-2</v>
      </c>
      <c r="K120" s="7">
        <v>1.2190000000000001</v>
      </c>
      <c r="L120" s="232">
        <v>8.5916000000000006E-2</v>
      </c>
      <c r="M120" s="7">
        <v>1.1636</v>
      </c>
      <c r="N120" s="7">
        <v>0</v>
      </c>
      <c r="O120" s="7">
        <v>0</v>
      </c>
      <c r="P120" s="7">
        <v>0.27539999999999998</v>
      </c>
      <c r="Q120" s="36">
        <v>0.20780000000000001</v>
      </c>
      <c r="R120" s="14">
        <f t="shared" si="61"/>
        <v>1.9173931872920011</v>
      </c>
      <c r="S120">
        <f t="shared" si="62"/>
        <v>4.3191975724584594E-2</v>
      </c>
      <c r="T120">
        <f t="shared" si="63"/>
        <v>0.8019498572700311</v>
      </c>
      <c r="U120">
        <f t="shared" si="64"/>
        <v>0.75285014709203879</v>
      </c>
      <c r="V120">
        <f t="shared" si="65"/>
        <v>0.60374806800618241</v>
      </c>
      <c r="W120">
        <f t="shared" si="66"/>
        <v>3.6833584568638548E-3</v>
      </c>
      <c r="X120">
        <f t="shared" si="67"/>
        <v>4.1619649093539941E-2</v>
      </c>
      <c r="Y120">
        <f t="shared" si="68"/>
        <v>1.8686712055625916E-3</v>
      </c>
      <c r="Z120" s="79"/>
      <c r="AA120" s="230">
        <f t="shared" si="51"/>
        <v>0.28684779086796669</v>
      </c>
      <c r="AB120">
        <f t="shared" si="52"/>
        <v>3.2769414999609654</v>
      </c>
      <c r="AC120">
        <v>3.4843375492513409</v>
      </c>
      <c r="AD120">
        <f t="shared" si="53"/>
        <v>0</v>
      </c>
      <c r="AE120">
        <f t="shared" si="54"/>
        <v>7.5989119885377931E-8</v>
      </c>
      <c r="AF120">
        <f t="shared" si="55"/>
        <v>1.8032653892931865</v>
      </c>
      <c r="AG120">
        <f t="shared" si="56"/>
        <v>5.6698145451421507</v>
      </c>
      <c r="AH120">
        <f t="shared" si="57"/>
        <v>1.1081818033295228</v>
      </c>
      <c r="AI120" s="253">
        <f t="shared" si="58"/>
        <v>1.2189999836624752</v>
      </c>
      <c r="AJ120">
        <f t="shared" si="59"/>
        <v>0.98769450948860282</v>
      </c>
      <c r="AK120">
        <f t="shared" si="60"/>
        <v>22.047136321343551</v>
      </c>
      <c r="AL120" s="73"/>
      <c r="AM120" s="73"/>
      <c r="AR120" s="77"/>
      <c r="AS120" s="77"/>
      <c r="AT120" s="77"/>
      <c r="AU120" s="37"/>
      <c r="AV120" s="37"/>
      <c r="AW120" s="37"/>
      <c r="AX120" s="77"/>
      <c r="AY120" s="37"/>
      <c r="AZ120" s="37"/>
      <c r="BA120" s="37"/>
      <c r="BB120" s="84"/>
      <c r="BC120" s="77"/>
      <c r="BD120" s="77"/>
      <c r="BE120" s="77"/>
    </row>
    <row r="121" spans="1:57" s="17" customFormat="1">
      <c r="A121" s="16" t="s">
        <v>227</v>
      </c>
      <c r="B121" s="6">
        <v>482</v>
      </c>
      <c r="C121" s="6" t="s">
        <v>134</v>
      </c>
      <c r="D121" s="72" t="s">
        <v>249</v>
      </c>
      <c r="E121" s="73">
        <v>0.4</v>
      </c>
      <c r="F121" s="104">
        <v>0.55000000000000004</v>
      </c>
      <c r="G121" s="79">
        <v>0.11277</v>
      </c>
      <c r="H121" s="73">
        <v>1.9692000000000001</v>
      </c>
      <c r="I121" s="77">
        <v>3.1147</v>
      </c>
      <c r="J121" s="232">
        <v>0.11277</v>
      </c>
      <c r="K121" s="7">
        <v>1.9692000000000001</v>
      </c>
      <c r="L121" s="232">
        <v>0.11611</v>
      </c>
      <c r="M121" s="7">
        <v>1.9692000000000001</v>
      </c>
      <c r="N121" s="7">
        <v>6.3700000000000007E-2</v>
      </c>
      <c r="O121" s="7">
        <v>5.74E-2</v>
      </c>
      <c r="P121" s="7">
        <v>3.1147</v>
      </c>
      <c r="Q121" s="36">
        <v>3.9117999999999999</v>
      </c>
      <c r="R121" s="14">
        <f t="shared" si="61"/>
        <v>5.0036096669877761</v>
      </c>
      <c r="S121">
        <f t="shared" si="62"/>
        <v>2.2537729260541758E-2</v>
      </c>
      <c r="T121">
        <f t="shared" si="63"/>
        <v>1.1101806943988444</v>
      </c>
      <c r="U121">
        <f t="shared" si="64"/>
        <v>0.39937672658645507</v>
      </c>
      <c r="V121">
        <f t="shared" si="65"/>
        <v>0.44338033164848811</v>
      </c>
      <c r="W121">
        <f t="shared" si="66"/>
        <v>2.7331932097099342E-2</v>
      </c>
      <c r="X121">
        <f t="shared" si="67"/>
        <v>6.3150988650383141E-2</v>
      </c>
      <c r="Y121">
        <f t="shared" si="68"/>
        <v>9.6077065294391008E-3</v>
      </c>
      <c r="Z121" s="79"/>
      <c r="AA121" s="230">
        <f t="shared" si="51"/>
        <v>0.10992064461557123</v>
      </c>
      <c r="AB121">
        <f t="shared" si="52"/>
        <v>1.2557305076441201</v>
      </c>
      <c r="AC121">
        <v>1.7708272606653537</v>
      </c>
      <c r="AD121">
        <f t="shared" si="53"/>
        <v>0</v>
      </c>
      <c r="AE121">
        <f t="shared" si="54"/>
        <v>4.9888287190213987E-7</v>
      </c>
      <c r="AF121">
        <f t="shared" si="55"/>
        <v>3.548163870494518</v>
      </c>
      <c r="AG121">
        <f t="shared" si="56"/>
        <v>3.5098033822352717</v>
      </c>
      <c r="AH121">
        <f t="shared" si="57"/>
        <v>1.7901815637256706</v>
      </c>
      <c r="AI121" s="253">
        <f t="shared" si="58"/>
        <v>1.9691997200982378</v>
      </c>
      <c r="AJ121">
        <f t="shared" si="59"/>
        <v>1.6061659568898647</v>
      </c>
      <c r="AK121">
        <f t="shared" si="60"/>
        <v>13.984477810415791</v>
      </c>
      <c r="AL121" s="73"/>
      <c r="AM121" s="73"/>
      <c r="AR121" s="37"/>
      <c r="AS121" s="37"/>
      <c r="AT121" s="37"/>
      <c r="AU121" s="37"/>
      <c r="AV121" s="37"/>
      <c r="AW121" s="37"/>
      <c r="AX121" s="77"/>
      <c r="AY121" s="37"/>
      <c r="AZ121" s="37"/>
      <c r="BA121" s="37"/>
      <c r="BB121" s="77"/>
      <c r="BC121" s="77"/>
      <c r="BD121" s="77"/>
      <c r="BE121" s="77"/>
    </row>
    <row r="122" spans="1:57" s="17" customFormat="1">
      <c r="A122" s="16" t="s">
        <v>227</v>
      </c>
      <c r="B122" s="6">
        <v>483</v>
      </c>
      <c r="C122" s="6" t="s">
        <v>135</v>
      </c>
      <c r="D122" s="72" t="s">
        <v>249</v>
      </c>
      <c r="E122" s="73">
        <v>0.4</v>
      </c>
      <c r="F122" s="104">
        <v>0.55000000000000004</v>
      </c>
      <c r="G122" s="79">
        <v>0.10932</v>
      </c>
      <c r="H122" s="73">
        <v>1.3473999999999999</v>
      </c>
      <c r="I122" s="77">
        <v>0.99219999999999997</v>
      </c>
      <c r="J122" s="232">
        <v>0.10932</v>
      </c>
      <c r="K122" s="7">
        <v>1.3473999999999999</v>
      </c>
      <c r="L122" s="232">
        <v>0.11441999999999999</v>
      </c>
      <c r="M122" s="7">
        <v>1.3473999999999999</v>
      </c>
      <c r="N122" s="7">
        <v>0</v>
      </c>
      <c r="O122" s="7">
        <v>0</v>
      </c>
      <c r="P122" s="7">
        <v>0.99219999999999997</v>
      </c>
      <c r="Q122" s="36">
        <v>0.97960000000000003</v>
      </c>
      <c r="R122" s="14">
        <f t="shared" si="61"/>
        <v>2.3425930729291196</v>
      </c>
      <c r="S122">
        <f t="shared" si="62"/>
        <v>4.6666235490617679E-2</v>
      </c>
      <c r="T122">
        <f t="shared" si="63"/>
        <v>0.77152031404455734</v>
      </c>
      <c r="U122">
        <f t="shared" si="64"/>
        <v>0.59282023042258991</v>
      </c>
      <c r="V122">
        <f t="shared" si="65"/>
        <v>0.45737285034760339</v>
      </c>
      <c r="W122">
        <f t="shared" si="66"/>
        <v>7.5782627334993816E-3</v>
      </c>
      <c r="X122">
        <f t="shared" si="67"/>
        <v>6.0894810379671031E-2</v>
      </c>
      <c r="Y122">
        <f t="shared" si="68"/>
        <v>4.614131529364008E-3</v>
      </c>
      <c r="Z122" s="79"/>
      <c r="AA122" s="230">
        <f t="shared" si="51"/>
        <v>0.23478256055469926</v>
      </c>
      <c r="AB122">
        <f t="shared" si="52"/>
        <v>2.6821496997441594</v>
      </c>
      <c r="AC122">
        <v>2.9717150573049369</v>
      </c>
      <c r="AD122">
        <f t="shared" si="53"/>
        <v>0</v>
      </c>
      <c r="AE122">
        <f t="shared" si="54"/>
        <v>3.8743203045754626E-7</v>
      </c>
      <c r="AF122">
        <f t="shared" si="55"/>
        <v>2.1143296668819378</v>
      </c>
      <c r="AG122">
        <f t="shared" si="56"/>
        <v>5.1295119191950898</v>
      </c>
      <c r="AH122">
        <f t="shared" si="57"/>
        <v>1.2249089983917083</v>
      </c>
      <c r="AI122" s="253">
        <f t="shared" si="58"/>
        <v>1.3473998982308792</v>
      </c>
      <c r="AJ122">
        <f t="shared" si="59"/>
        <v>1.1264567121974149</v>
      </c>
      <c r="AK122">
        <f t="shared" si="60"/>
        <v>19.549734651801543</v>
      </c>
      <c r="AL122" s="73"/>
      <c r="AM122" s="73"/>
      <c r="AR122" s="37"/>
      <c r="AS122" s="37"/>
      <c r="AT122" s="37"/>
      <c r="AU122" s="37"/>
      <c r="AV122" s="37"/>
      <c r="AW122" s="37"/>
      <c r="AX122" s="77"/>
      <c r="AY122" s="37"/>
      <c r="AZ122" s="37"/>
      <c r="BA122" s="37"/>
      <c r="BB122" s="84"/>
      <c r="BC122" s="77"/>
      <c r="BD122" s="77"/>
      <c r="BE122" s="77"/>
    </row>
    <row r="123" spans="1:57" s="17" customFormat="1">
      <c r="A123" s="16" t="s">
        <v>227</v>
      </c>
      <c r="B123" s="6">
        <v>484</v>
      </c>
      <c r="C123" s="6" t="s">
        <v>136</v>
      </c>
      <c r="D123" s="72" t="s">
        <v>249</v>
      </c>
      <c r="E123" s="73">
        <v>0.4</v>
      </c>
      <c r="F123" s="104">
        <v>0.55000000000000004</v>
      </c>
      <c r="G123" s="79">
        <v>0.14663000000000001</v>
      </c>
      <c r="H123" s="73">
        <v>2.1333000000000002</v>
      </c>
      <c r="I123" s="77">
        <v>8.3000000000000007</v>
      </c>
      <c r="J123" s="232">
        <v>0.14663000000000001</v>
      </c>
      <c r="K123" s="7">
        <v>2.1333000000000002</v>
      </c>
      <c r="L123" s="232">
        <v>0.15149000000000001</v>
      </c>
      <c r="M123" s="7">
        <v>2.1333000000000002</v>
      </c>
      <c r="N123" s="7">
        <v>0.5111</v>
      </c>
      <c r="O123" s="7">
        <v>0.4032</v>
      </c>
      <c r="P123" s="7">
        <v>8.3000000000000007</v>
      </c>
      <c r="Q123" s="36">
        <v>9.1106999999999996</v>
      </c>
      <c r="R123" s="14">
        <f t="shared" si="61"/>
        <v>5.872291900839822</v>
      </c>
      <c r="S123">
        <f t="shared" si="62"/>
        <v>2.4969807781358728E-2</v>
      </c>
      <c r="T123">
        <f t="shared" si="63"/>
        <v>1.0547296383546279</v>
      </c>
      <c r="U123">
        <f t="shared" si="64"/>
        <v>0.32330023457567153</v>
      </c>
      <c r="V123">
        <f t="shared" si="65"/>
        <v>0.3409943394939644</v>
      </c>
      <c r="W123">
        <f t="shared" si="66"/>
        <v>3.7269701595324015E-2</v>
      </c>
      <c r="X123">
        <f t="shared" si="67"/>
        <v>8.2412084594603002E-2</v>
      </c>
      <c r="Y123">
        <f t="shared" si="68"/>
        <v>1.8175662008516526E-2</v>
      </c>
      <c r="Z123" s="79"/>
      <c r="AA123" s="230">
        <f t="shared" si="51"/>
        <v>9.3660194228652391E-2</v>
      </c>
      <c r="AB123">
        <f t="shared" si="52"/>
        <v>1.0699715568091908</v>
      </c>
      <c r="AC123">
        <v>1.6067552612805538</v>
      </c>
      <c r="AD123">
        <f t="shared" si="53"/>
        <v>0</v>
      </c>
      <c r="AE123">
        <f t="shared" si="54"/>
        <v>3.3788704811854586E-7</v>
      </c>
      <c r="AF123">
        <f t="shared" si="55"/>
        <v>3.9104806180450939</v>
      </c>
      <c r="AG123">
        <f t="shared" si="56"/>
        <v>3.2398183840584935</v>
      </c>
      <c r="AH123">
        <f t="shared" si="57"/>
        <v>1.9393634341035784</v>
      </c>
      <c r="AI123" s="253">
        <f t="shared" si="58"/>
        <v>2.1332997775139364</v>
      </c>
      <c r="AJ123">
        <f t="shared" si="59"/>
        <v>1.6851136612802857</v>
      </c>
      <c r="AK123">
        <f t="shared" si="60"/>
        <v>13.353314597620075</v>
      </c>
      <c r="AL123" s="73"/>
      <c r="AM123" s="73"/>
      <c r="AR123" s="37"/>
      <c r="AS123" s="37"/>
      <c r="AT123" s="37"/>
      <c r="AU123" s="37"/>
      <c r="AV123" s="37"/>
      <c r="AW123" s="37"/>
      <c r="AX123" s="77"/>
      <c r="AY123" s="37"/>
      <c r="AZ123" s="37"/>
      <c r="BA123" s="37"/>
      <c r="BB123" s="77"/>
      <c r="BC123" s="77"/>
      <c r="BD123" s="77"/>
      <c r="BE123" s="77"/>
    </row>
    <row r="124" spans="1:57" s="17" customFormat="1" ht="13.5" thickBot="1">
      <c r="A124" s="115" t="s">
        <v>227</v>
      </c>
      <c r="B124" s="116">
        <v>485</v>
      </c>
      <c r="C124" s="116" t="s">
        <v>137</v>
      </c>
      <c r="D124" s="117" t="s">
        <v>249</v>
      </c>
      <c r="E124" s="118">
        <v>0.4</v>
      </c>
      <c r="F124" s="120">
        <v>0.55000000000000004</v>
      </c>
      <c r="G124" s="122">
        <v>0.12784999999999999</v>
      </c>
      <c r="H124" s="118">
        <v>1.5059</v>
      </c>
      <c r="I124" s="126">
        <v>2.6215000000000002</v>
      </c>
      <c r="J124" s="233">
        <v>0.12784999999999999</v>
      </c>
      <c r="K124" s="228">
        <v>1.5059</v>
      </c>
      <c r="L124" s="233">
        <v>0.13927999999999999</v>
      </c>
      <c r="M124" s="228">
        <v>1.5059</v>
      </c>
      <c r="N124" s="228">
        <v>2.5499999999999998E-2</v>
      </c>
      <c r="O124" s="228">
        <v>3.9800000000000002E-2</v>
      </c>
      <c r="P124" s="228">
        <v>2.6215000000000002</v>
      </c>
      <c r="Q124" s="228">
        <v>3.8348</v>
      </c>
      <c r="R124" s="14">
        <f t="shared" si="61"/>
        <v>2.9261462954134876</v>
      </c>
      <c r="S124">
        <f t="shared" si="62"/>
        <v>4.3692278885849006E-2</v>
      </c>
      <c r="T124">
        <f t="shared" si="63"/>
        <v>0.79734523112199529</v>
      </c>
      <c r="U124">
        <f t="shared" si="64"/>
        <v>0.49048177060360676</v>
      </c>
      <c r="V124">
        <f t="shared" si="65"/>
        <v>0.3910833007430583</v>
      </c>
      <c r="W124">
        <f t="shared" si="66"/>
        <v>1.2734519956742359E-2</v>
      </c>
      <c r="X124">
        <f t="shared" si="67"/>
        <v>7.234893874460066E-2</v>
      </c>
      <c r="Y124">
        <f t="shared" si="68"/>
        <v>9.3269556136911375E-3</v>
      </c>
      <c r="Z124" s="79"/>
      <c r="AA124" s="230">
        <f t="shared" si="51"/>
        <v>0.18796052708030467</v>
      </c>
      <c r="AB124">
        <f t="shared" si="52"/>
        <v>2.1472560401467291</v>
      </c>
      <c r="AC124">
        <v>2.5221484141056987</v>
      </c>
      <c r="AD124">
        <f t="shared" si="53"/>
        <v>0</v>
      </c>
      <c r="AE124">
        <f t="shared" si="54"/>
        <v>2.148980327021377E-7</v>
      </c>
      <c r="AF124">
        <f t="shared" si="55"/>
        <v>2.4912036389450432</v>
      </c>
      <c r="AG124">
        <f t="shared" si="56"/>
        <v>4.589616947680784</v>
      </c>
      <c r="AH124">
        <f t="shared" si="57"/>
        <v>1.3689999358997906</v>
      </c>
      <c r="AI124" s="253">
        <f t="shared" si="58"/>
        <v>1.5058999294897699</v>
      </c>
      <c r="AJ124">
        <f t="shared" si="59"/>
        <v>1.280739516376886</v>
      </c>
      <c r="AK124">
        <f t="shared" si="60"/>
        <v>17.344605402114226</v>
      </c>
      <c r="AL124" s="73"/>
      <c r="AM124" s="73"/>
      <c r="AR124" s="77"/>
      <c r="AS124" s="77"/>
      <c r="AT124" s="77"/>
      <c r="AU124" s="77"/>
      <c r="AV124" s="77"/>
      <c r="AW124" s="77"/>
      <c r="AX124" s="77"/>
      <c r="AY124" s="77"/>
      <c r="AZ124" s="77"/>
      <c r="BA124" s="77"/>
      <c r="BB124" s="77"/>
      <c r="BC124" s="77"/>
      <c r="BD124" s="77"/>
      <c r="BE124" s="77"/>
    </row>
    <row r="125" spans="1:57" s="17" customFormat="1">
      <c r="A125" s="16"/>
      <c r="B125" s="6"/>
      <c r="C125" s="6"/>
      <c r="D125" s="72" t="s">
        <v>249</v>
      </c>
      <c r="E125" s="73">
        <v>0.4</v>
      </c>
      <c r="F125" s="104">
        <v>0.55000000000000004</v>
      </c>
      <c r="G125" s="79">
        <v>7.8688999999999995E-2</v>
      </c>
      <c r="H125" s="73">
        <v>1.7067000000000001</v>
      </c>
      <c r="I125" s="37">
        <v>1.3247</v>
      </c>
      <c r="J125" s="37"/>
      <c r="K125" s="37"/>
      <c r="L125" s="37"/>
      <c r="M125" s="37"/>
      <c r="N125" s="37"/>
      <c r="O125" s="37"/>
      <c r="P125" s="37"/>
      <c r="Q125" s="37"/>
      <c r="R125" s="14">
        <f t="shared" si="61"/>
        <v>3.758531078447263</v>
      </c>
      <c r="S125">
        <f t="shared" si="62"/>
        <v>2.0936104653019993E-2</v>
      </c>
      <c r="T125">
        <f t="shared" si="63"/>
        <v>1.1518629501347779</v>
      </c>
      <c r="U125">
        <f t="shared" si="64"/>
        <v>0.55163926197974955</v>
      </c>
      <c r="V125">
        <f t="shared" si="65"/>
        <v>0.63541282771416596</v>
      </c>
      <c r="W125">
        <f t="shared" si="66"/>
        <v>1.3758632535797967E-2</v>
      </c>
      <c r="X125">
        <f t="shared" si="67"/>
        <v>3.8330426810711048E-2</v>
      </c>
      <c r="Y125">
        <f t="shared" si="68"/>
        <v>6.7566781985781291E-3</v>
      </c>
      <c r="Z125" s="79"/>
      <c r="AA125" s="230">
        <f t="shared" si="51"/>
        <v>0.14633376404784657</v>
      </c>
      <c r="AB125">
        <f t="shared" si="52"/>
        <v>1.6717130112903886</v>
      </c>
      <c r="AC125">
        <v>2.1251243548699534</v>
      </c>
      <c r="AD125">
        <f t="shared" si="53"/>
        <v>0</v>
      </c>
      <c r="AE125">
        <f t="shared" si="54"/>
        <v>1.8860082917626642E-7</v>
      </c>
      <c r="AF125">
        <f t="shared" si="55"/>
        <v>2.9566200645063354</v>
      </c>
      <c r="AG125">
        <f t="shared" si="56"/>
        <v>4.0496303742793573</v>
      </c>
      <c r="AH125">
        <f t="shared" si="57"/>
        <v>1.5515453822863268</v>
      </c>
      <c r="AI125" s="253">
        <f t="shared" si="58"/>
        <v>1.7066999205149596</v>
      </c>
      <c r="AJ125">
        <f t="shared" si="59"/>
        <v>1.4433939105153388</v>
      </c>
      <c r="AK125">
        <f t="shared" si="60"/>
        <v>15.489363114876124</v>
      </c>
      <c r="AL125" s="73"/>
      <c r="AM125" s="73"/>
      <c r="AR125" s="37"/>
      <c r="AS125" s="37"/>
      <c r="AT125" s="37"/>
      <c r="AU125" s="37"/>
      <c r="AV125" s="37"/>
      <c r="AW125" s="37"/>
      <c r="AX125" s="77"/>
      <c r="AY125" s="37"/>
      <c r="AZ125" s="37"/>
      <c r="BA125" s="37"/>
      <c r="BB125" s="84"/>
      <c r="BC125" s="77"/>
      <c r="BD125" s="77"/>
      <c r="BE125" s="77"/>
    </row>
    <row r="126" spans="1:57" s="17" customFormat="1">
      <c r="A126" s="16"/>
      <c r="B126" s="6"/>
      <c r="C126" s="6"/>
      <c r="D126" s="117" t="s">
        <v>249</v>
      </c>
      <c r="E126" s="118">
        <v>0.4</v>
      </c>
      <c r="F126" s="120">
        <v>0.55000000000000004</v>
      </c>
      <c r="G126" s="79">
        <v>8.2816000000000001E-2</v>
      </c>
      <c r="H126" s="73">
        <v>1.2190000000000001</v>
      </c>
      <c r="I126" s="37">
        <v>0.20780000000000001</v>
      </c>
      <c r="J126" s="37"/>
      <c r="K126" s="37"/>
      <c r="L126" s="37"/>
      <c r="M126" s="37"/>
      <c r="N126" s="37"/>
      <c r="O126" s="37"/>
      <c r="P126" s="37"/>
      <c r="Q126" s="37"/>
      <c r="R126" s="14">
        <f t="shared" si="61"/>
        <v>1.9173931872920011</v>
      </c>
      <c r="S126">
        <f t="shared" si="62"/>
        <v>4.3191975724584594E-2</v>
      </c>
      <c r="T126">
        <f t="shared" si="63"/>
        <v>0.8019498572700311</v>
      </c>
      <c r="U126">
        <f t="shared" si="64"/>
        <v>0.75285014709203879</v>
      </c>
      <c r="V126">
        <f t="shared" si="65"/>
        <v>0.60374806800618241</v>
      </c>
      <c r="W126">
        <f t="shared" si="66"/>
        <v>3.6833584568638548E-3</v>
      </c>
      <c r="X126">
        <f t="shared" si="67"/>
        <v>4.1619649093539941E-2</v>
      </c>
      <c r="Y126">
        <f t="shared" si="68"/>
        <v>1.4099850272908737E-3</v>
      </c>
      <c r="Z126" s="79"/>
      <c r="AA126" s="230">
        <f t="shared" si="51"/>
        <v>0.28684779086796669</v>
      </c>
      <c r="AB126">
        <f t="shared" si="52"/>
        <v>3.2769414999609654</v>
      </c>
      <c r="AC126">
        <v>3.4843375492513409</v>
      </c>
      <c r="AD126">
        <f t="shared" si="53"/>
        <v>0</v>
      </c>
      <c r="AE126">
        <f t="shared" si="54"/>
        <v>7.5989119885377931E-8</v>
      </c>
      <c r="AF126">
        <f t="shared" si="55"/>
        <v>1.8032653892931865</v>
      </c>
      <c r="AG126">
        <f t="shared" si="56"/>
        <v>5.6698145451421507</v>
      </c>
      <c r="AH126">
        <f t="shared" si="57"/>
        <v>1.1081818033295228</v>
      </c>
      <c r="AI126" s="253">
        <f t="shared" si="58"/>
        <v>1.2189999836624752</v>
      </c>
      <c r="AJ126">
        <f t="shared" si="59"/>
        <v>0.98769450948860282</v>
      </c>
      <c r="AK126">
        <f t="shared" si="60"/>
        <v>22.047136321343551</v>
      </c>
      <c r="AL126" s="73"/>
      <c r="AM126" s="73"/>
      <c r="AR126" s="77"/>
      <c r="AS126" s="77"/>
      <c r="AT126" s="77"/>
      <c r="AU126" s="37"/>
      <c r="AV126" s="37"/>
      <c r="AW126" s="37"/>
      <c r="AX126" s="77"/>
      <c r="AY126" s="37"/>
      <c r="AZ126" s="37"/>
      <c r="BA126" s="37"/>
      <c r="BB126" s="77"/>
      <c r="BC126" s="77"/>
      <c r="BD126" s="77"/>
      <c r="BE126" s="77"/>
    </row>
    <row r="127" spans="1:57" s="17" customFormat="1">
      <c r="A127" s="115"/>
      <c r="B127" s="116"/>
      <c r="C127" s="116"/>
      <c r="D127" s="72" t="s">
        <v>249</v>
      </c>
      <c r="E127" s="73">
        <v>0.4</v>
      </c>
      <c r="F127" s="104">
        <v>0.55000000000000004</v>
      </c>
      <c r="G127" s="79">
        <v>0.11277</v>
      </c>
      <c r="H127" s="73">
        <v>1.9692000000000001</v>
      </c>
      <c r="I127" s="37">
        <v>3.9117999999999999</v>
      </c>
      <c r="J127" s="37"/>
      <c r="K127" s="37"/>
      <c r="L127" s="37"/>
      <c r="M127" s="37"/>
      <c r="N127" s="37"/>
      <c r="O127" s="37"/>
      <c r="P127" s="37"/>
      <c r="Q127" s="37"/>
      <c r="R127" s="14">
        <f t="shared" si="61"/>
        <v>5.0036096669877761</v>
      </c>
      <c r="S127">
        <f t="shared" si="62"/>
        <v>2.2537729260541758E-2</v>
      </c>
      <c r="T127">
        <f t="shared" si="63"/>
        <v>1.1101806943988444</v>
      </c>
      <c r="U127">
        <f t="shared" si="64"/>
        <v>0.39937672658645507</v>
      </c>
      <c r="V127">
        <f t="shared" si="65"/>
        <v>0.44338033164848811</v>
      </c>
      <c r="W127">
        <f t="shared" si="66"/>
        <v>2.7331932097099342E-2</v>
      </c>
      <c r="X127">
        <f t="shared" si="67"/>
        <v>6.3150988650383141E-2</v>
      </c>
      <c r="Y127">
        <f t="shared" si="68"/>
        <v>1.2066467525559402E-2</v>
      </c>
      <c r="Z127" s="79"/>
      <c r="AA127" s="230">
        <f t="shared" si="51"/>
        <v>0.10992064461557123</v>
      </c>
      <c r="AB127">
        <f t="shared" si="52"/>
        <v>1.2557305076441201</v>
      </c>
      <c r="AC127">
        <v>1.7708272606653537</v>
      </c>
      <c r="AD127">
        <f t="shared" si="53"/>
        <v>0</v>
      </c>
      <c r="AE127">
        <f t="shared" si="54"/>
        <v>4.9888287190213987E-7</v>
      </c>
      <c r="AF127">
        <f t="shared" si="55"/>
        <v>3.548163870494518</v>
      </c>
      <c r="AG127">
        <f t="shared" si="56"/>
        <v>3.5098033822352717</v>
      </c>
      <c r="AH127">
        <f t="shared" si="57"/>
        <v>1.7901815637256706</v>
      </c>
      <c r="AI127" s="253">
        <f t="shared" si="58"/>
        <v>1.9691997200982378</v>
      </c>
      <c r="AJ127">
        <f t="shared" si="59"/>
        <v>1.6061659568898647</v>
      </c>
      <c r="AK127">
        <f t="shared" si="60"/>
        <v>13.984477810415791</v>
      </c>
      <c r="AL127" s="73"/>
      <c r="AM127" s="73"/>
      <c r="AR127" s="37"/>
      <c r="AS127" s="37"/>
      <c r="AT127" s="37"/>
      <c r="AU127" s="37"/>
      <c r="AV127" s="37"/>
      <c r="AW127" s="37"/>
      <c r="AX127" s="77"/>
      <c r="AY127" s="37"/>
      <c r="AZ127" s="37"/>
      <c r="BA127" s="37"/>
      <c r="BB127" s="77"/>
      <c r="BC127" s="77"/>
      <c r="BD127" s="77"/>
      <c r="BE127" s="77"/>
    </row>
    <row r="128" spans="1:57">
      <c r="D128" s="117" t="s">
        <v>249</v>
      </c>
      <c r="E128" s="118">
        <v>0.4</v>
      </c>
      <c r="F128" s="120">
        <v>0.55000000000000004</v>
      </c>
      <c r="G128" s="79">
        <v>0.10932</v>
      </c>
      <c r="H128" s="73">
        <v>1.3473999999999999</v>
      </c>
      <c r="I128" s="37">
        <v>0.97960000000000003</v>
      </c>
      <c r="J128" s="37"/>
      <c r="K128" s="37"/>
      <c r="L128" s="37"/>
      <c r="M128" s="37"/>
      <c r="N128" s="37"/>
      <c r="O128" s="37"/>
      <c r="P128" s="37"/>
      <c r="Q128" s="37"/>
      <c r="R128" s="14">
        <f t="shared" si="61"/>
        <v>2.3425930729291196</v>
      </c>
      <c r="S128">
        <f t="shared" si="62"/>
        <v>4.6666235490617679E-2</v>
      </c>
      <c r="T128">
        <f t="shared" si="63"/>
        <v>0.77152031404455734</v>
      </c>
      <c r="U128">
        <f t="shared" si="64"/>
        <v>0.59282023042258991</v>
      </c>
      <c r="V128">
        <f t="shared" si="65"/>
        <v>0.45737285034760339</v>
      </c>
      <c r="W128">
        <f t="shared" si="66"/>
        <v>7.5782627334993816E-3</v>
      </c>
      <c r="X128">
        <f t="shared" si="67"/>
        <v>6.0894810379671031E-2</v>
      </c>
      <c r="Y128">
        <f t="shared" si="68"/>
        <v>4.55553643032149E-3</v>
      </c>
      <c r="AA128" s="230">
        <f t="shared" si="51"/>
        <v>0.23478256055469926</v>
      </c>
      <c r="AB128">
        <f t="shared" si="52"/>
        <v>2.6821496997441594</v>
      </c>
      <c r="AC128">
        <v>2.9717150573049369</v>
      </c>
      <c r="AD128">
        <f t="shared" si="53"/>
        <v>0</v>
      </c>
      <c r="AE128">
        <f t="shared" si="54"/>
        <v>3.8743203045754626E-7</v>
      </c>
      <c r="AF128">
        <f t="shared" si="55"/>
        <v>2.1143296668819378</v>
      </c>
      <c r="AG128">
        <f t="shared" si="56"/>
        <v>5.1295119191950898</v>
      </c>
      <c r="AH128">
        <f t="shared" si="57"/>
        <v>1.2249089983917083</v>
      </c>
      <c r="AI128" s="253">
        <f t="shared" si="58"/>
        <v>1.3473998982308792</v>
      </c>
      <c r="AJ128">
        <f t="shared" si="59"/>
        <v>1.1264567121974149</v>
      </c>
      <c r="AK128">
        <f t="shared" si="60"/>
        <v>19.549734651801543</v>
      </c>
    </row>
    <row r="129" spans="1:57">
      <c r="D129" s="72" t="s">
        <v>249</v>
      </c>
      <c r="E129" s="73">
        <v>0.4</v>
      </c>
      <c r="F129" s="104">
        <v>0.55000000000000004</v>
      </c>
      <c r="G129" s="79">
        <v>0.14663000000000001</v>
      </c>
      <c r="H129" s="73">
        <v>2.1333000000000002</v>
      </c>
      <c r="I129" s="37">
        <v>9.1106999999999996</v>
      </c>
      <c r="J129" s="37"/>
      <c r="K129" s="37"/>
      <c r="L129" s="37"/>
      <c r="M129" s="37"/>
      <c r="N129" s="37"/>
      <c r="O129" s="37"/>
      <c r="P129" s="37"/>
      <c r="Q129" s="37"/>
      <c r="R129" s="14">
        <f t="shared" si="61"/>
        <v>5.872291900839822</v>
      </c>
      <c r="S129">
        <f t="shared" si="62"/>
        <v>2.4969807781358728E-2</v>
      </c>
      <c r="T129">
        <f t="shared" si="63"/>
        <v>1.0547296383546279</v>
      </c>
      <c r="U129">
        <f t="shared" si="64"/>
        <v>0.32330023457567153</v>
      </c>
      <c r="V129">
        <f t="shared" si="65"/>
        <v>0.3409943394939644</v>
      </c>
      <c r="W129">
        <f t="shared" si="66"/>
        <v>3.7269701595324015E-2</v>
      </c>
      <c r="X129">
        <f t="shared" si="67"/>
        <v>8.2412084594603002E-2</v>
      </c>
      <c r="Y129">
        <f t="shared" si="68"/>
        <v>1.9950964320601387E-2</v>
      </c>
      <c r="AA129" s="230">
        <f t="shared" si="51"/>
        <v>9.3660194228652391E-2</v>
      </c>
      <c r="AB129">
        <f t="shared" si="52"/>
        <v>1.0699715568091908</v>
      </c>
      <c r="AC129">
        <v>1.6067552612805538</v>
      </c>
      <c r="AD129">
        <f t="shared" si="53"/>
        <v>0</v>
      </c>
      <c r="AE129">
        <f t="shared" si="54"/>
        <v>3.3788704811854586E-7</v>
      </c>
      <c r="AF129">
        <f t="shared" si="55"/>
        <v>3.9104806180450939</v>
      </c>
      <c r="AG129">
        <f t="shared" si="56"/>
        <v>3.2398183840584935</v>
      </c>
      <c r="AH129">
        <f t="shared" si="57"/>
        <v>1.9393634341035784</v>
      </c>
      <c r="AI129" s="253">
        <f t="shared" si="58"/>
        <v>2.1332997775139364</v>
      </c>
      <c r="AJ129">
        <f t="shared" si="59"/>
        <v>1.6851136612802857</v>
      </c>
      <c r="AK129">
        <f t="shared" si="60"/>
        <v>13.353314597620075</v>
      </c>
    </row>
    <row r="130" spans="1:57">
      <c r="D130" s="117" t="s">
        <v>249</v>
      </c>
      <c r="E130" s="118">
        <v>0.4</v>
      </c>
      <c r="F130" s="120">
        <v>0.55000000000000004</v>
      </c>
      <c r="G130" s="122">
        <v>0.12784999999999999</v>
      </c>
      <c r="H130" s="118">
        <v>1.5059</v>
      </c>
      <c r="I130" s="126">
        <v>3.8348</v>
      </c>
      <c r="J130" s="77"/>
      <c r="K130" s="77"/>
      <c r="L130" s="77"/>
      <c r="M130" s="77"/>
      <c r="N130" s="77"/>
      <c r="O130" s="77"/>
      <c r="P130" s="77"/>
      <c r="Q130" s="77"/>
      <c r="R130" s="14">
        <f t="shared" si="61"/>
        <v>2.9261462954134876</v>
      </c>
      <c r="S130">
        <f t="shared" si="62"/>
        <v>4.3692278885849006E-2</v>
      </c>
      <c r="T130">
        <f t="shared" si="63"/>
        <v>0.79734523112199529</v>
      </c>
      <c r="U130">
        <f t="shared" si="64"/>
        <v>0.49048177060360676</v>
      </c>
      <c r="V130">
        <f t="shared" si="65"/>
        <v>0.3910833007430583</v>
      </c>
      <c r="W130">
        <f t="shared" si="66"/>
        <v>1.2734519956742359E-2</v>
      </c>
      <c r="X130">
        <f t="shared" si="67"/>
        <v>7.234893874460066E-2</v>
      </c>
      <c r="Y130">
        <f t="shared" si="68"/>
        <v>1.3643719011017652E-2</v>
      </c>
      <c r="AA130" s="230">
        <f t="shared" si="51"/>
        <v>0.18796052708030467</v>
      </c>
      <c r="AB130">
        <f t="shared" si="52"/>
        <v>2.1472560401467291</v>
      </c>
      <c r="AC130">
        <v>2.5221484141056987</v>
      </c>
      <c r="AD130">
        <f t="shared" si="53"/>
        <v>0</v>
      </c>
      <c r="AE130">
        <f t="shared" si="54"/>
        <v>2.148980327021377E-7</v>
      </c>
      <c r="AF130">
        <f t="shared" si="55"/>
        <v>2.4912036389450432</v>
      </c>
      <c r="AG130">
        <f t="shared" si="56"/>
        <v>4.589616947680784</v>
      </c>
      <c r="AH130">
        <f t="shared" si="57"/>
        <v>1.3689999358997906</v>
      </c>
      <c r="AI130" s="253">
        <f t="shared" si="58"/>
        <v>1.5058999294897699</v>
      </c>
      <c r="AJ130">
        <f t="shared" si="59"/>
        <v>1.280739516376886</v>
      </c>
      <c r="AK130">
        <f t="shared" si="60"/>
        <v>17.344605402114226</v>
      </c>
    </row>
    <row r="131" spans="1:57">
      <c r="D131" s="72" t="s">
        <v>249</v>
      </c>
      <c r="E131" s="73">
        <v>0.4</v>
      </c>
      <c r="F131" s="104">
        <v>0.55000000000000004</v>
      </c>
      <c r="G131" s="79">
        <v>0.11611</v>
      </c>
      <c r="H131" s="73">
        <v>1.9692000000000001</v>
      </c>
      <c r="I131" s="77">
        <v>6.3700000000000007E-2</v>
      </c>
      <c r="J131" s="77"/>
      <c r="K131" s="77"/>
      <c r="L131" s="77"/>
      <c r="M131" s="77"/>
      <c r="N131" s="77"/>
      <c r="O131" s="77"/>
      <c r="P131" s="77"/>
      <c r="Q131" s="77"/>
      <c r="R131" s="14">
        <f t="shared" si="61"/>
        <v>5.0036096669877761</v>
      </c>
      <c r="S131">
        <f t="shared" si="62"/>
        <v>2.3205247356934501E-2</v>
      </c>
      <c r="T131">
        <f t="shared" si="63"/>
        <v>1.0940965498973003</v>
      </c>
      <c r="U131">
        <f t="shared" ref="U131:U136" si="71">0.15/G131/T131</f>
        <v>1.1807718352663132</v>
      </c>
      <c r="V131">
        <f t="shared" si="65"/>
        <v>0.43062613039359227</v>
      </c>
      <c r="W131">
        <f t="shared" si="66"/>
        <v>2.7686526925692238E-2</v>
      </c>
      <c r="X131">
        <f t="shared" si="67"/>
        <v>6.5280242637649144E-2</v>
      </c>
      <c r="Y131">
        <f t="shared" si="68"/>
        <v>1.9083889523711066E-4</v>
      </c>
      <c r="AA131" s="230">
        <f t="shared" si="51"/>
        <v>0.10992064461557123</v>
      </c>
      <c r="AB131">
        <f t="shared" si="52"/>
        <v>1.2557305076441201</v>
      </c>
      <c r="AC131">
        <v>1.7708272606653537</v>
      </c>
      <c r="AD131">
        <f t="shared" si="53"/>
        <v>0</v>
      </c>
      <c r="AE131">
        <f t="shared" si="54"/>
        <v>4.9888287190213987E-7</v>
      </c>
      <c r="AF131">
        <f t="shared" si="55"/>
        <v>3.548163870494518</v>
      </c>
      <c r="AG131">
        <f t="shared" si="56"/>
        <v>3.5098033822352717</v>
      </c>
      <c r="AH131">
        <f t="shared" si="57"/>
        <v>1.7901815637256706</v>
      </c>
      <c r="AI131" s="253">
        <f t="shared" si="58"/>
        <v>1.9691997200982378</v>
      </c>
      <c r="AJ131">
        <f t="shared" si="59"/>
        <v>1.6061659568898647</v>
      </c>
      <c r="AK131">
        <f t="shared" si="60"/>
        <v>13.984477810415791</v>
      </c>
    </row>
    <row r="132" spans="1:57">
      <c r="D132" s="117" t="s">
        <v>249</v>
      </c>
      <c r="E132" s="118">
        <v>0.4</v>
      </c>
      <c r="F132" s="120">
        <v>0.55000000000000004</v>
      </c>
      <c r="G132" s="79">
        <v>0.15149000000000001</v>
      </c>
      <c r="H132" s="73">
        <v>2.1333000000000002</v>
      </c>
      <c r="I132" s="77">
        <v>0.5111</v>
      </c>
      <c r="J132" s="77"/>
      <c r="K132" s="77"/>
      <c r="L132" s="77"/>
      <c r="M132" s="77"/>
      <c r="N132" s="77"/>
      <c r="O132" s="77"/>
      <c r="P132" s="77"/>
      <c r="Q132" s="77"/>
      <c r="R132" s="14">
        <f t="shared" si="61"/>
        <v>5.872291900839822</v>
      </c>
      <c r="S132">
        <f t="shared" si="62"/>
        <v>2.5797423315815547E-2</v>
      </c>
      <c r="T132">
        <f t="shared" si="63"/>
        <v>1.0376731622122171</v>
      </c>
      <c r="U132">
        <f t="shared" si="71"/>
        <v>0.95421603192862403</v>
      </c>
      <c r="V132">
        <f t="shared" si="65"/>
        <v>0.33005478909498975</v>
      </c>
      <c r="W132">
        <f t="shared" si="66"/>
        <v>3.7588989158657098E-2</v>
      </c>
      <c r="X132">
        <f t="shared" si="67"/>
        <v>8.478977137129326E-2</v>
      </c>
      <c r="Y132">
        <f t="shared" si="68"/>
        <v>1.0833203355979731E-3</v>
      </c>
      <c r="AA132" s="230">
        <f t="shared" si="51"/>
        <v>9.3660194228652391E-2</v>
      </c>
      <c r="AB132">
        <f t="shared" si="52"/>
        <v>1.0699715568091908</v>
      </c>
      <c r="AC132">
        <v>1.6067552612805538</v>
      </c>
      <c r="AD132">
        <f t="shared" si="53"/>
        <v>0</v>
      </c>
      <c r="AE132">
        <f t="shared" si="54"/>
        <v>3.3788704811854586E-7</v>
      </c>
      <c r="AF132">
        <f t="shared" si="55"/>
        <v>3.9104806180450939</v>
      </c>
      <c r="AG132">
        <f t="shared" si="56"/>
        <v>3.2398183840584935</v>
      </c>
      <c r="AH132">
        <f t="shared" si="57"/>
        <v>1.9393634341035784</v>
      </c>
      <c r="AI132" s="253">
        <f t="shared" si="58"/>
        <v>2.1332997775139364</v>
      </c>
      <c r="AJ132">
        <f t="shared" si="59"/>
        <v>1.6851136612802857</v>
      </c>
      <c r="AK132">
        <f t="shared" si="60"/>
        <v>13.353314597620075</v>
      </c>
    </row>
    <row r="133" spans="1:57">
      <c r="D133" s="72" t="s">
        <v>249</v>
      </c>
      <c r="E133" s="73">
        <v>0.4</v>
      </c>
      <c r="F133" s="104">
        <v>0.55000000000000004</v>
      </c>
      <c r="G133" s="122">
        <v>0.13927999999999999</v>
      </c>
      <c r="H133" s="118">
        <v>1.5059</v>
      </c>
      <c r="I133" s="126">
        <v>2.5499999999999998E-2</v>
      </c>
      <c r="J133" s="77"/>
      <c r="K133" s="77"/>
      <c r="L133" s="77"/>
      <c r="M133" s="77"/>
      <c r="N133" s="77"/>
      <c r="O133" s="77"/>
      <c r="P133" s="77"/>
      <c r="Q133" s="77"/>
      <c r="R133" s="14">
        <f t="shared" si="61"/>
        <v>2.9261462954134876</v>
      </c>
      <c r="S133">
        <f t="shared" si="62"/>
        <v>4.7598440384990601E-2</v>
      </c>
      <c r="T133">
        <f t="shared" si="63"/>
        <v>0.76392792935009424</v>
      </c>
      <c r="U133">
        <f t="shared" si="71"/>
        <v>1.4097759995651837</v>
      </c>
      <c r="V133">
        <f t="shared" si="65"/>
        <v>0.35898908673176338</v>
      </c>
      <c r="W133">
        <f t="shared" si="66"/>
        <v>1.3452234065564034E-2</v>
      </c>
      <c r="X133">
        <f t="shared" si="67"/>
        <v>7.8645132623331407E-2</v>
      </c>
      <c r="Y133">
        <f t="shared" si="68"/>
        <v>8.328028497904072E-5</v>
      </c>
      <c r="AA133" s="230">
        <f t="shared" si="51"/>
        <v>0.18796052708030467</v>
      </c>
      <c r="AB133">
        <f t="shared" si="52"/>
        <v>2.1472560401467291</v>
      </c>
      <c r="AC133">
        <v>2.5221484141056987</v>
      </c>
      <c r="AD133">
        <f t="shared" si="53"/>
        <v>0</v>
      </c>
      <c r="AE133">
        <f t="shared" si="54"/>
        <v>2.148980327021377E-7</v>
      </c>
      <c r="AF133">
        <f t="shared" si="55"/>
        <v>2.4912036389450432</v>
      </c>
      <c r="AG133">
        <f t="shared" si="56"/>
        <v>4.589616947680784</v>
      </c>
      <c r="AH133">
        <f t="shared" si="57"/>
        <v>1.3689999358997906</v>
      </c>
      <c r="AI133" s="253">
        <f t="shared" si="58"/>
        <v>1.5058999294897699</v>
      </c>
      <c r="AJ133">
        <f t="shared" si="59"/>
        <v>1.280739516376886</v>
      </c>
      <c r="AK133">
        <f t="shared" si="60"/>
        <v>17.344605402114226</v>
      </c>
    </row>
    <row r="134" spans="1:57">
      <c r="D134" s="117" t="s">
        <v>249</v>
      </c>
      <c r="E134" s="118">
        <v>0.4</v>
      </c>
      <c r="F134" s="120">
        <v>0.55000000000000004</v>
      </c>
      <c r="G134" s="79">
        <v>0.11611</v>
      </c>
      <c r="H134" s="73">
        <v>1.9692000000000001</v>
      </c>
      <c r="I134" s="77">
        <v>5.74E-2</v>
      </c>
      <c r="J134" s="77"/>
      <c r="K134" s="77"/>
      <c r="L134" s="77"/>
      <c r="M134" s="77"/>
      <c r="N134" s="77"/>
      <c r="O134" s="77"/>
      <c r="P134" s="77"/>
      <c r="Q134" s="77"/>
      <c r="R134" s="14">
        <f t="shared" si="61"/>
        <v>5.0036096669877761</v>
      </c>
      <c r="S134">
        <f t="shared" si="62"/>
        <v>2.3205247356934501E-2</v>
      </c>
      <c r="T134">
        <f t="shared" si="63"/>
        <v>1.0940965498973003</v>
      </c>
      <c r="U134">
        <f t="shared" si="71"/>
        <v>1.1807718352663132</v>
      </c>
      <c r="V134">
        <f t="shared" si="65"/>
        <v>0.43062613039359227</v>
      </c>
      <c r="W134">
        <f t="shared" si="66"/>
        <v>2.7686526925692238E-2</v>
      </c>
      <c r="X134">
        <f t="shared" si="67"/>
        <v>6.5280242637649144E-2</v>
      </c>
      <c r="Y134">
        <f t="shared" si="68"/>
        <v>1.7196471878508872E-4</v>
      </c>
      <c r="AA134" s="230">
        <f t="shared" si="51"/>
        <v>0.10992064461557123</v>
      </c>
      <c r="AB134">
        <f t="shared" si="52"/>
        <v>1.2557305076441201</v>
      </c>
      <c r="AC134">
        <v>1.7708272606653537</v>
      </c>
      <c r="AD134">
        <f t="shared" si="53"/>
        <v>0</v>
      </c>
      <c r="AE134">
        <f t="shared" si="54"/>
        <v>4.9888287190213987E-7</v>
      </c>
      <c r="AF134">
        <f t="shared" si="55"/>
        <v>3.548163870494518</v>
      </c>
      <c r="AG134">
        <f t="shared" si="56"/>
        <v>3.5098033822352717</v>
      </c>
      <c r="AH134">
        <f t="shared" si="57"/>
        <v>1.7901815637256706</v>
      </c>
      <c r="AI134" s="253">
        <f t="shared" si="58"/>
        <v>1.9691997200982378</v>
      </c>
      <c r="AJ134">
        <f t="shared" si="59"/>
        <v>1.6061659568898647</v>
      </c>
      <c r="AK134">
        <f t="shared" si="60"/>
        <v>13.984477810415791</v>
      </c>
    </row>
    <row r="135" spans="1:57">
      <c r="D135" s="72" t="s">
        <v>249</v>
      </c>
      <c r="E135" s="73">
        <v>0.4</v>
      </c>
      <c r="F135" s="104">
        <v>0.55000000000000004</v>
      </c>
      <c r="G135" s="79">
        <v>0.15149000000000001</v>
      </c>
      <c r="H135" s="73">
        <v>2.1333000000000002</v>
      </c>
      <c r="I135" s="77">
        <v>0.4032</v>
      </c>
      <c r="J135" s="77"/>
      <c r="K135" s="77"/>
      <c r="L135" s="77"/>
      <c r="M135" s="77"/>
      <c r="N135" s="77"/>
      <c r="O135" s="77"/>
      <c r="P135" s="77"/>
      <c r="Q135" s="77"/>
      <c r="R135" s="14">
        <f t="shared" si="61"/>
        <v>5.872291900839822</v>
      </c>
      <c r="S135">
        <f t="shared" si="62"/>
        <v>2.5797423315815547E-2</v>
      </c>
      <c r="T135">
        <f t="shared" si="63"/>
        <v>1.0376731622122171</v>
      </c>
      <c r="U135">
        <f t="shared" si="71"/>
        <v>0.95421603192862403</v>
      </c>
      <c r="V135">
        <f t="shared" si="65"/>
        <v>0.33005478909498975</v>
      </c>
      <c r="W135">
        <f t="shared" si="66"/>
        <v>3.7588989158657098E-2</v>
      </c>
      <c r="X135">
        <f t="shared" si="67"/>
        <v>8.478977137129326E-2</v>
      </c>
      <c r="Y135">
        <f t="shared" si="68"/>
        <v>8.5461702076521757E-4</v>
      </c>
      <c r="AA135" s="230">
        <f t="shared" si="51"/>
        <v>9.3660194228652391E-2</v>
      </c>
      <c r="AB135">
        <f t="shared" si="52"/>
        <v>1.0699715568091908</v>
      </c>
      <c r="AC135">
        <v>1.6067552612805538</v>
      </c>
      <c r="AD135">
        <f t="shared" si="53"/>
        <v>0</v>
      </c>
      <c r="AE135">
        <f t="shared" si="54"/>
        <v>3.3788704811854586E-7</v>
      </c>
      <c r="AF135">
        <f t="shared" si="55"/>
        <v>3.9104806180450939</v>
      </c>
      <c r="AG135">
        <f t="shared" si="56"/>
        <v>3.2398183840584935</v>
      </c>
      <c r="AH135">
        <f t="shared" si="57"/>
        <v>1.9393634341035784</v>
      </c>
      <c r="AI135" s="253">
        <f t="shared" si="58"/>
        <v>2.1332997775139364</v>
      </c>
      <c r="AJ135">
        <f t="shared" si="59"/>
        <v>1.6851136612802857</v>
      </c>
      <c r="AK135">
        <f t="shared" si="60"/>
        <v>13.353314597620075</v>
      </c>
    </row>
    <row r="136" spans="1:57">
      <c r="D136" s="117" t="s">
        <v>249</v>
      </c>
      <c r="E136" s="118">
        <v>0.4</v>
      </c>
      <c r="F136" s="120">
        <v>0.55000000000000004</v>
      </c>
      <c r="G136" s="122">
        <v>0.13927999999999999</v>
      </c>
      <c r="H136" s="118">
        <v>1.5059</v>
      </c>
      <c r="I136" s="126">
        <v>3.9800000000000002E-2</v>
      </c>
      <c r="J136" s="77"/>
      <c r="K136" s="77"/>
      <c r="L136" s="77"/>
      <c r="M136" s="77"/>
      <c r="N136" s="77"/>
      <c r="O136" s="77"/>
      <c r="P136" s="77"/>
      <c r="Q136" s="77"/>
      <c r="R136" s="14">
        <f t="shared" si="61"/>
        <v>2.9261462954134876</v>
      </c>
      <c r="S136">
        <f t="shared" si="62"/>
        <v>4.7598440384990601E-2</v>
      </c>
      <c r="T136">
        <f t="shared" si="63"/>
        <v>0.76392792935009424</v>
      </c>
      <c r="U136">
        <f t="shared" si="71"/>
        <v>1.4097759995651837</v>
      </c>
      <c r="V136">
        <f t="shared" si="65"/>
        <v>0.35898908673176338</v>
      </c>
      <c r="W136">
        <f t="shared" si="66"/>
        <v>1.3452234065564034E-2</v>
      </c>
      <c r="X136">
        <f t="shared" si="67"/>
        <v>7.8645132623331407E-2</v>
      </c>
      <c r="Y136">
        <f t="shared" si="68"/>
        <v>1.2998256243787536E-4</v>
      </c>
      <c r="AA136" s="230">
        <f t="shared" ref="AA136:AA199" si="72">F136/R136</f>
        <v>0.18796052708030467</v>
      </c>
      <c r="AB136">
        <f t="shared" ref="AB136:AB199" si="73">2*PI()/R136</f>
        <v>2.1472560401467291</v>
      </c>
      <c r="AC136">
        <v>2.5221484141056987</v>
      </c>
      <c r="AD136">
        <f t="shared" ref="AD136:AD199" si="74">SIN(D136*PI()/180)</f>
        <v>0</v>
      </c>
      <c r="AE136">
        <f t="shared" ref="AE136:AE199" si="75">(9.81*AC136*TANH(AC136*0.5))^0.5-2*PI()/(H136/1.1)+AC136*E136*AD136</f>
        <v>2.148980327021377E-7</v>
      </c>
      <c r="AF136">
        <f t="shared" ref="AF136:AF199" si="76">2*PI()/AC136</f>
        <v>2.4912036389450432</v>
      </c>
      <c r="AG136">
        <f t="shared" ref="AG136:AG199" si="77">(9.81*AC136*TANH(AC136*0.5))^0.5</f>
        <v>4.589616947680784</v>
      </c>
      <c r="AH136">
        <f t="shared" ref="AH136:AH199" si="78">2*PI()/AG136</f>
        <v>1.3689999358997906</v>
      </c>
      <c r="AI136" s="253">
        <f t="shared" ref="AI136:AI199" si="79">AH136*1.1</f>
        <v>1.5058999294897699</v>
      </c>
      <c r="AJ136">
        <f t="shared" ref="AJ136:AJ199" si="80">0.5*AG136/AC136*(1+2*AC136*0.5/SINH(2*AC136*0.5))</f>
        <v>1.280739516376886</v>
      </c>
      <c r="AK136">
        <f t="shared" ref="AK136:AK199" si="81">ATAN((AJ136*SIN(D136*PI()/180)+E136)/(AJ136*COS(D136*PI()/180)))*180/PI()</f>
        <v>17.344605402114226</v>
      </c>
      <c r="AL136" s="14">
        <f>AVERAGE(AK119:AK136)</f>
        <v>16.272336634257936</v>
      </c>
    </row>
    <row r="137" spans="1:57" s="17" customFormat="1">
      <c r="A137" s="16" t="s">
        <v>229</v>
      </c>
      <c r="B137" s="6">
        <v>434</v>
      </c>
      <c r="C137" s="6" t="s">
        <v>33</v>
      </c>
      <c r="D137" s="198" t="s">
        <v>251</v>
      </c>
      <c r="E137" s="73">
        <v>0.3</v>
      </c>
      <c r="F137" s="104">
        <v>0.5</v>
      </c>
      <c r="G137" s="79">
        <v>8.1741999999999995E-2</v>
      </c>
      <c r="H137" s="73">
        <v>1.7067000000000001</v>
      </c>
      <c r="I137" s="77">
        <v>4.0500000000000001E-2</v>
      </c>
      <c r="J137" s="77"/>
      <c r="K137" s="77"/>
      <c r="L137" s="77"/>
      <c r="M137" s="77"/>
      <c r="N137" s="77"/>
      <c r="O137" s="77"/>
      <c r="P137" s="7">
        <v>4.0500000000000001E-2</v>
      </c>
      <c r="Q137" s="7">
        <v>2.3199999999999998E-2</v>
      </c>
      <c r="R137" s="14">
        <f t="shared" si="61"/>
        <v>3.758531078447263</v>
      </c>
      <c r="S137">
        <f t="shared" si="62"/>
        <v>2.174839007418013E-2</v>
      </c>
      <c r="T137">
        <f t="shared" si="63"/>
        <v>1.1301476666686812</v>
      </c>
      <c r="U137">
        <f>0.1/G137/T137</f>
        <v>1.0824791694121254</v>
      </c>
      <c r="V137">
        <f t="shared" si="65"/>
        <v>0.61168065376428282</v>
      </c>
      <c r="W137">
        <f t="shared" si="66"/>
        <v>1.4182837818225073E-2</v>
      </c>
      <c r="X137">
        <f t="shared" si="67"/>
        <v>4.0770046882662433E-2</v>
      </c>
      <c r="Y137">
        <f t="shared" si="68"/>
        <v>1.9885636151214245E-4</v>
      </c>
      <c r="Z137" s="79"/>
      <c r="AA137" s="230">
        <f t="shared" si="72"/>
        <v>0.13303069458895139</v>
      </c>
      <c r="AB137">
        <f t="shared" si="73"/>
        <v>1.6717130112903886</v>
      </c>
      <c r="AC137">
        <v>2.0183047396923417</v>
      </c>
      <c r="AD137">
        <f t="shared" si="74"/>
        <v>0.25881904510252074</v>
      </c>
      <c r="AE137">
        <f t="shared" si="75"/>
        <v>7.5245861785866452E-7</v>
      </c>
      <c r="AF137">
        <f t="shared" si="76"/>
        <v>3.1131004072939734</v>
      </c>
      <c r="AG137">
        <f t="shared" si="77"/>
        <v>3.892918226501227</v>
      </c>
      <c r="AH137">
        <f t="shared" si="78"/>
        <v>1.6140039275437388</v>
      </c>
      <c r="AI137">
        <f t="shared" si="79"/>
        <v>1.7754043202981129</v>
      </c>
      <c r="AJ137">
        <f t="shared" si="80"/>
        <v>1.4909942120004127</v>
      </c>
      <c r="AK137">
        <f t="shared" si="81"/>
        <v>25.466361729557971</v>
      </c>
      <c r="AL137" s="73"/>
      <c r="AM137" s="73"/>
      <c r="AR137" s="77"/>
      <c r="AS137" s="77"/>
      <c r="AT137" s="77"/>
      <c r="AU137" s="77"/>
      <c r="AV137" s="77"/>
      <c r="AW137" s="77"/>
      <c r="AX137" s="77"/>
      <c r="AY137" s="77"/>
      <c r="AZ137" s="77"/>
      <c r="BA137" s="77"/>
      <c r="BB137" s="77"/>
      <c r="BC137" s="77"/>
      <c r="BD137" s="77"/>
      <c r="BE137" s="77"/>
    </row>
    <row r="138" spans="1:57" s="17" customFormat="1">
      <c r="A138" s="16" t="s">
        <v>229</v>
      </c>
      <c r="B138" s="6">
        <v>437</v>
      </c>
      <c r="C138" s="6" t="s">
        <v>35</v>
      </c>
      <c r="D138" s="198" t="s">
        <v>251</v>
      </c>
      <c r="E138" s="73">
        <v>0.3</v>
      </c>
      <c r="F138" s="104">
        <v>0.5</v>
      </c>
      <c r="G138" s="79">
        <v>0.12203</v>
      </c>
      <c r="H138" s="73">
        <v>2.1333000000000002</v>
      </c>
      <c r="I138" s="77">
        <v>0.2843</v>
      </c>
      <c r="J138" s="77"/>
      <c r="K138" s="77"/>
      <c r="L138" s="77"/>
      <c r="M138" s="77"/>
      <c r="N138" s="77"/>
      <c r="O138" s="77"/>
      <c r="P138" s="7">
        <v>0</v>
      </c>
      <c r="Q138" s="36">
        <v>0</v>
      </c>
      <c r="R138" s="14">
        <f t="shared" si="61"/>
        <v>5.872291900839822</v>
      </c>
      <c r="S138">
        <f t="shared" si="62"/>
        <v>2.0780642730404458E-2</v>
      </c>
      <c r="T138">
        <f t="shared" si="63"/>
        <v>1.1561635188581874</v>
      </c>
      <c r="U138">
        <f>0.1/G138/T138</f>
        <v>0.70878436191058947</v>
      </c>
      <c r="V138">
        <f t="shared" si="65"/>
        <v>0.40973531098910104</v>
      </c>
      <c r="W138">
        <f t="shared" si="66"/>
        <v>3.5244754406214121E-2</v>
      </c>
      <c r="X138">
        <f t="shared" si="67"/>
        <v>6.8924076484696506E-2</v>
      </c>
      <c r="Y138">
        <f t="shared" si="68"/>
        <v>7.4807515055431322E-4</v>
      </c>
      <c r="Z138" s="79"/>
      <c r="AA138" s="230">
        <f t="shared" si="72"/>
        <v>8.5145631116956708E-2</v>
      </c>
      <c r="AB138">
        <f t="shared" si="73"/>
        <v>1.0699715568091908</v>
      </c>
      <c r="AC138">
        <v>1.5366574704094311</v>
      </c>
      <c r="AD138">
        <f t="shared" si="74"/>
        <v>0.25881904510252074</v>
      </c>
      <c r="AE138">
        <f t="shared" si="75"/>
        <v>5.4675733349163202E-7</v>
      </c>
      <c r="AF138">
        <f t="shared" si="76"/>
        <v>4.0888652339063416</v>
      </c>
      <c r="AG138">
        <f t="shared" si="77"/>
        <v>3.1205037271864717</v>
      </c>
      <c r="AH138">
        <f t="shared" si="78"/>
        <v>2.0135163603360509</v>
      </c>
      <c r="AI138">
        <f t="shared" si="79"/>
        <v>2.214867996369656</v>
      </c>
      <c r="AJ138">
        <f t="shared" si="80"/>
        <v>1.7191333147903547</v>
      </c>
      <c r="AK138">
        <f t="shared" si="81"/>
        <v>24.161560073079638</v>
      </c>
      <c r="AL138" s="73"/>
      <c r="AM138" s="73"/>
      <c r="AR138" s="77"/>
      <c r="AS138" s="77"/>
      <c r="AT138" s="77"/>
      <c r="AU138" s="37"/>
      <c r="AV138" s="37"/>
      <c r="AW138" s="37"/>
      <c r="AX138" s="77"/>
      <c r="AY138" s="37"/>
      <c r="AZ138" s="37"/>
      <c r="BA138" s="37"/>
      <c r="BB138" s="77"/>
      <c r="BC138" s="77"/>
      <c r="BD138" s="77"/>
      <c r="BE138" s="77"/>
    </row>
    <row r="139" spans="1:57">
      <c r="D139" s="198" t="s">
        <v>251</v>
      </c>
      <c r="E139" s="73">
        <v>0.3</v>
      </c>
      <c r="F139" s="104">
        <v>0.5</v>
      </c>
      <c r="G139" s="79">
        <v>8.1741999999999995E-2</v>
      </c>
      <c r="H139" s="73">
        <v>1.7067000000000001</v>
      </c>
      <c r="I139" s="77">
        <v>2.3199999999999998E-2</v>
      </c>
      <c r="J139" s="246" t="s">
        <v>290</v>
      </c>
      <c r="K139" s="77"/>
      <c r="L139" s="77"/>
      <c r="M139" s="77"/>
      <c r="N139" s="77"/>
      <c r="O139" s="77"/>
      <c r="P139" s="7">
        <v>0.2843</v>
      </c>
      <c r="Q139" s="36">
        <v>0.55610000000000004</v>
      </c>
      <c r="R139" s="14">
        <f t="shared" si="61"/>
        <v>3.758531078447263</v>
      </c>
      <c r="S139">
        <f t="shared" si="62"/>
        <v>2.174839007418013E-2</v>
      </c>
      <c r="T139">
        <f t="shared" si="63"/>
        <v>1.1301476666686812</v>
      </c>
      <c r="U139">
        <f>0.1/G139/T139</f>
        <v>1.0824791694121254</v>
      </c>
      <c r="V139">
        <f t="shared" si="65"/>
        <v>0.61168065376428282</v>
      </c>
      <c r="W139">
        <f t="shared" si="66"/>
        <v>1.4182837818225073E-2</v>
      </c>
      <c r="X139">
        <f t="shared" si="67"/>
        <v>4.0770046882662433E-2</v>
      </c>
      <c r="Y139">
        <f t="shared" si="68"/>
        <v>1.139127799279433E-4</v>
      </c>
      <c r="AA139" s="230">
        <f t="shared" si="72"/>
        <v>0.13303069458895139</v>
      </c>
      <c r="AB139">
        <f t="shared" si="73"/>
        <v>1.6717130112903886</v>
      </c>
      <c r="AC139">
        <v>2.0183047396923417</v>
      </c>
      <c r="AD139">
        <f t="shared" si="74"/>
        <v>0.25881904510252074</v>
      </c>
      <c r="AE139">
        <f t="shared" si="75"/>
        <v>7.5245861785866452E-7</v>
      </c>
      <c r="AF139">
        <f t="shared" si="76"/>
        <v>3.1131004072939734</v>
      </c>
      <c r="AG139">
        <f t="shared" si="77"/>
        <v>3.892918226501227</v>
      </c>
      <c r="AH139">
        <f t="shared" si="78"/>
        <v>1.6140039275437388</v>
      </c>
      <c r="AI139">
        <f t="shared" si="79"/>
        <v>1.7754043202981129</v>
      </c>
      <c r="AJ139">
        <f t="shared" si="80"/>
        <v>1.4909942120004127</v>
      </c>
      <c r="AK139">
        <f t="shared" si="81"/>
        <v>25.466361729557971</v>
      </c>
    </row>
    <row r="140" spans="1:57" ht="13.5" thickBot="1">
      <c r="D140" s="198" t="s">
        <v>251</v>
      </c>
      <c r="E140" s="73">
        <v>0.3</v>
      </c>
      <c r="F140" s="104">
        <v>0.5</v>
      </c>
      <c r="G140" s="79">
        <v>0.12203</v>
      </c>
      <c r="H140" s="73">
        <v>2.1333000000000002</v>
      </c>
      <c r="I140" s="37">
        <v>0.55610000000000004</v>
      </c>
      <c r="J140" s="37"/>
      <c r="K140" s="37"/>
      <c r="L140" s="37"/>
      <c r="M140" s="37"/>
      <c r="N140" s="37"/>
      <c r="O140" s="37"/>
      <c r="P140" s="228">
        <v>0.192</v>
      </c>
      <c r="Q140" s="45">
        <v>0.1772</v>
      </c>
      <c r="R140" s="14">
        <f t="shared" si="61"/>
        <v>5.872291900839822</v>
      </c>
      <c r="S140">
        <f t="shared" si="62"/>
        <v>2.0780642730404458E-2</v>
      </c>
      <c r="T140">
        <f t="shared" si="63"/>
        <v>1.1561635188581874</v>
      </c>
      <c r="U140">
        <f>0.1/G140/T140</f>
        <v>0.70878436191058947</v>
      </c>
      <c r="V140">
        <f t="shared" si="65"/>
        <v>0.40973531098910104</v>
      </c>
      <c r="W140">
        <f t="shared" si="66"/>
        <v>3.5244754406214121E-2</v>
      </c>
      <c r="X140">
        <f t="shared" si="67"/>
        <v>6.8924076484696506E-2</v>
      </c>
      <c r="Y140">
        <f t="shared" si="68"/>
        <v>1.4632592023329357E-3</v>
      </c>
      <c r="AA140" s="230">
        <f t="shared" si="72"/>
        <v>8.5145631116956708E-2</v>
      </c>
      <c r="AB140">
        <f t="shared" si="73"/>
        <v>1.0699715568091908</v>
      </c>
      <c r="AC140">
        <v>1.5366574704094311</v>
      </c>
      <c r="AD140">
        <f t="shared" si="74"/>
        <v>0.25881904510252074</v>
      </c>
      <c r="AE140">
        <f t="shared" si="75"/>
        <v>5.4675733349163202E-7</v>
      </c>
      <c r="AF140">
        <f t="shared" si="76"/>
        <v>4.0888652339063416</v>
      </c>
      <c r="AG140">
        <f t="shared" si="77"/>
        <v>3.1205037271864717</v>
      </c>
      <c r="AH140">
        <f t="shared" si="78"/>
        <v>2.0135163603360509</v>
      </c>
      <c r="AI140">
        <f t="shared" si="79"/>
        <v>2.214867996369656</v>
      </c>
      <c r="AJ140">
        <f t="shared" si="80"/>
        <v>1.7191333147903547</v>
      </c>
      <c r="AK140">
        <f t="shared" si="81"/>
        <v>24.161560073079638</v>
      </c>
    </row>
    <row r="141" spans="1:57">
      <c r="D141" s="198" t="s">
        <v>251</v>
      </c>
      <c r="E141" s="73">
        <v>0.3</v>
      </c>
      <c r="F141" s="104">
        <v>0.5</v>
      </c>
      <c r="G141" s="79">
        <v>0.12265</v>
      </c>
      <c r="H141" s="73">
        <v>2.1333000000000002</v>
      </c>
      <c r="I141" s="77">
        <v>6.7599999999999993E-2</v>
      </c>
      <c r="J141" s="77"/>
      <c r="K141" s="77"/>
      <c r="L141" s="77"/>
      <c r="M141" s="77"/>
      <c r="N141" s="77"/>
      <c r="O141" s="77"/>
      <c r="P141" s="77"/>
      <c r="Q141" s="77"/>
      <c r="R141" s="14">
        <f t="shared" si="61"/>
        <v>5.872291900839822</v>
      </c>
      <c r="S141">
        <f t="shared" si="62"/>
        <v>2.0886223312989484E-2</v>
      </c>
      <c r="T141">
        <f t="shared" si="63"/>
        <v>1.153237593184183</v>
      </c>
      <c r="U141">
        <f>0.2/G141/T141</f>
        <v>1.4139812548723318</v>
      </c>
      <c r="V141">
        <f t="shared" si="65"/>
        <v>0.40766408479412969</v>
      </c>
      <c r="W141">
        <f t="shared" si="66"/>
        <v>3.5305646163023556E-2</v>
      </c>
      <c r="X141">
        <f t="shared" si="67"/>
        <v>6.9296246805837361E-2</v>
      </c>
      <c r="Y141">
        <f t="shared" si="68"/>
        <v>1.7697589757599341E-4</v>
      </c>
      <c r="AA141" s="230">
        <f t="shared" si="72"/>
        <v>8.5145631116956708E-2</v>
      </c>
      <c r="AB141">
        <f t="shared" si="73"/>
        <v>1.0699715568091908</v>
      </c>
      <c r="AC141">
        <v>1.5366574704094311</v>
      </c>
      <c r="AD141">
        <f t="shared" si="74"/>
        <v>0.25881904510252074</v>
      </c>
      <c r="AE141">
        <f t="shared" si="75"/>
        <v>5.4675733349163202E-7</v>
      </c>
      <c r="AF141">
        <f t="shared" si="76"/>
        <v>4.0888652339063416</v>
      </c>
      <c r="AG141">
        <f t="shared" si="77"/>
        <v>3.1205037271864717</v>
      </c>
      <c r="AH141">
        <f t="shared" si="78"/>
        <v>2.0135163603360509</v>
      </c>
      <c r="AI141">
        <f t="shared" si="79"/>
        <v>2.214867996369656</v>
      </c>
      <c r="AJ141">
        <f t="shared" si="80"/>
        <v>1.7191333147903547</v>
      </c>
      <c r="AK141">
        <f t="shared" si="81"/>
        <v>24.161560073079638</v>
      </c>
    </row>
    <row r="142" spans="1:57">
      <c r="D142" s="198" t="s">
        <v>251</v>
      </c>
      <c r="E142" s="73">
        <v>0.3</v>
      </c>
      <c r="F142" s="104">
        <v>0.5</v>
      </c>
      <c r="G142" s="79">
        <v>0.12265</v>
      </c>
      <c r="H142" s="73">
        <v>2.1333000000000002</v>
      </c>
      <c r="I142" s="77">
        <v>4.2599999999999999E-2</v>
      </c>
      <c r="J142" s="77"/>
      <c r="K142" s="77"/>
      <c r="L142" s="77"/>
      <c r="M142" s="77"/>
      <c r="N142" s="77"/>
      <c r="O142" s="77"/>
      <c r="P142" s="77"/>
      <c r="Q142" s="77"/>
      <c r="R142" s="14">
        <f t="shared" si="61"/>
        <v>5.872291900839822</v>
      </c>
      <c r="S142">
        <f t="shared" si="62"/>
        <v>2.0886223312989484E-2</v>
      </c>
      <c r="T142">
        <f t="shared" si="63"/>
        <v>1.153237593184183</v>
      </c>
      <c r="U142">
        <f>0.2/G142/T142</f>
        <v>1.4139812548723318</v>
      </c>
      <c r="V142">
        <f t="shared" si="65"/>
        <v>0.40766408479412969</v>
      </c>
      <c r="W142">
        <f t="shared" si="66"/>
        <v>3.5305646163023556E-2</v>
      </c>
      <c r="X142">
        <f t="shared" si="67"/>
        <v>6.9296246805837361E-2</v>
      </c>
      <c r="Y142">
        <f t="shared" si="68"/>
        <v>1.1152623131268225E-4</v>
      </c>
      <c r="AA142" s="230">
        <f t="shared" si="72"/>
        <v>8.5145631116956708E-2</v>
      </c>
      <c r="AB142">
        <f t="shared" si="73"/>
        <v>1.0699715568091908</v>
      </c>
      <c r="AC142">
        <v>1.5366574704094311</v>
      </c>
      <c r="AD142">
        <f t="shared" si="74"/>
        <v>0.25881904510252074</v>
      </c>
      <c r="AE142">
        <f t="shared" si="75"/>
        <v>5.4675733349163202E-7</v>
      </c>
      <c r="AF142">
        <f t="shared" si="76"/>
        <v>4.0888652339063416</v>
      </c>
      <c r="AG142">
        <f t="shared" si="77"/>
        <v>3.1205037271864717</v>
      </c>
      <c r="AH142">
        <f t="shared" si="78"/>
        <v>2.0135163603360509</v>
      </c>
      <c r="AI142">
        <f t="shared" si="79"/>
        <v>2.214867996369656</v>
      </c>
      <c r="AJ142">
        <f t="shared" si="80"/>
        <v>1.7191333147903547</v>
      </c>
      <c r="AK142">
        <f t="shared" si="81"/>
        <v>24.161560073079638</v>
      </c>
      <c r="AL142" s="14">
        <f>AVERAGE(AK137:AK142)</f>
        <v>24.596493958572413</v>
      </c>
    </row>
    <row r="143" spans="1:57" s="17" customFormat="1" ht="13.5" customHeight="1">
      <c r="A143" s="16" t="s">
        <v>240</v>
      </c>
      <c r="B143" s="6">
        <v>530</v>
      </c>
      <c r="C143" s="6" t="s">
        <v>75</v>
      </c>
      <c r="D143" s="6">
        <v>30</v>
      </c>
      <c r="E143" s="73">
        <v>0.15</v>
      </c>
      <c r="F143" s="104">
        <v>0.55000000000000004</v>
      </c>
      <c r="G143" s="232">
        <v>7.7900999999999998E-2</v>
      </c>
      <c r="H143" s="7">
        <v>1.6</v>
      </c>
      <c r="I143" s="77">
        <v>0.4662</v>
      </c>
      <c r="J143" s="232">
        <v>7.7900999999999998E-2</v>
      </c>
      <c r="K143" s="7">
        <v>1.6</v>
      </c>
      <c r="L143" s="232">
        <v>7.8270000000000006E-2</v>
      </c>
      <c r="M143" s="7">
        <v>1.7067000000000001</v>
      </c>
      <c r="N143" s="7">
        <v>0</v>
      </c>
      <c r="O143" s="7">
        <v>0</v>
      </c>
      <c r="P143" s="7">
        <v>0.4662</v>
      </c>
      <c r="Q143" s="36">
        <v>0.40849999999999997</v>
      </c>
      <c r="R143" s="14">
        <f t="shared" si="61"/>
        <v>3.303267420522829</v>
      </c>
      <c r="S143">
        <f t="shared" si="62"/>
        <v>2.3583013447839508E-2</v>
      </c>
      <c r="T143">
        <f t="shared" si="63"/>
        <v>1.0852982439167382</v>
      </c>
      <c r="U143">
        <f t="shared" si="64"/>
        <v>0.59139530360546189</v>
      </c>
      <c r="V143">
        <f t="shared" si="65"/>
        <v>0.64184028446361407</v>
      </c>
      <c r="W143">
        <f t="shared" si="66"/>
        <v>1.0732746519431719E-2</v>
      </c>
      <c r="X143">
        <f t="shared" si="67"/>
        <v>3.7695194781084199E-2</v>
      </c>
      <c r="Y143">
        <f t="shared" si="68"/>
        <v>2.5621005368510101E-3</v>
      </c>
      <c r="Z143" s="79"/>
      <c r="AA143" s="230">
        <f t="shared" si="72"/>
        <v>0.16650180865857603</v>
      </c>
      <c r="AB143">
        <f t="shared" si="73"/>
        <v>1.9021122141498028</v>
      </c>
      <c r="AC143">
        <v>2.1987920156964762</v>
      </c>
      <c r="AD143">
        <f t="shared" si="74"/>
        <v>0.49999999999999994</v>
      </c>
      <c r="AE143">
        <f t="shared" si="75"/>
        <v>8.6722608261258216E-8</v>
      </c>
      <c r="AF143">
        <f t="shared" si="76"/>
        <v>2.8575623625726885</v>
      </c>
      <c r="AG143">
        <f t="shared" si="77"/>
        <v>4.1547805842313377</v>
      </c>
      <c r="AH143">
        <f t="shared" si="78"/>
        <v>1.5122784897537538</v>
      </c>
      <c r="AI143">
        <f t="shared" si="79"/>
        <v>1.6635063387291293</v>
      </c>
      <c r="AJ143">
        <f t="shared" si="80"/>
        <v>1.4114495727041823</v>
      </c>
      <c r="AK143">
        <f t="shared" si="81"/>
        <v>34.994503976065459</v>
      </c>
      <c r="AL143" s="73"/>
      <c r="AM143" s="73"/>
      <c r="AR143" s="37"/>
      <c r="AS143" s="37"/>
      <c r="AT143" s="37"/>
      <c r="AU143" s="37"/>
      <c r="AV143" s="37"/>
      <c r="AW143" s="37"/>
      <c r="AX143" s="77"/>
      <c r="AY143" s="37"/>
      <c r="AZ143" s="37"/>
      <c r="BA143" s="37"/>
      <c r="BB143" s="77"/>
      <c r="BC143" s="77"/>
      <c r="BD143" s="77"/>
      <c r="BE143" s="77"/>
    </row>
    <row r="144" spans="1:57" s="17" customFormat="1">
      <c r="A144" s="16" t="s">
        <v>240</v>
      </c>
      <c r="B144" s="6">
        <v>531</v>
      </c>
      <c r="C144" s="6" t="s">
        <v>76</v>
      </c>
      <c r="D144" s="6">
        <v>30</v>
      </c>
      <c r="E144" s="73">
        <v>0.15</v>
      </c>
      <c r="F144" s="104">
        <v>0.55000000000000004</v>
      </c>
      <c r="G144" s="232">
        <v>7.3441000000000006E-2</v>
      </c>
      <c r="H144" s="7">
        <v>1.1636</v>
      </c>
      <c r="I144" s="77">
        <v>3.8699999999999998E-2</v>
      </c>
      <c r="J144" s="232">
        <v>7.3441000000000006E-2</v>
      </c>
      <c r="K144" s="7">
        <v>1.1636</v>
      </c>
      <c r="L144" s="232">
        <v>6.8542000000000006E-2</v>
      </c>
      <c r="M144" s="7">
        <v>1.1636</v>
      </c>
      <c r="N144" s="7">
        <v>0</v>
      </c>
      <c r="O144" s="7">
        <v>0</v>
      </c>
      <c r="P144" s="7">
        <v>3.8699999999999998E-2</v>
      </c>
      <c r="Q144" s="7">
        <v>4.4299999999999999E-2</v>
      </c>
      <c r="R144" s="14">
        <f t="shared" ref="R144:R207" si="82">9.81/2/PI()*(H144/1.1)^2</f>
        <v>1.747073570663084</v>
      </c>
      <c r="S144">
        <f t="shared" ref="S144:S207" si="83">2*PI()*G144/9.81/(H144/1.1)^2</f>
        <v>4.2036581191097877E-2</v>
      </c>
      <c r="T144">
        <f t="shared" ref="T144:T207" si="84">1/6/S144^0.5</f>
        <v>0.8128961294041871</v>
      </c>
      <c r="U144">
        <f t="shared" ref="U144:U204" si="85">0.05/G144/T144</f>
        <v>0.83752227582046779</v>
      </c>
      <c r="V144">
        <f t="shared" ref="V144:V207" si="86">0.05/G144</f>
        <v>0.68081861630424423</v>
      </c>
      <c r="W144">
        <f t="shared" ref="W144:W207" si="87">0.067*6^0.5*T144*EXP(-4.75*0.05/G144/T144)</f>
        <v>2.4972486957380558E-3</v>
      </c>
      <c r="X144">
        <f t="shared" ref="X144:X207" si="88">0.2*EXP(-2.6*0.05/G144)</f>
        <v>3.4062223813293373E-2</v>
      </c>
      <c r="Y144">
        <f t="shared" ref="Y144:Y207" si="89">IF(W144&lt;X144,I144/1000/(9.91*G144^3)^0.5*(S144*6)^0.5," ")</f>
        <v>3.1020985040933858E-4</v>
      </c>
      <c r="Z144" s="79"/>
      <c r="AA144" s="230">
        <f t="shared" si="72"/>
        <v>0.31481215744752705</v>
      </c>
      <c r="AB144">
        <f t="shared" si="73"/>
        <v>3.5964056767196513</v>
      </c>
      <c r="AC144">
        <v>3.4924561668629663</v>
      </c>
      <c r="AD144">
        <f t="shared" si="74"/>
        <v>0.49999999999999994</v>
      </c>
      <c r="AE144">
        <f t="shared" si="75"/>
        <v>4.8192330309726472E-7</v>
      </c>
      <c r="AF144">
        <f t="shared" si="76"/>
        <v>1.7990734906841623</v>
      </c>
      <c r="AG144">
        <f t="shared" si="77"/>
        <v>5.6778254975776639</v>
      </c>
      <c r="AH144">
        <f t="shared" si="78"/>
        <v>1.1066182484580034</v>
      </c>
      <c r="AI144">
        <f t="shared" si="79"/>
        <v>1.2172800733038038</v>
      </c>
      <c r="AJ144">
        <f t="shared" si="80"/>
        <v>0.98578384273626807</v>
      </c>
      <c r="AK144">
        <f t="shared" si="81"/>
        <v>36.981691271680489</v>
      </c>
      <c r="AL144" s="73"/>
      <c r="AM144" s="73"/>
      <c r="AR144" s="77"/>
      <c r="AS144" s="77"/>
      <c r="AT144" s="77"/>
      <c r="AU144" s="77"/>
      <c r="AV144" s="77"/>
      <c r="AW144" s="77"/>
      <c r="AX144" s="77"/>
      <c r="AY144" s="77"/>
      <c r="AZ144" s="77"/>
      <c r="BA144" s="77"/>
      <c r="BB144" s="77"/>
      <c r="BC144" s="77"/>
      <c r="BD144" s="77"/>
      <c r="BE144" s="77"/>
    </row>
    <row r="145" spans="1:57" s="17" customFormat="1">
      <c r="A145" s="16" t="s">
        <v>240</v>
      </c>
      <c r="B145" s="6">
        <v>532</v>
      </c>
      <c r="C145" s="6" t="s">
        <v>77</v>
      </c>
      <c r="D145" s="6">
        <v>30</v>
      </c>
      <c r="E145" s="73">
        <v>0.15</v>
      </c>
      <c r="F145" s="104">
        <v>0.55000000000000004</v>
      </c>
      <c r="G145" s="232">
        <v>0.10034</v>
      </c>
      <c r="H145" s="7">
        <v>1.9692000000000001</v>
      </c>
      <c r="I145" s="77">
        <v>2.3834</v>
      </c>
      <c r="J145" s="232">
        <v>0.10034</v>
      </c>
      <c r="K145" s="7">
        <v>1.9692000000000001</v>
      </c>
      <c r="L145" s="232">
        <v>0.11362</v>
      </c>
      <c r="M145" s="7">
        <v>1.9692000000000001</v>
      </c>
      <c r="N145" s="7">
        <v>0</v>
      </c>
      <c r="O145" s="7">
        <v>2.01E-2</v>
      </c>
      <c r="P145" s="7">
        <v>2.3834</v>
      </c>
      <c r="Q145" s="36">
        <v>1.8039000000000001</v>
      </c>
      <c r="R145" s="14">
        <f t="shared" si="82"/>
        <v>5.0036096669877761</v>
      </c>
      <c r="S145">
        <f t="shared" si="83"/>
        <v>2.0053522692229844E-2</v>
      </c>
      <c r="T145">
        <f t="shared" si="84"/>
        <v>1.1769375325455986</v>
      </c>
      <c r="U145">
        <f t="shared" si="85"/>
        <v>0.42339185099892657</v>
      </c>
      <c r="V145">
        <f t="shared" si="86"/>
        <v>0.4983057604145904</v>
      </c>
      <c r="W145">
        <f t="shared" si="87"/>
        <v>2.5851711694311479E-2</v>
      </c>
      <c r="X145">
        <f t="shared" si="88"/>
        <v>5.4746989970093966E-2</v>
      </c>
      <c r="Y145">
        <f t="shared" si="89"/>
        <v>8.2626608078628285E-3</v>
      </c>
      <c r="Z145" s="79"/>
      <c r="AA145" s="230">
        <f t="shared" si="72"/>
        <v>0.10992064461557123</v>
      </c>
      <c r="AB145">
        <f t="shared" si="73"/>
        <v>1.2557305076441201</v>
      </c>
      <c r="AC145">
        <v>1.6926954694508352</v>
      </c>
      <c r="AD145">
        <f t="shared" si="74"/>
        <v>0.49999999999999994</v>
      </c>
      <c r="AE145">
        <f t="shared" si="75"/>
        <v>4.1158810759611697E-7</v>
      </c>
      <c r="AF145">
        <f t="shared" si="76"/>
        <v>3.7119407599159309</v>
      </c>
      <c r="AG145">
        <f t="shared" si="77"/>
        <v>3.3828511347316947</v>
      </c>
      <c r="AH145">
        <f t="shared" si="78"/>
        <v>1.8573638203201415</v>
      </c>
      <c r="AI145">
        <f t="shared" si="79"/>
        <v>2.0431002023521558</v>
      </c>
      <c r="AJ145">
        <f t="shared" si="80"/>
        <v>1.6435918629933424</v>
      </c>
      <c r="AK145">
        <f t="shared" si="81"/>
        <v>34.322616493797227</v>
      </c>
      <c r="AL145" s="73"/>
      <c r="AM145" s="73"/>
      <c r="AR145" s="37"/>
      <c r="AS145" s="37"/>
      <c r="AT145" s="37"/>
      <c r="AU145" s="37"/>
      <c r="AV145" s="37"/>
      <c r="AW145" s="37"/>
      <c r="AX145" s="77"/>
      <c r="AY145" s="37"/>
      <c r="AZ145" s="37"/>
      <c r="BA145" s="37"/>
      <c r="BB145" s="77"/>
      <c r="BC145" s="77"/>
      <c r="BD145" s="77"/>
      <c r="BE145" s="77"/>
    </row>
    <row r="146" spans="1:57" s="17" customFormat="1">
      <c r="A146" s="16" t="s">
        <v>240</v>
      </c>
      <c r="B146" s="6">
        <v>533</v>
      </c>
      <c r="C146" s="6" t="s">
        <v>74</v>
      </c>
      <c r="D146" s="6">
        <v>30</v>
      </c>
      <c r="E146" s="73">
        <v>0.15</v>
      </c>
      <c r="F146" s="104">
        <v>0.55000000000000004</v>
      </c>
      <c r="G146" s="232">
        <v>0.10027</v>
      </c>
      <c r="H146" s="7">
        <v>1.3473999999999999</v>
      </c>
      <c r="I146" s="77">
        <v>0.35149999999999998</v>
      </c>
      <c r="J146" s="232">
        <v>0.10027</v>
      </c>
      <c r="K146" s="7">
        <v>1.3473999999999999</v>
      </c>
      <c r="L146" s="232">
        <v>9.7264000000000003E-2</v>
      </c>
      <c r="M146" s="7">
        <v>1.3473999999999999</v>
      </c>
      <c r="N146" s="7">
        <v>0</v>
      </c>
      <c r="O146" s="7">
        <v>0</v>
      </c>
      <c r="P146" s="7">
        <v>0.35149999999999998</v>
      </c>
      <c r="Q146" s="36">
        <v>0.33679999999999999</v>
      </c>
      <c r="R146" s="14">
        <f t="shared" si="82"/>
        <v>2.3425930729291196</v>
      </c>
      <c r="S146">
        <f t="shared" si="83"/>
        <v>4.2802995176035807E-2</v>
      </c>
      <c r="T146">
        <f t="shared" si="84"/>
        <v>0.80558555362450701</v>
      </c>
      <c r="U146">
        <f t="shared" si="85"/>
        <v>0.61899525499364771</v>
      </c>
      <c r="V146">
        <f t="shared" si="86"/>
        <v>0.49865363518500055</v>
      </c>
      <c r="W146">
        <f t="shared" si="87"/>
        <v>6.9877528411345959E-3</v>
      </c>
      <c r="X146">
        <f t="shared" si="88"/>
        <v>5.469749510581421E-2</v>
      </c>
      <c r="Y146">
        <f t="shared" si="89"/>
        <v>1.7821517647635683E-3</v>
      </c>
      <c r="Z146" s="79"/>
      <c r="AA146" s="230">
        <f t="shared" si="72"/>
        <v>0.23478256055469926</v>
      </c>
      <c r="AB146">
        <f t="shared" si="73"/>
        <v>2.6821496997441594</v>
      </c>
      <c r="AC146">
        <v>2.7905406963975263</v>
      </c>
      <c r="AD146">
        <f t="shared" si="74"/>
        <v>0.49999999999999994</v>
      </c>
      <c r="AE146">
        <f t="shared" si="75"/>
        <v>3.9092502782112071E-7</v>
      </c>
      <c r="AF146">
        <f t="shared" si="76"/>
        <v>2.2516013886810256</v>
      </c>
      <c r="AG146">
        <f t="shared" si="77"/>
        <v>4.9202213704582727</v>
      </c>
      <c r="AH146">
        <f t="shared" si="78"/>
        <v>1.2770127264811189</v>
      </c>
      <c r="AI146">
        <f t="shared" si="79"/>
        <v>1.4047139991292308</v>
      </c>
      <c r="AJ146">
        <f t="shared" si="80"/>
        <v>1.1847744134711278</v>
      </c>
      <c r="AK146">
        <f t="shared" si="81"/>
        <v>35.887345097076306</v>
      </c>
      <c r="AL146" s="73"/>
      <c r="AM146" s="73"/>
      <c r="AR146" s="37"/>
      <c r="AS146" s="37"/>
      <c r="AT146" s="37"/>
      <c r="AU146" s="37"/>
      <c r="AV146" s="37"/>
      <c r="AW146" s="37"/>
      <c r="AX146" s="77"/>
      <c r="AY146" s="37"/>
      <c r="AZ146" s="37"/>
      <c r="BA146" s="37"/>
      <c r="BB146" s="77"/>
      <c r="BC146" s="77"/>
      <c r="BD146" s="77"/>
      <c r="BE146" s="77"/>
    </row>
    <row r="147" spans="1:57" s="17" customFormat="1">
      <c r="A147" s="16" t="s">
        <v>240</v>
      </c>
      <c r="B147" s="6">
        <v>534</v>
      </c>
      <c r="C147" s="6" t="s">
        <v>78</v>
      </c>
      <c r="D147" s="6">
        <v>30</v>
      </c>
      <c r="E147" s="73">
        <v>0.15</v>
      </c>
      <c r="F147" s="104">
        <v>0.55000000000000004</v>
      </c>
      <c r="G147" s="232">
        <v>0.11879000000000001</v>
      </c>
      <c r="H147" s="7">
        <v>2.1333000000000002</v>
      </c>
      <c r="I147" s="77">
        <v>5.5260999999999996</v>
      </c>
      <c r="J147" s="232">
        <v>0.11879000000000001</v>
      </c>
      <c r="K147" s="7">
        <v>2.1333000000000002</v>
      </c>
      <c r="L147" s="232">
        <v>0.14563000000000001</v>
      </c>
      <c r="M147" s="7">
        <v>2.1333000000000002</v>
      </c>
      <c r="N147" s="7">
        <v>0.1234</v>
      </c>
      <c r="O147" s="7">
        <v>0.19969999999999999</v>
      </c>
      <c r="P147" s="7">
        <v>5.5260999999999996</v>
      </c>
      <c r="Q147" s="7">
        <v>4.3</v>
      </c>
      <c r="R147" s="14">
        <f t="shared" si="82"/>
        <v>5.872291900839822</v>
      </c>
      <c r="S147">
        <f t="shared" si="83"/>
        <v>2.0228899040766576E-2</v>
      </c>
      <c r="T147">
        <f t="shared" si="84"/>
        <v>1.1718246412665125</v>
      </c>
      <c r="U147">
        <f t="shared" si="85"/>
        <v>0.35919269510053897</v>
      </c>
      <c r="V147">
        <f t="shared" si="86"/>
        <v>0.42091085108174087</v>
      </c>
      <c r="W147">
        <f t="shared" si="87"/>
        <v>3.4916835615231255E-2</v>
      </c>
      <c r="X147">
        <f t="shared" si="88"/>
        <v>6.6950206313326016E-2</v>
      </c>
      <c r="Y147">
        <f t="shared" si="89"/>
        <v>1.4937359643228188E-2</v>
      </c>
      <c r="Z147" s="79"/>
      <c r="AA147" s="230">
        <f t="shared" si="72"/>
        <v>9.3660194228652391E-2</v>
      </c>
      <c r="AB147">
        <f t="shared" si="73"/>
        <v>1.0699715568091908</v>
      </c>
      <c r="AC147">
        <v>1.5389242174269824</v>
      </c>
      <c r="AD147">
        <f t="shared" si="74"/>
        <v>0.49999999999999994</v>
      </c>
      <c r="AE147">
        <f t="shared" si="75"/>
        <v>5.8979279619897351E-7</v>
      </c>
      <c r="AF147">
        <f t="shared" si="76"/>
        <v>4.0828425701720468</v>
      </c>
      <c r="AG147">
        <f t="shared" si="77"/>
        <v>3.124399319657218</v>
      </c>
      <c r="AH147">
        <f t="shared" si="78"/>
        <v>2.0110058492359815</v>
      </c>
      <c r="AI147">
        <f t="shared" si="79"/>
        <v>2.2121064341595797</v>
      </c>
      <c r="AJ147">
        <f t="shared" si="80"/>
        <v>1.7180323192030866</v>
      </c>
      <c r="AK147">
        <f t="shared" si="81"/>
        <v>34.143795108350389</v>
      </c>
      <c r="AL147" s="73"/>
      <c r="AM147" s="73"/>
      <c r="AR147" s="77"/>
      <c r="AS147" s="77"/>
      <c r="AT147" s="77"/>
      <c r="AU147" s="77"/>
      <c r="AV147" s="77"/>
      <c r="AW147" s="77"/>
      <c r="AX147" s="77"/>
      <c r="AY147" s="77"/>
      <c r="AZ147" s="77"/>
      <c r="BA147" s="77"/>
      <c r="BB147" s="77"/>
      <c r="BC147" s="77"/>
      <c r="BD147" s="77"/>
      <c r="BE147" s="77"/>
    </row>
    <row r="148" spans="1:57" s="17" customFormat="1" ht="13.5" thickBot="1">
      <c r="A148" s="21" t="s">
        <v>240</v>
      </c>
      <c r="B148" s="149">
        <v>535</v>
      </c>
      <c r="C148" s="149" t="s">
        <v>79</v>
      </c>
      <c r="D148" s="6">
        <v>30</v>
      </c>
      <c r="E148" s="95">
        <v>0.15</v>
      </c>
      <c r="F148" s="103">
        <v>0.55000000000000004</v>
      </c>
      <c r="G148" s="233">
        <v>0.12706999999999999</v>
      </c>
      <c r="H148" s="228">
        <v>1.5059</v>
      </c>
      <c r="I148" s="151">
        <v>1.3563000000000001</v>
      </c>
      <c r="J148" s="233">
        <v>0.12706999999999999</v>
      </c>
      <c r="K148" s="228">
        <v>1.5059</v>
      </c>
      <c r="L148" s="233">
        <v>0.12859000000000001</v>
      </c>
      <c r="M148" s="228">
        <v>1.5059</v>
      </c>
      <c r="N148" s="228">
        <v>0</v>
      </c>
      <c r="O148" s="228">
        <v>0</v>
      </c>
      <c r="P148" s="228">
        <v>1.3563000000000001</v>
      </c>
      <c r="Q148" s="45">
        <v>1.3207</v>
      </c>
      <c r="R148" s="14">
        <f t="shared" si="82"/>
        <v>2.9261462954134876</v>
      </c>
      <c r="S148">
        <f t="shared" si="83"/>
        <v>4.3425716683807847E-2</v>
      </c>
      <c r="T148">
        <f t="shared" si="84"/>
        <v>0.79978867880274274</v>
      </c>
      <c r="U148">
        <f t="shared" si="85"/>
        <v>0.49198484166749679</v>
      </c>
      <c r="V148">
        <f t="shared" si="86"/>
        <v>0.39348390650822385</v>
      </c>
      <c r="W148">
        <f t="shared" si="87"/>
        <v>1.2682671569015305E-2</v>
      </c>
      <c r="X148">
        <f t="shared" si="88"/>
        <v>7.189877374874204E-2</v>
      </c>
      <c r="Y148">
        <f t="shared" si="89"/>
        <v>4.8551596159035152E-3</v>
      </c>
      <c r="Z148" s="79"/>
      <c r="AA148" s="230">
        <f t="shared" si="72"/>
        <v>0.18796052708030467</v>
      </c>
      <c r="AB148">
        <f t="shared" si="73"/>
        <v>2.1472560401467291</v>
      </c>
      <c r="AC148">
        <v>2.385290634373856</v>
      </c>
      <c r="AD148">
        <f t="shared" si="74"/>
        <v>0.49999999999999994</v>
      </c>
      <c r="AE148">
        <f t="shared" si="75"/>
        <v>2.5828366473357178E-7</v>
      </c>
      <c r="AF148">
        <f t="shared" si="76"/>
        <v>2.6341382541121394</v>
      </c>
      <c r="AG148">
        <f t="shared" si="77"/>
        <v>4.4107201934883769</v>
      </c>
      <c r="AH148">
        <f t="shared" si="78"/>
        <v>1.424525934892801</v>
      </c>
      <c r="AI148">
        <f t="shared" si="79"/>
        <v>1.5669785283820812</v>
      </c>
      <c r="AJ148">
        <f t="shared" si="80"/>
        <v>1.3340982742854306</v>
      </c>
      <c r="AK148">
        <f t="shared" si="81"/>
        <v>35.267170905636739</v>
      </c>
      <c r="AL148" s="73"/>
      <c r="AM148" s="73"/>
      <c r="AR148" s="37"/>
      <c r="AS148" s="37"/>
      <c r="AT148" s="37"/>
      <c r="AU148" s="37"/>
      <c r="AV148" s="37"/>
      <c r="AW148" s="37"/>
      <c r="AX148" s="77"/>
      <c r="AY148" s="37"/>
      <c r="AZ148" s="37"/>
      <c r="BA148" s="37"/>
      <c r="BB148" s="77"/>
      <c r="BC148" s="77"/>
      <c r="BD148" s="77"/>
      <c r="BE148" s="77"/>
    </row>
    <row r="149" spans="1:57">
      <c r="D149" s="6">
        <v>30</v>
      </c>
      <c r="E149" s="73">
        <v>0.15</v>
      </c>
      <c r="F149" s="104">
        <v>0.55000000000000004</v>
      </c>
      <c r="G149" s="232">
        <v>7.7900999999999998E-2</v>
      </c>
      <c r="H149" s="7">
        <v>1.6</v>
      </c>
      <c r="I149" s="37">
        <v>0.40849999999999997</v>
      </c>
      <c r="J149" s="37"/>
      <c r="K149" s="37"/>
      <c r="L149" s="37"/>
      <c r="M149" s="37"/>
      <c r="N149" s="37"/>
      <c r="O149" s="37"/>
      <c r="P149" s="37"/>
      <c r="Q149" s="37"/>
      <c r="R149" s="14">
        <f t="shared" si="82"/>
        <v>3.303267420522829</v>
      </c>
      <c r="S149">
        <f t="shared" si="83"/>
        <v>2.3583013447839508E-2</v>
      </c>
      <c r="T149">
        <f t="shared" si="84"/>
        <v>1.0852982439167382</v>
      </c>
      <c r="U149">
        <f t="shared" si="85"/>
        <v>0.59139530360546189</v>
      </c>
      <c r="V149">
        <f t="shared" si="86"/>
        <v>0.64184028446361407</v>
      </c>
      <c r="W149">
        <f t="shared" si="87"/>
        <v>1.0732746519431719E-2</v>
      </c>
      <c r="X149">
        <f t="shared" si="88"/>
        <v>3.7695194781084199E-2</v>
      </c>
      <c r="Y149">
        <f t="shared" si="89"/>
        <v>2.2449980036543062E-3</v>
      </c>
      <c r="AA149" s="230">
        <f t="shared" si="72"/>
        <v>0.16650180865857603</v>
      </c>
      <c r="AB149">
        <f t="shared" si="73"/>
        <v>1.9021122141498028</v>
      </c>
      <c r="AC149">
        <v>2.1987920156964762</v>
      </c>
      <c r="AD149">
        <f t="shared" si="74"/>
        <v>0.49999999999999994</v>
      </c>
      <c r="AE149">
        <f t="shared" si="75"/>
        <v>8.6722608261258216E-8</v>
      </c>
      <c r="AF149">
        <f t="shared" si="76"/>
        <v>2.8575623625726885</v>
      </c>
      <c r="AG149">
        <f t="shared" si="77"/>
        <v>4.1547805842313377</v>
      </c>
      <c r="AH149">
        <f t="shared" si="78"/>
        <v>1.5122784897537538</v>
      </c>
      <c r="AI149">
        <f t="shared" si="79"/>
        <v>1.6635063387291293</v>
      </c>
      <c r="AJ149">
        <f t="shared" si="80"/>
        <v>1.4114495727041823</v>
      </c>
      <c r="AK149">
        <f t="shared" si="81"/>
        <v>34.994503976065459</v>
      </c>
    </row>
    <row r="150" spans="1:57" ht="13.5" thickBot="1">
      <c r="D150" s="6">
        <v>30</v>
      </c>
      <c r="E150" s="95">
        <v>0.15</v>
      </c>
      <c r="F150" s="103">
        <v>0.55000000000000004</v>
      </c>
      <c r="G150" s="232">
        <v>7.3441000000000006E-2</v>
      </c>
      <c r="H150" s="7">
        <v>1.1636</v>
      </c>
      <c r="I150" s="77">
        <v>4.4299999999999999E-2</v>
      </c>
      <c r="J150" s="77"/>
      <c r="K150" s="77"/>
      <c r="L150" s="77"/>
      <c r="M150" s="77"/>
      <c r="N150" s="77"/>
      <c r="O150" s="77"/>
      <c r="P150" s="77"/>
      <c r="Q150" s="77"/>
      <c r="R150" s="14">
        <f t="shared" si="82"/>
        <v>1.747073570663084</v>
      </c>
      <c r="S150">
        <f t="shared" si="83"/>
        <v>4.2036581191097877E-2</v>
      </c>
      <c r="T150">
        <f t="shared" si="84"/>
        <v>0.8128961294041871</v>
      </c>
      <c r="U150">
        <f t="shared" si="85"/>
        <v>0.83752227582046779</v>
      </c>
      <c r="V150">
        <f t="shared" si="86"/>
        <v>0.68081861630424423</v>
      </c>
      <c r="W150">
        <f t="shared" si="87"/>
        <v>2.4972486957380558E-3</v>
      </c>
      <c r="X150">
        <f t="shared" si="88"/>
        <v>3.4062223813293373E-2</v>
      </c>
      <c r="Y150">
        <f t="shared" si="89"/>
        <v>3.5509809749699483E-4</v>
      </c>
      <c r="AA150" s="230">
        <f t="shared" si="72"/>
        <v>0.31481215744752705</v>
      </c>
      <c r="AB150">
        <f t="shared" si="73"/>
        <v>3.5964056767196513</v>
      </c>
      <c r="AC150">
        <v>3.4924561668629663</v>
      </c>
      <c r="AD150">
        <f t="shared" si="74"/>
        <v>0.49999999999999994</v>
      </c>
      <c r="AE150">
        <f t="shared" si="75"/>
        <v>4.8192330309726472E-7</v>
      </c>
      <c r="AF150">
        <f t="shared" si="76"/>
        <v>1.7990734906841623</v>
      </c>
      <c r="AG150">
        <f t="shared" si="77"/>
        <v>5.6778254975776639</v>
      </c>
      <c r="AH150">
        <f t="shared" si="78"/>
        <v>1.1066182484580034</v>
      </c>
      <c r="AI150">
        <f t="shared" si="79"/>
        <v>1.2172800733038038</v>
      </c>
      <c r="AJ150">
        <f t="shared" si="80"/>
        <v>0.98578384273626807</v>
      </c>
      <c r="AK150">
        <f t="shared" si="81"/>
        <v>36.981691271680489</v>
      </c>
    </row>
    <row r="151" spans="1:57">
      <c r="D151" s="6">
        <v>30</v>
      </c>
      <c r="E151" s="73">
        <v>0.15</v>
      </c>
      <c r="F151" s="104">
        <v>0.55000000000000004</v>
      </c>
      <c r="G151" s="232">
        <v>0.10034</v>
      </c>
      <c r="H151" s="7">
        <v>1.9692000000000001</v>
      </c>
      <c r="I151" s="37">
        <v>1.8039000000000001</v>
      </c>
      <c r="J151" s="37"/>
      <c r="K151" s="37"/>
      <c r="L151" s="37"/>
      <c r="M151" s="37"/>
      <c r="N151" s="37"/>
      <c r="O151" s="37"/>
      <c r="P151" s="37"/>
      <c r="Q151" s="37"/>
      <c r="R151" s="14">
        <f t="shared" si="82"/>
        <v>5.0036096669877761</v>
      </c>
      <c r="S151">
        <f t="shared" si="83"/>
        <v>2.0053522692229844E-2</v>
      </c>
      <c r="T151">
        <f t="shared" si="84"/>
        <v>1.1769375325455986</v>
      </c>
      <c r="U151">
        <f t="shared" si="85"/>
        <v>0.42339185099892657</v>
      </c>
      <c r="V151">
        <f t="shared" si="86"/>
        <v>0.4983057604145904</v>
      </c>
      <c r="W151">
        <f t="shared" si="87"/>
        <v>2.5851711694311479E-2</v>
      </c>
      <c r="X151">
        <f t="shared" si="88"/>
        <v>5.4746989970093966E-2</v>
      </c>
      <c r="Y151">
        <f t="shared" si="89"/>
        <v>6.2536770291616002E-3</v>
      </c>
      <c r="AA151" s="230">
        <f t="shared" si="72"/>
        <v>0.10992064461557123</v>
      </c>
      <c r="AB151">
        <f t="shared" si="73"/>
        <v>1.2557305076441201</v>
      </c>
      <c r="AC151">
        <v>1.6926954694508352</v>
      </c>
      <c r="AD151">
        <f t="shared" si="74"/>
        <v>0.49999999999999994</v>
      </c>
      <c r="AE151">
        <f t="shared" si="75"/>
        <v>4.1158810759611697E-7</v>
      </c>
      <c r="AF151">
        <f t="shared" si="76"/>
        <v>3.7119407599159309</v>
      </c>
      <c r="AG151">
        <f t="shared" si="77"/>
        <v>3.3828511347316947</v>
      </c>
      <c r="AH151">
        <f t="shared" si="78"/>
        <v>1.8573638203201415</v>
      </c>
      <c r="AI151">
        <f t="shared" si="79"/>
        <v>2.0431002023521558</v>
      </c>
      <c r="AJ151">
        <f t="shared" si="80"/>
        <v>1.6435918629933424</v>
      </c>
      <c r="AK151">
        <f t="shared" si="81"/>
        <v>34.322616493797227</v>
      </c>
    </row>
    <row r="152" spans="1:57" ht="13.5" thickBot="1">
      <c r="D152" s="6">
        <v>30</v>
      </c>
      <c r="E152" s="95">
        <v>0.15</v>
      </c>
      <c r="F152" s="103">
        <v>0.55000000000000004</v>
      </c>
      <c r="G152" s="232">
        <v>0.10027</v>
      </c>
      <c r="H152" s="7">
        <v>1.3473999999999999</v>
      </c>
      <c r="I152" s="37">
        <v>0.33679999999999999</v>
      </c>
      <c r="J152" s="37"/>
      <c r="K152" s="37"/>
      <c r="L152" s="37"/>
      <c r="M152" s="37"/>
      <c r="N152" s="37"/>
      <c r="O152" s="37"/>
      <c r="P152" s="37"/>
      <c r="Q152" s="37"/>
      <c r="R152" s="14">
        <f t="shared" si="82"/>
        <v>2.3425930729291196</v>
      </c>
      <c r="S152">
        <f t="shared" si="83"/>
        <v>4.2802995176035807E-2</v>
      </c>
      <c r="T152">
        <f t="shared" si="84"/>
        <v>0.80558555362450701</v>
      </c>
      <c r="U152">
        <f t="shared" si="85"/>
        <v>0.61899525499364771</v>
      </c>
      <c r="V152">
        <f t="shared" si="86"/>
        <v>0.49865363518500055</v>
      </c>
      <c r="W152">
        <f t="shared" si="87"/>
        <v>6.9877528411345959E-3</v>
      </c>
      <c r="X152">
        <f t="shared" si="88"/>
        <v>5.469749510581421E-2</v>
      </c>
      <c r="Y152">
        <f t="shared" si="89"/>
        <v>1.7076208090252344E-3</v>
      </c>
      <c r="AA152" s="230">
        <f t="shared" si="72"/>
        <v>0.23478256055469926</v>
      </c>
      <c r="AB152">
        <f t="shared" si="73"/>
        <v>2.6821496997441594</v>
      </c>
      <c r="AC152">
        <v>2.7905406963975263</v>
      </c>
      <c r="AD152">
        <f t="shared" si="74"/>
        <v>0.49999999999999994</v>
      </c>
      <c r="AE152">
        <f t="shared" si="75"/>
        <v>3.9092502782112071E-7</v>
      </c>
      <c r="AF152">
        <f t="shared" si="76"/>
        <v>2.2516013886810256</v>
      </c>
      <c r="AG152">
        <f t="shared" si="77"/>
        <v>4.9202213704582727</v>
      </c>
      <c r="AH152">
        <f t="shared" si="78"/>
        <v>1.2770127264811189</v>
      </c>
      <c r="AI152">
        <f t="shared" si="79"/>
        <v>1.4047139991292308</v>
      </c>
      <c r="AJ152">
        <f t="shared" si="80"/>
        <v>1.1847744134711278</v>
      </c>
      <c r="AK152">
        <f t="shared" si="81"/>
        <v>35.887345097076306</v>
      </c>
    </row>
    <row r="153" spans="1:57">
      <c r="D153" s="6">
        <v>30</v>
      </c>
      <c r="E153" s="73">
        <v>0.15</v>
      </c>
      <c r="F153" s="104">
        <v>0.55000000000000004</v>
      </c>
      <c r="G153" s="232">
        <v>0.11879000000000001</v>
      </c>
      <c r="H153" s="7">
        <v>2.1333000000000002</v>
      </c>
      <c r="I153" s="77">
        <v>4.3</v>
      </c>
      <c r="J153" s="77"/>
      <c r="K153" s="77"/>
      <c r="L153" s="77"/>
      <c r="M153" s="77"/>
      <c r="N153" s="77"/>
      <c r="O153" s="77"/>
      <c r="P153" s="77"/>
      <c r="Q153" s="77"/>
      <c r="R153" s="14">
        <f t="shared" si="82"/>
        <v>5.872291900839822</v>
      </c>
      <c r="S153">
        <f t="shared" si="83"/>
        <v>2.0228899040766576E-2</v>
      </c>
      <c r="T153">
        <f t="shared" si="84"/>
        <v>1.1718246412665125</v>
      </c>
      <c r="U153">
        <f t="shared" si="85"/>
        <v>0.35919269510053897</v>
      </c>
      <c r="V153">
        <f t="shared" si="86"/>
        <v>0.42091085108174087</v>
      </c>
      <c r="W153">
        <f t="shared" si="87"/>
        <v>3.4916835615231255E-2</v>
      </c>
      <c r="X153">
        <f t="shared" si="88"/>
        <v>6.6950206313326016E-2</v>
      </c>
      <c r="Y153">
        <f t="shared" si="89"/>
        <v>1.1623142264143104E-2</v>
      </c>
      <c r="AA153" s="230">
        <f t="shared" si="72"/>
        <v>9.3660194228652391E-2</v>
      </c>
      <c r="AB153">
        <f t="shared" si="73"/>
        <v>1.0699715568091908</v>
      </c>
      <c r="AC153">
        <v>1.5389242174269824</v>
      </c>
      <c r="AD153">
        <f t="shared" si="74"/>
        <v>0.49999999999999994</v>
      </c>
      <c r="AE153">
        <f t="shared" si="75"/>
        <v>5.8979279619897351E-7</v>
      </c>
      <c r="AF153">
        <f t="shared" si="76"/>
        <v>4.0828425701720468</v>
      </c>
      <c r="AG153">
        <f t="shared" si="77"/>
        <v>3.124399319657218</v>
      </c>
      <c r="AH153">
        <f t="shared" si="78"/>
        <v>2.0110058492359815</v>
      </c>
      <c r="AI153">
        <f t="shared" si="79"/>
        <v>2.2121064341595797</v>
      </c>
      <c r="AJ153">
        <f t="shared" si="80"/>
        <v>1.7180323192030866</v>
      </c>
      <c r="AK153">
        <f t="shared" si="81"/>
        <v>34.143795108350389</v>
      </c>
    </row>
    <row r="154" spans="1:57" ht="13.5" thickBot="1">
      <c r="D154" s="6">
        <v>30</v>
      </c>
      <c r="E154" s="95">
        <v>0.15</v>
      </c>
      <c r="F154" s="103">
        <v>0.55000000000000004</v>
      </c>
      <c r="G154" s="233">
        <v>0.12706999999999999</v>
      </c>
      <c r="H154" s="228">
        <v>1.5059</v>
      </c>
      <c r="I154" s="153">
        <v>1.3207</v>
      </c>
      <c r="J154" s="37"/>
      <c r="K154" s="37"/>
      <c r="L154" s="37"/>
      <c r="M154" s="37"/>
      <c r="N154" s="37"/>
      <c r="O154" s="37"/>
      <c r="P154" s="37"/>
      <c r="Q154" s="37"/>
      <c r="R154" s="14">
        <f t="shared" si="82"/>
        <v>2.9261462954134876</v>
      </c>
      <c r="S154">
        <f t="shared" si="83"/>
        <v>4.3425716683807847E-2</v>
      </c>
      <c r="T154">
        <f t="shared" si="84"/>
        <v>0.79978867880274274</v>
      </c>
      <c r="U154">
        <f t="shared" si="85"/>
        <v>0.49198484166749679</v>
      </c>
      <c r="V154">
        <f t="shared" si="86"/>
        <v>0.39348390650822385</v>
      </c>
      <c r="W154">
        <f t="shared" si="87"/>
        <v>1.2682671569015305E-2</v>
      </c>
      <c r="X154">
        <f t="shared" si="88"/>
        <v>7.189877374874204E-2</v>
      </c>
      <c r="Y154">
        <f t="shared" si="89"/>
        <v>4.727721967650058E-3</v>
      </c>
      <c r="AA154" s="230">
        <f t="shared" si="72"/>
        <v>0.18796052708030467</v>
      </c>
      <c r="AB154">
        <f t="shared" si="73"/>
        <v>2.1472560401467291</v>
      </c>
      <c r="AC154">
        <v>2.385290634373856</v>
      </c>
      <c r="AD154">
        <f t="shared" si="74"/>
        <v>0.49999999999999994</v>
      </c>
      <c r="AE154">
        <f t="shared" si="75"/>
        <v>2.5828366473357178E-7</v>
      </c>
      <c r="AF154">
        <f t="shared" si="76"/>
        <v>2.6341382541121394</v>
      </c>
      <c r="AG154">
        <f t="shared" si="77"/>
        <v>4.4107201934883769</v>
      </c>
      <c r="AH154">
        <f t="shared" si="78"/>
        <v>1.424525934892801</v>
      </c>
      <c r="AI154">
        <f t="shared" si="79"/>
        <v>1.5669785283820812</v>
      </c>
      <c r="AJ154">
        <f t="shared" si="80"/>
        <v>1.3340982742854306</v>
      </c>
      <c r="AK154">
        <f t="shared" si="81"/>
        <v>35.267170905636739</v>
      </c>
    </row>
    <row r="155" spans="1:57">
      <c r="D155" s="6">
        <v>30</v>
      </c>
      <c r="E155" s="73">
        <v>0.15</v>
      </c>
      <c r="F155" s="104">
        <v>0.55000000000000004</v>
      </c>
      <c r="G155" s="232">
        <v>0.14563000000000001</v>
      </c>
      <c r="H155" s="7">
        <v>2.1333000000000002</v>
      </c>
      <c r="I155" s="77">
        <v>0.1234</v>
      </c>
      <c r="J155" s="77"/>
      <c r="K155" s="77"/>
      <c r="L155" s="77"/>
      <c r="M155" s="77"/>
      <c r="N155" s="77"/>
      <c r="O155" s="77"/>
      <c r="P155" s="77"/>
      <c r="Q155" s="77"/>
      <c r="R155" s="14">
        <f t="shared" si="82"/>
        <v>5.872291900839822</v>
      </c>
      <c r="S155">
        <f t="shared" si="83"/>
        <v>2.4799516519124813E-2</v>
      </c>
      <c r="T155">
        <f t="shared" si="84"/>
        <v>1.0583447080376007</v>
      </c>
      <c r="U155">
        <f>0.15/G155/T155</f>
        <v>0.9732250235356501</v>
      </c>
      <c r="V155">
        <f t="shared" si="86"/>
        <v>0.34333585112957493</v>
      </c>
      <c r="W155">
        <f t="shared" si="87"/>
        <v>3.7201118378960223E-2</v>
      </c>
      <c r="X155">
        <f t="shared" si="88"/>
        <v>8.1911889692347833E-2</v>
      </c>
      <c r="Y155">
        <f t="shared" si="89"/>
        <v>2.7208167366390908E-4</v>
      </c>
      <c r="AA155" s="230">
        <f t="shared" si="72"/>
        <v>9.3660194228652391E-2</v>
      </c>
      <c r="AB155">
        <f t="shared" si="73"/>
        <v>1.0699715568091908</v>
      </c>
      <c r="AC155">
        <v>1.5389242174269824</v>
      </c>
      <c r="AD155">
        <f t="shared" si="74"/>
        <v>0.49999999999999994</v>
      </c>
      <c r="AE155">
        <f t="shared" si="75"/>
        <v>5.8979279619897351E-7</v>
      </c>
      <c r="AF155">
        <f t="shared" si="76"/>
        <v>4.0828425701720468</v>
      </c>
      <c r="AG155">
        <f t="shared" si="77"/>
        <v>3.124399319657218</v>
      </c>
      <c r="AH155">
        <f t="shared" si="78"/>
        <v>2.0110058492359815</v>
      </c>
      <c r="AI155">
        <f t="shared" si="79"/>
        <v>2.2121064341595797</v>
      </c>
      <c r="AJ155">
        <f t="shared" si="80"/>
        <v>1.7180323192030866</v>
      </c>
      <c r="AK155">
        <f t="shared" si="81"/>
        <v>34.143795108350389</v>
      </c>
    </row>
    <row r="156" spans="1:57" ht="13.5" thickBot="1">
      <c r="D156" s="6">
        <v>30</v>
      </c>
      <c r="E156" s="95">
        <v>0.15</v>
      </c>
      <c r="F156" s="103">
        <v>0.55000000000000004</v>
      </c>
      <c r="G156" s="232">
        <v>0.14563000000000001</v>
      </c>
      <c r="H156" s="7">
        <v>2.1333000000000002</v>
      </c>
      <c r="I156" s="77">
        <v>0.19969999999999999</v>
      </c>
      <c r="J156" s="77"/>
      <c r="K156" s="77"/>
      <c r="L156" s="77"/>
      <c r="M156" s="77"/>
      <c r="N156" s="77"/>
      <c r="O156" s="77"/>
      <c r="P156" s="77"/>
      <c r="Q156" s="77"/>
      <c r="R156" s="14">
        <f t="shared" si="82"/>
        <v>5.872291900839822</v>
      </c>
      <c r="S156">
        <f t="shared" si="83"/>
        <v>2.4799516519124813E-2</v>
      </c>
      <c r="T156">
        <f t="shared" si="84"/>
        <v>1.0583447080376007</v>
      </c>
      <c r="U156">
        <f>0.15/G156/T156</f>
        <v>0.9732250235356501</v>
      </c>
      <c r="V156">
        <f t="shared" si="86"/>
        <v>0.34333585112957493</v>
      </c>
      <c r="W156">
        <f t="shared" si="87"/>
        <v>3.7201118378960223E-2</v>
      </c>
      <c r="X156">
        <f t="shared" si="88"/>
        <v>8.1911889692347833E-2</v>
      </c>
      <c r="Y156">
        <f t="shared" si="89"/>
        <v>4.403136971692272E-4</v>
      </c>
      <c r="AA156" s="230">
        <f t="shared" si="72"/>
        <v>9.3660194228652391E-2</v>
      </c>
      <c r="AB156">
        <f t="shared" si="73"/>
        <v>1.0699715568091908</v>
      </c>
      <c r="AC156">
        <v>1.5389242174269824</v>
      </c>
      <c r="AD156">
        <f t="shared" si="74"/>
        <v>0.49999999999999994</v>
      </c>
      <c r="AE156">
        <f t="shared" si="75"/>
        <v>5.8979279619897351E-7</v>
      </c>
      <c r="AF156">
        <f t="shared" si="76"/>
        <v>4.0828425701720468</v>
      </c>
      <c r="AG156">
        <f t="shared" si="77"/>
        <v>3.124399319657218</v>
      </c>
      <c r="AH156">
        <f t="shared" si="78"/>
        <v>2.0110058492359815</v>
      </c>
      <c r="AI156">
        <f t="shared" si="79"/>
        <v>2.2121064341595797</v>
      </c>
      <c r="AJ156">
        <f t="shared" si="80"/>
        <v>1.7180323192030866</v>
      </c>
      <c r="AK156">
        <f t="shared" si="81"/>
        <v>34.143795108350389</v>
      </c>
      <c r="AL156" s="14">
        <f>AVERAGE(AK143:AK156)</f>
        <v>35.105845422993859</v>
      </c>
    </row>
    <row r="157" spans="1:57" s="17" customFormat="1" ht="12" customHeight="1">
      <c r="A157" s="16" t="s">
        <v>238</v>
      </c>
      <c r="B157" s="6">
        <v>517</v>
      </c>
      <c r="C157" s="6" t="s">
        <v>65</v>
      </c>
      <c r="D157" s="6">
        <v>30</v>
      </c>
      <c r="E157" s="73">
        <v>0.3</v>
      </c>
      <c r="F157" s="104">
        <v>0.55000000000000004</v>
      </c>
      <c r="G157" s="79">
        <v>7.0969000000000004E-2</v>
      </c>
      <c r="H157" s="73">
        <v>1.6</v>
      </c>
      <c r="I157" s="77">
        <v>0.75780000000000003</v>
      </c>
      <c r="J157" s="236">
        <v>7.1323999999999999E-2</v>
      </c>
      <c r="K157" s="36">
        <v>1.6</v>
      </c>
      <c r="L157" s="236">
        <v>8.1903000000000004E-2</v>
      </c>
      <c r="M157" s="36">
        <v>1.7067000000000001</v>
      </c>
      <c r="N157" s="7">
        <v>0</v>
      </c>
      <c r="O157" s="7">
        <v>0</v>
      </c>
      <c r="P157" s="7">
        <v>0.75780000000000003</v>
      </c>
      <c r="Q157" s="36">
        <v>0.60940000000000005</v>
      </c>
      <c r="R157" s="14">
        <f t="shared" si="82"/>
        <v>3.303267420522829</v>
      </c>
      <c r="S157">
        <f t="shared" si="83"/>
        <v>2.1484485197619054E-2</v>
      </c>
      <c r="T157">
        <f t="shared" si="84"/>
        <v>1.1370675711111531</v>
      </c>
      <c r="U157">
        <f t="shared" si="85"/>
        <v>0.61960518705934131</v>
      </c>
      <c r="V157">
        <f t="shared" si="86"/>
        <v>0.7045329650974369</v>
      </c>
      <c r="W157">
        <f t="shared" si="87"/>
        <v>9.8345368407478841E-3</v>
      </c>
      <c r="X157">
        <f t="shared" si="88"/>
        <v>3.2025474278130593E-2</v>
      </c>
      <c r="Y157">
        <f t="shared" si="89"/>
        <v>4.5714381270085249E-3</v>
      </c>
      <c r="Z157" s="79"/>
      <c r="AA157" s="230">
        <f t="shared" si="72"/>
        <v>0.16650180865857603</v>
      </c>
      <c r="AB157">
        <f t="shared" si="73"/>
        <v>1.9021122141498028</v>
      </c>
      <c r="AC157">
        <v>2.0946830558258118</v>
      </c>
      <c r="AD157">
        <f t="shared" si="74"/>
        <v>0.49999999999999994</v>
      </c>
      <c r="AE157">
        <f t="shared" si="75"/>
        <v>2.6610682690719756E-7</v>
      </c>
      <c r="AF157">
        <f t="shared" si="76"/>
        <v>2.9995875937911243</v>
      </c>
      <c r="AG157">
        <f t="shared" si="77"/>
        <v>4.0054877064189203</v>
      </c>
      <c r="AH157">
        <f t="shared" si="78"/>
        <v>1.5686442619985037</v>
      </c>
      <c r="AI157">
        <f t="shared" si="79"/>
        <v>1.7255086881983541</v>
      </c>
      <c r="AJ157">
        <f t="shared" si="80"/>
        <v>1.4568094828231046</v>
      </c>
      <c r="AK157">
        <f t="shared" si="81"/>
        <v>39.184755052243709</v>
      </c>
      <c r="AL157" s="73"/>
      <c r="AM157" s="73"/>
      <c r="AR157" s="37"/>
      <c r="AS157" s="37"/>
      <c r="AT157" s="37"/>
      <c r="AU157" s="37"/>
      <c r="AV157" s="37"/>
      <c r="AW157" s="37"/>
      <c r="AX157" s="77"/>
      <c r="AY157" s="37"/>
      <c r="AZ157" s="37"/>
      <c r="BA157" s="37"/>
      <c r="BB157" s="77"/>
      <c r="BC157" s="77"/>
      <c r="BD157" s="77"/>
      <c r="BE157" s="77"/>
    </row>
    <row r="158" spans="1:57" s="17" customFormat="1" ht="14.25" customHeight="1">
      <c r="A158" s="16" t="s">
        <v>238</v>
      </c>
      <c r="B158" s="6">
        <v>518</v>
      </c>
      <c r="C158" s="6" t="s">
        <v>66</v>
      </c>
      <c r="D158" s="6">
        <v>30</v>
      </c>
      <c r="E158" s="73">
        <v>0.3</v>
      </c>
      <c r="F158" s="104">
        <v>0.55000000000000004</v>
      </c>
      <c r="G158" s="79">
        <v>7.0541999999999994E-2</v>
      </c>
      <c r="H158" s="73">
        <v>1.2190000000000001</v>
      </c>
      <c r="I158" s="77">
        <v>0.11269999999999999</v>
      </c>
      <c r="J158" s="236">
        <v>7.0828000000000002E-2</v>
      </c>
      <c r="K158" s="36">
        <v>1.2190000000000001</v>
      </c>
      <c r="L158" s="236">
        <v>6.8697999999999995E-2</v>
      </c>
      <c r="M158" s="36">
        <v>1.1636</v>
      </c>
      <c r="N158" s="7">
        <v>0</v>
      </c>
      <c r="O158" s="7">
        <v>0</v>
      </c>
      <c r="P158" s="7">
        <v>0.11269999999999999</v>
      </c>
      <c r="Q158" s="36">
        <v>7.2700000000000001E-2</v>
      </c>
      <c r="R158" s="14">
        <f t="shared" si="82"/>
        <v>1.9173931872920011</v>
      </c>
      <c r="S158">
        <f t="shared" si="83"/>
        <v>3.6790576115287466E-2</v>
      </c>
      <c r="T158">
        <f t="shared" si="84"/>
        <v>0.86892132404250477</v>
      </c>
      <c r="U158">
        <f t="shared" si="85"/>
        <v>0.81572125823889119</v>
      </c>
      <c r="V158">
        <f t="shared" si="86"/>
        <v>0.70879759575855528</v>
      </c>
      <c r="W158">
        <f t="shared" si="87"/>
        <v>2.960605130303729E-3</v>
      </c>
      <c r="X158">
        <f t="shared" si="88"/>
        <v>3.1672335971135578E-2</v>
      </c>
      <c r="Y158">
        <f t="shared" si="89"/>
        <v>8.9775814799112827E-4</v>
      </c>
      <c r="Z158" s="79"/>
      <c r="AA158" s="230">
        <f t="shared" si="72"/>
        <v>0.28684779086796669</v>
      </c>
      <c r="AB158">
        <f t="shared" si="73"/>
        <v>3.2769414999609654</v>
      </c>
      <c r="AC158">
        <v>3.0464486535231785</v>
      </c>
      <c r="AD158">
        <f t="shared" si="74"/>
        <v>0.49999999999999994</v>
      </c>
      <c r="AE158">
        <f t="shared" si="75"/>
        <v>-1.5271715669840091E-7</v>
      </c>
      <c r="AF158">
        <f t="shared" si="76"/>
        <v>2.0624622377643438</v>
      </c>
      <c r="AG158">
        <f t="shared" si="77"/>
        <v>5.2128470184073974</v>
      </c>
      <c r="AH158">
        <f t="shared" si="78"/>
        <v>1.2053270094043913</v>
      </c>
      <c r="AI158">
        <f t="shared" si="79"/>
        <v>1.3258597103448306</v>
      </c>
      <c r="AJ158">
        <f t="shared" si="80"/>
        <v>1.1038753097625349</v>
      </c>
      <c r="AK158">
        <f t="shared" si="81"/>
        <v>41.70624482507769</v>
      </c>
      <c r="AL158" s="73"/>
      <c r="AM158" s="73"/>
      <c r="AR158" s="37"/>
      <c r="AS158" s="37"/>
      <c r="AT158" s="37"/>
      <c r="AU158" s="37"/>
      <c r="AV158" s="37"/>
      <c r="AW158" s="37"/>
      <c r="AX158" s="77"/>
      <c r="AY158" s="37"/>
      <c r="AZ158" s="37"/>
      <c r="BA158" s="37"/>
      <c r="BB158" s="77"/>
      <c r="BC158" s="77"/>
      <c r="BD158" s="77"/>
      <c r="BE158" s="77"/>
    </row>
    <row r="159" spans="1:57" s="17" customFormat="1" ht="13.5" customHeight="1">
      <c r="A159" s="16" t="s">
        <v>238</v>
      </c>
      <c r="B159" s="6">
        <v>519</v>
      </c>
      <c r="C159" s="6" t="s">
        <v>67</v>
      </c>
      <c r="D159" s="6">
        <v>30</v>
      </c>
      <c r="E159" s="73">
        <v>0.3</v>
      </c>
      <c r="F159" s="104">
        <v>0.55000000000000004</v>
      </c>
      <c r="G159" s="79">
        <v>9.8724000000000006E-2</v>
      </c>
      <c r="H159" s="73">
        <v>1.9692000000000001</v>
      </c>
      <c r="I159" s="77">
        <v>2.6985999999999999</v>
      </c>
      <c r="J159" s="232">
        <v>9.9441000000000002E-2</v>
      </c>
      <c r="K159" s="36">
        <v>1.9692000000000001</v>
      </c>
      <c r="L159" s="232">
        <v>0.1135</v>
      </c>
      <c r="M159" s="36">
        <v>1.9692000000000001</v>
      </c>
      <c r="N159" s="7">
        <v>0</v>
      </c>
      <c r="O159" s="7">
        <v>0</v>
      </c>
      <c r="P159" s="7">
        <v>2.6985999999999999</v>
      </c>
      <c r="Q159" s="36">
        <v>2.7761999999999998</v>
      </c>
      <c r="R159" s="14">
        <f t="shared" si="82"/>
        <v>5.0036096669877761</v>
      </c>
      <c r="S159">
        <f t="shared" si="83"/>
        <v>1.973055585277755E-2</v>
      </c>
      <c r="T159">
        <f t="shared" si="84"/>
        <v>1.1865310001657916</v>
      </c>
      <c r="U159">
        <f t="shared" si="85"/>
        <v>0.42684300783681461</v>
      </c>
      <c r="V159">
        <f t="shared" si="86"/>
        <v>0.50646246100239045</v>
      </c>
      <c r="W159">
        <f t="shared" si="87"/>
        <v>2.563867595086685E-2</v>
      </c>
      <c r="X159">
        <f t="shared" si="88"/>
        <v>5.3598172263930703E-2</v>
      </c>
      <c r="Y159">
        <f t="shared" si="89"/>
        <v>9.5085185736675168E-3</v>
      </c>
      <c r="Z159" s="79"/>
      <c r="AA159" s="230">
        <f t="shared" si="72"/>
        <v>0.10992064461557123</v>
      </c>
      <c r="AB159">
        <f t="shared" si="73"/>
        <v>1.2557305076441201</v>
      </c>
      <c r="AC159">
        <v>1.622575574573794</v>
      </c>
      <c r="AD159">
        <f t="shared" si="74"/>
        <v>0.49999999999999994</v>
      </c>
      <c r="AE159">
        <f t="shared" si="75"/>
        <v>2.315171238886915E-7</v>
      </c>
      <c r="AF159">
        <f t="shared" si="76"/>
        <v>3.87235294653687</v>
      </c>
      <c r="AG159">
        <f t="shared" si="77"/>
        <v>3.2664167786834546</v>
      </c>
      <c r="AH159">
        <f t="shared" si="78"/>
        <v>1.9235712197486492</v>
      </c>
      <c r="AI159">
        <f t="shared" si="79"/>
        <v>2.1159283417235142</v>
      </c>
      <c r="AJ159">
        <f t="shared" si="80"/>
        <v>1.6774498528843236</v>
      </c>
      <c r="AK159">
        <f t="shared" si="81"/>
        <v>38.091487260126208</v>
      </c>
      <c r="AL159" s="73"/>
      <c r="AM159" s="73"/>
      <c r="AR159" s="37"/>
      <c r="AS159" s="37"/>
      <c r="AT159" s="37"/>
      <c r="AU159" s="37"/>
      <c r="AV159" s="37"/>
      <c r="AW159" s="37"/>
      <c r="AX159" s="77"/>
      <c r="AY159" s="37"/>
      <c r="AZ159" s="37"/>
      <c r="BA159" s="37"/>
      <c r="BB159" s="77"/>
      <c r="BC159" s="77"/>
      <c r="BD159" s="77"/>
      <c r="BE159" s="77"/>
    </row>
    <row r="160" spans="1:57" s="17" customFormat="1" ht="12.75" customHeight="1">
      <c r="A160" s="16" t="s">
        <v>238</v>
      </c>
      <c r="B160" s="6">
        <v>520</v>
      </c>
      <c r="C160" s="6" t="s">
        <v>68</v>
      </c>
      <c r="D160" s="6">
        <v>30</v>
      </c>
      <c r="E160" s="73">
        <v>0.3</v>
      </c>
      <c r="F160" s="104">
        <v>0.55000000000000004</v>
      </c>
      <c r="G160" s="79">
        <v>9.4719999999999999E-2</v>
      </c>
      <c r="H160" s="73">
        <v>1.3473999999999999</v>
      </c>
      <c r="I160" s="77">
        <v>0.61240000000000006</v>
      </c>
      <c r="J160" s="232">
        <v>9.4962000000000005E-2</v>
      </c>
      <c r="K160" s="7">
        <v>1.3473999999999999</v>
      </c>
      <c r="L160" s="232">
        <v>0.10084</v>
      </c>
      <c r="M160" s="7">
        <v>1.4221999999999999</v>
      </c>
      <c r="N160" s="7">
        <v>0</v>
      </c>
      <c r="O160" s="7">
        <v>0</v>
      </c>
      <c r="P160" s="7">
        <v>0.61240000000000006</v>
      </c>
      <c r="Q160" s="36">
        <v>0.54100000000000004</v>
      </c>
      <c r="R160" s="14">
        <f t="shared" si="82"/>
        <v>2.3425930729291196</v>
      </c>
      <c r="S160">
        <f t="shared" si="83"/>
        <v>4.043382570134748E-2</v>
      </c>
      <c r="T160">
        <f t="shared" si="84"/>
        <v>0.8288507452446402</v>
      </c>
      <c r="U160">
        <f t="shared" si="85"/>
        <v>0.63687174639122424</v>
      </c>
      <c r="V160">
        <f t="shared" si="86"/>
        <v>0.52787162162162171</v>
      </c>
      <c r="W160">
        <f t="shared" si="87"/>
        <v>6.6042697829257454E-3</v>
      </c>
      <c r="X160">
        <f t="shared" si="88"/>
        <v>5.0696209796228513E-2</v>
      </c>
      <c r="Y160">
        <f t="shared" si="89"/>
        <v>3.2868801091401551E-3</v>
      </c>
      <c r="Z160" s="79"/>
      <c r="AA160" s="230">
        <f t="shared" si="72"/>
        <v>0.23478256055469926</v>
      </c>
      <c r="AB160">
        <f t="shared" si="73"/>
        <v>2.6821496997441594</v>
      </c>
      <c r="AC160">
        <v>2.6367906154296774</v>
      </c>
      <c r="AD160">
        <f t="shared" si="74"/>
        <v>0.49999999999999994</v>
      </c>
      <c r="AE160">
        <f t="shared" si="75"/>
        <v>1.0048799103934414E-7</v>
      </c>
      <c r="AF160">
        <f t="shared" si="76"/>
        <v>2.3828912581880193</v>
      </c>
      <c r="AG160">
        <f t="shared" si="77"/>
        <v>4.7339930399365988</v>
      </c>
      <c r="AH160">
        <f t="shared" si="78"/>
        <v>1.3272485308224566</v>
      </c>
      <c r="AI160">
        <f t="shared" si="79"/>
        <v>1.4599733839047024</v>
      </c>
      <c r="AJ160">
        <f t="shared" si="80"/>
        <v>1.2383365175271053</v>
      </c>
      <c r="AK160">
        <f t="shared" si="81"/>
        <v>40.599501749430146</v>
      </c>
      <c r="AL160" s="73"/>
      <c r="AM160" s="73"/>
      <c r="AR160" s="37"/>
      <c r="AS160" s="37"/>
      <c r="AT160" s="37"/>
      <c r="AU160" s="37"/>
      <c r="AV160" s="37"/>
      <c r="AW160" s="37"/>
      <c r="AX160" s="77"/>
      <c r="AY160" s="37"/>
      <c r="AZ160" s="37"/>
      <c r="BA160" s="37"/>
      <c r="BB160" s="77"/>
      <c r="BC160" s="77"/>
      <c r="BD160" s="77"/>
      <c r="BE160" s="77"/>
    </row>
    <row r="161" spans="1:57" s="17" customFormat="1">
      <c r="A161" s="16" t="s">
        <v>238</v>
      </c>
      <c r="B161" s="6">
        <v>521</v>
      </c>
      <c r="C161" s="6" t="s">
        <v>69</v>
      </c>
      <c r="D161" s="6">
        <v>30</v>
      </c>
      <c r="E161" s="73">
        <v>0.3</v>
      </c>
      <c r="F161" s="104">
        <v>0.55000000000000004</v>
      </c>
      <c r="G161" s="79">
        <v>0.12058000000000001</v>
      </c>
      <c r="H161" s="73">
        <v>2.1333000000000002</v>
      </c>
      <c r="I161" s="77">
        <v>5.4766000000000004</v>
      </c>
      <c r="J161" s="232">
        <v>0.12143</v>
      </c>
      <c r="K161" s="7">
        <v>2.1333000000000002</v>
      </c>
      <c r="L161" s="232">
        <v>0.14371999999999999</v>
      </c>
      <c r="M161" s="7">
        <v>2.1333000000000002</v>
      </c>
      <c r="N161" s="7">
        <v>9.2600000000000002E-2</v>
      </c>
      <c r="O161" s="7">
        <v>0.1981</v>
      </c>
      <c r="P161" s="7">
        <v>5.4766000000000004</v>
      </c>
      <c r="Q161" s="7">
        <v>5.3970000000000002</v>
      </c>
      <c r="R161" s="14">
        <f t="shared" si="82"/>
        <v>5.872291900839822</v>
      </c>
      <c r="S161">
        <f t="shared" si="83"/>
        <v>2.0533720400165281E-2</v>
      </c>
      <c r="T161">
        <f t="shared" si="84"/>
        <v>1.1630943005036594</v>
      </c>
      <c r="U161">
        <f t="shared" si="85"/>
        <v>0.3565166337537099</v>
      </c>
      <c r="V161">
        <f t="shared" si="86"/>
        <v>0.41466246475369051</v>
      </c>
      <c r="W161">
        <f t="shared" si="87"/>
        <v>3.5100040971921112E-2</v>
      </c>
      <c r="X161">
        <f t="shared" si="88"/>
        <v>6.80467492672861E-2</v>
      </c>
      <c r="Y161">
        <f t="shared" si="89"/>
        <v>1.4583800770575807E-2</v>
      </c>
      <c r="Z161" s="79"/>
      <c r="AA161" s="230">
        <f t="shared" si="72"/>
        <v>9.3660194228652391E-2</v>
      </c>
      <c r="AB161">
        <f t="shared" si="73"/>
        <v>1.0699715568091908</v>
      </c>
      <c r="AC161">
        <v>1.4776261942409323</v>
      </c>
      <c r="AD161">
        <f t="shared" si="74"/>
        <v>0.49999999999999994</v>
      </c>
      <c r="AE161">
        <f t="shared" si="75"/>
        <v>7.2356220479075084E-7</v>
      </c>
      <c r="AF161">
        <f t="shared" si="76"/>
        <v>4.2522157035848336</v>
      </c>
      <c r="AG161">
        <f t="shared" si="77"/>
        <v>3.0181748405975104</v>
      </c>
      <c r="AH161">
        <f t="shared" si="78"/>
        <v>2.0817830771976413</v>
      </c>
      <c r="AI161">
        <f t="shared" si="79"/>
        <v>2.2899613849174059</v>
      </c>
      <c r="AJ161">
        <f t="shared" si="80"/>
        <v>1.7478010231985452</v>
      </c>
      <c r="AK161">
        <f t="shared" si="81"/>
        <v>37.795294523297933</v>
      </c>
      <c r="AL161" s="73"/>
      <c r="AM161" s="73"/>
      <c r="AR161" s="77"/>
      <c r="AS161" s="77"/>
      <c r="AT161" s="77"/>
      <c r="AU161" s="77"/>
      <c r="AV161" s="77"/>
      <c r="AW161" s="77"/>
      <c r="AX161" s="77"/>
      <c r="AY161" s="77"/>
      <c r="AZ161" s="77"/>
      <c r="BA161" s="77"/>
      <c r="BB161" s="77"/>
      <c r="BC161" s="77"/>
      <c r="BD161" s="77"/>
      <c r="BE161" s="77"/>
    </row>
    <row r="162" spans="1:57" s="17" customFormat="1" ht="13.5" thickBot="1">
      <c r="A162" s="115" t="s">
        <v>238</v>
      </c>
      <c r="B162" s="116">
        <v>522</v>
      </c>
      <c r="C162" s="116" t="s">
        <v>70</v>
      </c>
      <c r="D162" s="6">
        <v>30</v>
      </c>
      <c r="E162" s="118">
        <v>0.3</v>
      </c>
      <c r="F162" s="120">
        <v>0.55000000000000004</v>
      </c>
      <c r="G162" s="122">
        <v>0.11362</v>
      </c>
      <c r="H162" s="118">
        <v>1.6</v>
      </c>
      <c r="I162" s="126">
        <v>1.8839999999999999</v>
      </c>
      <c r="J162" s="233">
        <v>0.11402</v>
      </c>
      <c r="K162" s="228">
        <v>1.6</v>
      </c>
      <c r="L162" s="233">
        <v>0.13155</v>
      </c>
      <c r="M162" s="228">
        <v>1.5059</v>
      </c>
      <c r="N162" s="228">
        <v>0</v>
      </c>
      <c r="O162" s="228">
        <v>0</v>
      </c>
      <c r="P162" s="228">
        <v>1.8839999999999999</v>
      </c>
      <c r="Q162" s="45">
        <v>1.897</v>
      </c>
      <c r="R162" s="14">
        <f t="shared" si="82"/>
        <v>3.303267420522829</v>
      </c>
      <c r="S162">
        <f t="shared" si="83"/>
        <v>3.4396246363249824E-2</v>
      </c>
      <c r="T162">
        <f t="shared" si="84"/>
        <v>0.89865547415032843</v>
      </c>
      <c r="U162">
        <f t="shared" si="85"/>
        <v>0.48969085682277785</v>
      </c>
      <c r="V162">
        <f t="shared" si="86"/>
        <v>0.44006336912515404</v>
      </c>
      <c r="W162">
        <f t="shared" si="87"/>
        <v>1.4406582696359058E-2</v>
      </c>
      <c r="X162">
        <f t="shared" si="88"/>
        <v>6.3697964450899758E-2</v>
      </c>
      <c r="Y162">
        <f t="shared" si="89"/>
        <v>7.0989324630461592E-3</v>
      </c>
      <c r="Z162" s="79"/>
      <c r="AA162" s="230">
        <f t="shared" si="72"/>
        <v>0.16650180865857603</v>
      </c>
      <c r="AB162">
        <f t="shared" si="73"/>
        <v>1.9021122141498028</v>
      </c>
      <c r="AC162">
        <v>2.0946830558258118</v>
      </c>
      <c r="AD162">
        <f t="shared" si="74"/>
        <v>0.49999999999999994</v>
      </c>
      <c r="AE162">
        <f t="shared" si="75"/>
        <v>2.6610682690719756E-7</v>
      </c>
      <c r="AF162">
        <f t="shared" si="76"/>
        <v>2.9995875937911243</v>
      </c>
      <c r="AG162">
        <f t="shared" si="77"/>
        <v>4.0054877064189203</v>
      </c>
      <c r="AH162">
        <f t="shared" si="78"/>
        <v>1.5686442619985037</v>
      </c>
      <c r="AI162">
        <f t="shared" si="79"/>
        <v>1.7255086881983541</v>
      </c>
      <c r="AJ162">
        <f t="shared" si="80"/>
        <v>1.4568094828231046</v>
      </c>
      <c r="AK162">
        <f t="shared" si="81"/>
        <v>39.184755052243709</v>
      </c>
      <c r="AL162" s="73"/>
      <c r="AM162" s="73"/>
      <c r="AR162" s="37"/>
      <c r="AS162" s="37"/>
      <c r="AT162" s="37"/>
      <c r="AU162" s="37"/>
      <c r="AV162" s="37"/>
      <c r="AW162" s="37"/>
      <c r="AX162" s="77"/>
      <c r="AY162" s="37"/>
      <c r="AZ162" s="37"/>
      <c r="BA162" s="37"/>
      <c r="BB162" s="77"/>
      <c r="BC162" s="77"/>
      <c r="BD162" s="77"/>
      <c r="BE162" s="77"/>
    </row>
    <row r="163" spans="1:57">
      <c r="D163" s="6">
        <v>30</v>
      </c>
      <c r="E163" s="73">
        <v>0.3</v>
      </c>
      <c r="F163" s="104">
        <v>0.55000000000000004</v>
      </c>
      <c r="G163" s="79">
        <v>7.0969000000000004E-2</v>
      </c>
      <c r="H163" s="73">
        <v>1.6</v>
      </c>
      <c r="I163" s="37">
        <v>0.60940000000000005</v>
      </c>
      <c r="J163" s="37"/>
      <c r="K163" s="37"/>
      <c r="L163" s="37"/>
      <c r="M163" s="37"/>
      <c r="N163" s="37"/>
      <c r="O163" s="37"/>
      <c r="P163" s="37"/>
      <c r="Q163" s="37"/>
      <c r="R163" s="14">
        <f t="shared" si="82"/>
        <v>3.303267420522829</v>
      </c>
      <c r="S163">
        <f t="shared" si="83"/>
        <v>2.1484485197619054E-2</v>
      </c>
      <c r="T163">
        <f t="shared" si="84"/>
        <v>1.1370675711111531</v>
      </c>
      <c r="U163">
        <f t="shared" si="85"/>
        <v>0.61960518705934131</v>
      </c>
      <c r="V163">
        <f t="shared" si="86"/>
        <v>0.7045329650974369</v>
      </c>
      <c r="W163">
        <f t="shared" si="87"/>
        <v>9.8345368407478841E-3</v>
      </c>
      <c r="X163">
        <f t="shared" si="88"/>
        <v>3.2025474278130593E-2</v>
      </c>
      <c r="Y163">
        <f t="shared" si="89"/>
        <v>3.6762132417511159E-3</v>
      </c>
      <c r="AA163" s="230">
        <f t="shared" si="72"/>
        <v>0.16650180865857603</v>
      </c>
      <c r="AB163">
        <f t="shared" si="73"/>
        <v>1.9021122141498028</v>
      </c>
      <c r="AC163">
        <v>2.0946830558258118</v>
      </c>
      <c r="AD163">
        <f t="shared" si="74"/>
        <v>0.49999999999999994</v>
      </c>
      <c r="AE163">
        <f t="shared" si="75"/>
        <v>2.6610682690719756E-7</v>
      </c>
      <c r="AF163">
        <f t="shared" si="76"/>
        <v>2.9995875937911243</v>
      </c>
      <c r="AG163">
        <f t="shared" si="77"/>
        <v>4.0054877064189203</v>
      </c>
      <c r="AH163">
        <f t="shared" si="78"/>
        <v>1.5686442619985037</v>
      </c>
      <c r="AI163">
        <f t="shared" si="79"/>
        <v>1.7255086881983541</v>
      </c>
      <c r="AJ163">
        <f t="shared" si="80"/>
        <v>1.4568094828231046</v>
      </c>
      <c r="AK163">
        <f t="shared" si="81"/>
        <v>39.184755052243709</v>
      </c>
    </row>
    <row r="164" spans="1:57">
      <c r="D164" s="6">
        <v>30</v>
      </c>
      <c r="E164" s="118">
        <v>0.3</v>
      </c>
      <c r="F164" s="120">
        <v>0.55000000000000004</v>
      </c>
      <c r="G164" s="79">
        <v>7.0541999999999994E-2</v>
      </c>
      <c r="H164" s="73">
        <v>1.2190000000000001</v>
      </c>
      <c r="I164" s="37">
        <v>7.2700000000000001E-2</v>
      </c>
      <c r="J164" s="37"/>
      <c r="K164" s="37"/>
      <c r="L164" s="37"/>
      <c r="M164" s="37"/>
      <c r="N164" s="37"/>
      <c r="O164" s="37"/>
      <c r="P164" s="37"/>
      <c r="Q164" s="37"/>
      <c r="R164" s="14">
        <f t="shared" si="82"/>
        <v>1.9173931872920011</v>
      </c>
      <c r="S164">
        <f t="shared" si="83"/>
        <v>3.6790576115287466E-2</v>
      </c>
      <c r="T164">
        <f t="shared" si="84"/>
        <v>0.86892132404250477</v>
      </c>
      <c r="U164">
        <f t="shared" si="85"/>
        <v>0.81572125823889119</v>
      </c>
      <c r="V164">
        <f t="shared" si="86"/>
        <v>0.70879759575855528</v>
      </c>
      <c r="W164">
        <f t="shared" si="87"/>
        <v>2.960605130303729E-3</v>
      </c>
      <c r="X164">
        <f t="shared" si="88"/>
        <v>3.1672335971135578E-2</v>
      </c>
      <c r="Y164">
        <f t="shared" si="89"/>
        <v>5.7912171569614041E-4</v>
      </c>
      <c r="AA164" s="230">
        <f t="shared" si="72"/>
        <v>0.28684779086796669</v>
      </c>
      <c r="AB164">
        <f t="shared" si="73"/>
        <v>3.2769414999609654</v>
      </c>
      <c r="AC164">
        <v>3.0464486535231785</v>
      </c>
      <c r="AD164">
        <f t="shared" si="74"/>
        <v>0.49999999999999994</v>
      </c>
      <c r="AE164">
        <f t="shared" si="75"/>
        <v>-1.5271715669840091E-7</v>
      </c>
      <c r="AF164">
        <f t="shared" si="76"/>
        <v>2.0624622377643438</v>
      </c>
      <c r="AG164">
        <f t="shared" si="77"/>
        <v>5.2128470184073974</v>
      </c>
      <c r="AH164">
        <f t="shared" si="78"/>
        <v>1.2053270094043913</v>
      </c>
      <c r="AI164">
        <f t="shared" si="79"/>
        <v>1.3258597103448306</v>
      </c>
      <c r="AJ164">
        <f t="shared" si="80"/>
        <v>1.1038753097625349</v>
      </c>
      <c r="AK164">
        <f t="shared" si="81"/>
        <v>41.70624482507769</v>
      </c>
    </row>
    <row r="165" spans="1:57">
      <c r="D165" s="6">
        <v>30</v>
      </c>
      <c r="E165" s="73">
        <v>0.3</v>
      </c>
      <c r="F165" s="104">
        <v>0.55000000000000004</v>
      </c>
      <c r="G165" s="79">
        <v>9.8724000000000006E-2</v>
      </c>
      <c r="H165" s="73">
        <v>1.9692000000000001</v>
      </c>
      <c r="I165" s="37">
        <v>2.7761999999999998</v>
      </c>
      <c r="J165" s="37"/>
      <c r="K165" s="37"/>
      <c r="L165" s="37"/>
      <c r="M165" s="37"/>
      <c r="N165" s="37"/>
      <c r="O165" s="37"/>
      <c r="P165" s="37"/>
      <c r="Q165" s="37"/>
      <c r="R165" s="14">
        <f t="shared" si="82"/>
        <v>5.0036096669877761</v>
      </c>
      <c r="S165">
        <f t="shared" si="83"/>
        <v>1.973055585277755E-2</v>
      </c>
      <c r="T165">
        <f t="shared" si="84"/>
        <v>1.1865310001657916</v>
      </c>
      <c r="U165">
        <f t="shared" si="85"/>
        <v>0.42684300783681461</v>
      </c>
      <c r="V165">
        <f t="shared" si="86"/>
        <v>0.50646246100239045</v>
      </c>
      <c r="W165">
        <f t="shared" si="87"/>
        <v>2.563867595086685E-2</v>
      </c>
      <c r="X165">
        <f t="shared" si="88"/>
        <v>5.3598172263930703E-2</v>
      </c>
      <c r="Y165">
        <f t="shared" si="89"/>
        <v>9.7819422160437854E-3</v>
      </c>
      <c r="AA165" s="230">
        <f t="shared" si="72"/>
        <v>0.10992064461557123</v>
      </c>
      <c r="AB165">
        <f t="shared" si="73"/>
        <v>1.2557305076441201</v>
      </c>
      <c r="AC165">
        <v>1.622575574573794</v>
      </c>
      <c r="AD165">
        <f t="shared" si="74"/>
        <v>0.49999999999999994</v>
      </c>
      <c r="AE165">
        <f t="shared" si="75"/>
        <v>2.315171238886915E-7</v>
      </c>
      <c r="AF165">
        <f t="shared" si="76"/>
        <v>3.87235294653687</v>
      </c>
      <c r="AG165">
        <f t="shared" si="77"/>
        <v>3.2664167786834546</v>
      </c>
      <c r="AH165">
        <f t="shared" si="78"/>
        <v>1.9235712197486492</v>
      </c>
      <c r="AI165">
        <f t="shared" si="79"/>
        <v>2.1159283417235142</v>
      </c>
      <c r="AJ165">
        <f t="shared" si="80"/>
        <v>1.6774498528843236</v>
      </c>
      <c r="AK165">
        <f t="shared" si="81"/>
        <v>38.091487260126208</v>
      </c>
    </row>
    <row r="166" spans="1:57">
      <c r="D166" s="6">
        <v>30</v>
      </c>
      <c r="E166" s="118">
        <v>0.3</v>
      </c>
      <c r="F166" s="120">
        <v>0.55000000000000004</v>
      </c>
      <c r="G166" s="79">
        <v>9.4719999999999999E-2</v>
      </c>
      <c r="H166" s="73">
        <v>1.3473999999999999</v>
      </c>
      <c r="I166" s="37">
        <v>0.54100000000000004</v>
      </c>
      <c r="J166" s="37"/>
      <c r="K166" s="37"/>
      <c r="L166" s="37"/>
      <c r="M166" s="37"/>
      <c r="N166" s="37"/>
      <c r="O166" s="37"/>
      <c r="P166" s="37"/>
      <c r="Q166" s="37"/>
      <c r="R166" s="14">
        <f t="shared" si="82"/>
        <v>2.3425930729291196</v>
      </c>
      <c r="S166">
        <f t="shared" si="83"/>
        <v>4.043382570134748E-2</v>
      </c>
      <c r="T166">
        <f t="shared" si="84"/>
        <v>0.8288507452446402</v>
      </c>
      <c r="U166">
        <f t="shared" si="85"/>
        <v>0.63687174639122424</v>
      </c>
      <c r="V166">
        <f t="shared" si="86"/>
        <v>0.52787162162162171</v>
      </c>
      <c r="W166">
        <f t="shared" si="87"/>
        <v>6.6042697829257454E-3</v>
      </c>
      <c r="X166">
        <f t="shared" si="88"/>
        <v>5.0696209796228513E-2</v>
      </c>
      <c r="Y166">
        <f t="shared" si="89"/>
        <v>2.9036612329275376E-3</v>
      </c>
      <c r="AA166" s="230">
        <f t="shared" si="72"/>
        <v>0.23478256055469926</v>
      </c>
      <c r="AB166">
        <f t="shared" si="73"/>
        <v>2.6821496997441594</v>
      </c>
      <c r="AC166">
        <v>2.6367906154296774</v>
      </c>
      <c r="AD166">
        <f t="shared" si="74"/>
        <v>0.49999999999999994</v>
      </c>
      <c r="AE166">
        <f t="shared" si="75"/>
        <v>1.0048799103934414E-7</v>
      </c>
      <c r="AF166">
        <f t="shared" si="76"/>
        <v>2.3828912581880193</v>
      </c>
      <c r="AG166">
        <f t="shared" si="77"/>
        <v>4.7339930399365988</v>
      </c>
      <c r="AH166">
        <f t="shared" si="78"/>
        <v>1.3272485308224566</v>
      </c>
      <c r="AI166">
        <f t="shared" si="79"/>
        <v>1.4599733839047024</v>
      </c>
      <c r="AJ166">
        <f t="shared" si="80"/>
        <v>1.2383365175271053</v>
      </c>
      <c r="AK166">
        <f t="shared" si="81"/>
        <v>40.599501749430146</v>
      </c>
    </row>
    <row r="167" spans="1:57">
      <c r="D167" s="6">
        <v>30</v>
      </c>
      <c r="E167" s="73">
        <v>0.3</v>
      </c>
      <c r="F167" s="104">
        <v>0.55000000000000004</v>
      </c>
      <c r="G167" s="79">
        <v>0.12058000000000001</v>
      </c>
      <c r="H167" s="73">
        <v>2.1333000000000002</v>
      </c>
      <c r="I167" s="77">
        <v>5.3970000000000002</v>
      </c>
      <c r="J167" s="77"/>
      <c r="K167" s="77"/>
      <c r="L167" s="77"/>
      <c r="M167" s="77"/>
      <c r="N167" s="77"/>
      <c r="O167" s="77"/>
      <c r="P167" s="77"/>
      <c r="Q167" s="77"/>
      <c r="R167" s="14">
        <f t="shared" si="82"/>
        <v>5.872291900839822</v>
      </c>
      <c r="S167">
        <f t="shared" si="83"/>
        <v>2.0533720400165281E-2</v>
      </c>
      <c r="T167">
        <f t="shared" si="84"/>
        <v>1.1630943005036594</v>
      </c>
      <c r="U167">
        <f t="shared" si="85"/>
        <v>0.3565166337537099</v>
      </c>
      <c r="V167">
        <f t="shared" si="86"/>
        <v>0.41466246475369051</v>
      </c>
      <c r="W167">
        <f t="shared" si="87"/>
        <v>3.5100040971921112E-2</v>
      </c>
      <c r="X167">
        <f t="shared" si="88"/>
        <v>6.80467492672861E-2</v>
      </c>
      <c r="Y167">
        <f t="shared" si="89"/>
        <v>1.4371831566811089E-2</v>
      </c>
      <c r="AA167" s="230">
        <f t="shared" si="72"/>
        <v>9.3660194228652391E-2</v>
      </c>
      <c r="AB167">
        <f t="shared" si="73"/>
        <v>1.0699715568091908</v>
      </c>
      <c r="AC167">
        <v>1.4776261942409323</v>
      </c>
      <c r="AD167">
        <f t="shared" si="74"/>
        <v>0.49999999999999994</v>
      </c>
      <c r="AE167">
        <f t="shared" si="75"/>
        <v>7.2356220479075084E-7</v>
      </c>
      <c r="AF167">
        <f t="shared" si="76"/>
        <v>4.2522157035848336</v>
      </c>
      <c r="AG167">
        <f t="shared" si="77"/>
        <v>3.0181748405975104</v>
      </c>
      <c r="AH167">
        <f t="shared" si="78"/>
        <v>2.0817830771976413</v>
      </c>
      <c r="AI167">
        <f t="shared" si="79"/>
        <v>2.2899613849174059</v>
      </c>
      <c r="AJ167">
        <f t="shared" si="80"/>
        <v>1.7478010231985452</v>
      </c>
      <c r="AK167">
        <f t="shared" si="81"/>
        <v>37.795294523297933</v>
      </c>
    </row>
    <row r="168" spans="1:57">
      <c r="D168" s="6">
        <v>30</v>
      </c>
      <c r="E168" s="118">
        <v>0.3</v>
      </c>
      <c r="F168" s="120">
        <v>0.55000000000000004</v>
      </c>
      <c r="G168" s="122">
        <v>0.11362</v>
      </c>
      <c r="H168" s="118">
        <v>1.6</v>
      </c>
      <c r="I168" s="128">
        <v>1.897</v>
      </c>
      <c r="J168" s="37"/>
      <c r="K168" s="37"/>
      <c r="L168" s="37"/>
      <c r="M168" s="37"/>
      <c r="N168" s="37"/>
      <c r="O168" s="37"/>
      <c r="P168" s="37"/>
      <c r="Q168" s="37"/>
      <c r="R168" s="14">
        <f t="shared" si="82"/>
        <v>3.303267420522829</v>
      </c>
      <c r="S168">
        <f t="shared" si="83"/>
        <v>3.4396246363249824E-2</v>
      </c>
      <c r="T168">
        <f t="shared" si="84"/>
        <v>0.89865547415032843</v>
      </c>
      <c r="U168">
        <f t="shared" si="85"/>
        <v>0.48969085682277785</v>
      </c>
      <c r="V168">
        <f t="shared" si="86"/>
        <v>0.44006336912515404</v>
      </c>
      <c r="W168">
        <f t="shared" si="87"/>
        <v>1.4406582696359058E-2</v>
      </c>
      <c r="X168">
        <f t="shared" si="88"/>
        <v>6.3697964450899758E-2</v>
      </c>
      <c r="Y168">
        <f t="shared" si="89"/>
        <v>7.1479166042455241E-3</v>
      </c>
      <c r="AA168" s="230">
        <f t="shared" si="72"/>
        <v>0.16650180865857603</v>
      </c>
      <c r="AB168">
        <f t="shared" si="73"/>
        <v>1.9021122141498028</v>
      </c>
      <c r="AC168">
        <v>2.0946830558258118</v>
      </c>
      <c r="AD168">
        <f t="shared" si="74"/>
        <v>0.49999999999999994</v>
      </c>
      <c r="AE168">
        <f t="shared" si="75"/>
        <v>2.6610682690719756E-7</v>
      </c>
      <c r="AF168">
        <f t="shared" si="76"/>
        <v>2.9995875937911243</v>
      </c>
      <c r="AG168">
        <f t="shared" si="77"/>
        <v>4.0054877064189203</v>
      </c>
      <c r="AH168">
        <f t="shared" si="78"/>
        <v>1.5686442619985037</v>
      </c>
      <c r="AI168">
        <f t="shared" si="79"/>
        <v>1.7255086881983541</v>
      </c>
      <c r="AJ168">
        <f t="shared" si="80"/>
        <v>1.4568094828231046</v>
      </c>
      <c r="AK168">
        <f t="shared" si="81"/>
        <v>39.184755052243709</v>
      </c>
    </row>
    <row r="169" spans="1:57">
      <c r="D169" s="6">
        <v>30</v>
      </c>
      <c r="E169" s="73">
        <v>0.3</v>
      </c>
      <c r="F169" s="104">
        <v>0.55000000000000004</v>
      </c>
      <c r="G169" s="232">
        <v>0.14371999999999999</v>
      </c>
      <c r="H169" s="7">
        <v>2.1333000000000002</v>
      </c>
      <c r="I169" s="77">
        <v>9.2600000000000002E-2</v>
      </c>
      <c r="J169" s="77"/>
      <c r="K169" s="77"/>
      <c r="L169" s="77"/>
      <c r="M169" s="77"/>
      <c r="N169" s="77"/>
      <c r="O169" s="77"/>
      <c r="P169" s="77"/>
      <c r="Q169" s="77"/>
      <c r="R169" s="14">
        <f t="shared" si="82"/>
        <v>5.872291900839822</v>
      </c>
      <c r="S169">
        <f t="shared" si="83"/>
        <v>2.4474260208258033E-2</v>
      </c>
      <c r="T169">
        <f t="shared" si="84"/>
        <v>1.0653540545446569</v>
      </c>
      <c r="U169">
        <f>0.15/G169/T169</f>
        <v>0.9796706280419063</v>
      </c>
      <c r="V169">
        <f t="shared" si="86"/>
        <v>0.34789869190091849</v>
      </c>
      <c r="W169">
        <f t="shared" si="87"/>
        <v>3.7067270461107894E-2</v>
      </c>
      <c r="X169">
        <f t="shared" si="88"/>
        <v>8.0945878736581101E-2</v>
      </c>
      <c r="Y169">
        <f t="shared" si="89"/>
        <v>2.0688488314006895E-4</v>
      </c>
      <c r="AA169" s="230">
        <f t="shared" si="72"/>
        <v>9.3660194228652391E-2</v>
      </c>
      <c r="AB169">
        <f t="shared" si="73"/>
        <v>1.0699715568091908</v>
      </c>
      <c r="AC169">
        <v>1.4776261942409323</v>
      </c>
      <c r="AD169">
        <f t="shared" si="74"/>
        <v>0.49999999999999994</v>
      </c>
      <c r="AE169">
        <f t="shared" si="75"/>
        <v>7.2356220479075084E-7</v>
      </c>
      <c r="AF169">
        <f t="shared" si="76"/>
        <v>4.2522157035848336</v>
      </c>
      <c r="AG169">
        <f t="shared" si="77"/>
        <v>3.0181748405975104</v>
      </c>
      <c r="AH169">
        <f t="shared" si="78"/>
        <v>2.0817830771976413</v>
      </c>
      <c r="AI169">
        <f t="shared" si="79"/>
        <v>2.2899613849174059</v>
      </c>
      <c r="AJ169">
        <f t="shared" si="80"/>
        <v>1.7478010231985452</v>
      </c>
      <c r="AK169">
        <f t="shared" si="81"/>
        <v>37.795294523297933</v>
      </c>
    </row>
    <row r="170" spans="1:57">
      <c r="D170" s="6">
        <v>30</v>
      </c>
      <c r="E170" s="118">
        <v>0.3</v>
      </c>
      <c r="F170" s="120">
        <v>0.55000000000000004</v>
      </c>
      <c r="G170" s="232">
        <v>0.14371999999999999</v>
      </c>
      <c r="H170" s="7">
        <v>2.1333000000000002</v>
      </c>
      <c r="I170" s="77">
        <v>0.1981</v>
      </c>
      <c r="J170" s="77"/>
      <c r="K170" s="77"/>
      <c r="L170" s="77"/>
      <c r="M170" s="77"/>
      <c r="N170" s="77"/>
      <c r="O170" s="77"/>
      <c r="P170" s="77"/>
      <c r="Q170" s="77"/>
      <c r="R170" s="14">
        <f t="shared" si="82"/>
        <v>5.872291900839822</v>
      </c>
      <c r="S170">
        <f t="shared" si="83"/>
        <v>2.4474260208258033E-2</v>
      </c>
      <c r="T170">
        <f t="shared" si="84"/>
        <v>1.0653540545446569</v>
      </c>
      <c r="U170">
        <f>0.15/G170/T170</f>
        <v>0.9796706280419063</v>
      </c>
      <c r="V170">
        <f t="shared" si="86"/>
        <v>0.34789869190091849</v>
      </c>
      <c r="W170">
        <f t="shared" si="87"/>
        <v>3.7067270461107894E-2</v>
      </c>
      <c r="X170">
        <f t="shared" si="88"/>
        <v>8.0945878736581101E-2</v>
      </c>
      <c r="Y170">
        <f t="shared" si="89"/>
        <v>4.4259066252751248E-4</v>
      </c>
      <c r="AA170" s="230">
        <f t="shared" si="72"/>
        <v>9.3660194228652391E-2</v>
      </c>
      <c r="AB170">
        <f t="shared" si="73"/>
        <v>1.0699715568091908</v>
      </c>
      <c r="AC170">
        <v>1.4776261942409323</v>
      </c>
      <c r="AD170">
        <f t="shared" si="74"/>
        <v>0.49999999999999994</v>
      </c>
      <c r="AE170">
        <f t="shared" si="75"/>
        <v>7.2356220479075084E-7</v>
      </c>
      <c r="AF170">
        <f t="shared" si="76"/>
        <v>4.2522157035848336</v>
      </c>
      <c r="AG170">
        <f t="shared" si="77"/>
        <v>3.0181748405975104</v>
      </c>
      <c r="AH170">
        <f t="shared" si="78"/>
        <v>2.0817830771976413</v>
      </c>
      <c r="AI170">
        <f t="shared" si="79"/>
        <v>2.2899613849174059</v>
      </c>
      <c r="AJ170">
        <f t="shared" si="80"/>
        <v>1.7478010231985452</v>
      </c>
      <c r="AK170">
        <f t="shared" si="81"/>
        <v>37.795294523297933</v>
      </c>
      <c r="AL170" s="14">
        <f>AVERAGE(AK157:AK170)</f>
        <v>39.193904712245335</v>
      </c>
    </row>
    <row r="171" spans="1:57" s="17" customFormat="1">
      <c r="A171" s="16" t="s">
        <v>236</v>
      </c>
      <c r="B171" s="6">
        <v>501</v>
      </c>
      <c r="C171" s="6" t="s">
        <v>138</v>
      </c>
      <c r="D171" s="6">
        <v>30</v>
      </c>
      <c r="E171" s="73">
        <v>0.4</v>
      </c>
      <c r="F171" s="104">
        <v>0.55000000000000004</v>
      </c>
      <c r="G171" s="232">
        <v>7.0254999999999998E-2</v>
      </c>
      <c r="H171" s="36">
        <v>1.7067000000000001</v>
      </c>
      <c r="I171" s="77">
        <v>0.46329999999999999</v>
      </c>
      <c r="J171" s="232">
        <v>7.0254999999999998E-2</v>
      </c>
      <c r="K171" s="36">
        <v>1.7067000000000001</v>
      </c>
      <c r="L171" s="232">
        <v>8.4601999999999997E-2</v>
      </c>
      <c r="M171" s="36">
        <v>1.7067000000000001</v>
      </c>
      <c r="N171" s="7">
        <v>0</v>
      </c>
      <c r="O171" s="7">
        <v>0</v>
      </c>
      <c r="P171" s="7">
        <v>0.46329999999999999</v>
      </c>
      <c r="Q171" s="36">
        <v>0.5302</v>
      </c>
      <c r="R171" s="14">
        <f t="shared" si="82"/>
        <v>3.758531078447263</v>
      </c>
      <c r="S171">
        <f t="shared" si="83"/>
        <v>1.8692142896693565E-2</v>
      </c>
      <c r="T171">
        <f t="shared" si="84"/>
        <v>1.219043500738666</v>
      </c>
      <c r="U171">
        <f t="shared" si="85"/>
        <v>0.58381273309468218</v>
      </c>
      <c r="V171">
        <f t="shared" si="86"/>
        <v>0.71169311792754975</v>
      </c>
      <c r="W171">
        <f t="shared" si="87"/>
        <v>1.2497497287489648E-2</v>
      </c>
      <c r="X171">
        <f t="shared" si="88"/>
        <v>3.1434790583914539E-2</v>
      </c>
      <c r="Y171">
        <f t="shared" si="89"/>
        <v>2.6467613687256556E-3</v>
      </c>
      <c r="Z171" s="79"/>
      <c r="AA171" s="230">
        <f t="shared" si="72"/>
        <v>0.14633376404784657</v>
      </c>
      <c r="AB171">
        <f t="shared" si="73"/>
        <v>1.6717130112903886</v>
      </c>
      <c r="AC171">
        <v>1.875044930928895</v>
      </c>
      <c r="AD171">
        <f t="shared" si="74"/>
        <v>0.49999999999999994</v>
      </c>
      <c r="AE171">
        <f t="shared" si="75"/>
        <v>1.5887705945294428E-7</v>
      </c>
      <c r="AF171">
        <f t="shared" si="76"/>
        <v>3.350951864426472</v>
      </c>
      <c r="AG171">
        <f t="shared" si="77"/>
        <v>3.6746213583698086</v>
      </c>
      <c r="AH171">
        <f t="shared" si="78"/>
        <v>1.709886460238458</v>
      </c>
      <c r="AI171">
        <f t="shared" si="79"/>
        <v>1.8808751062623039</v>
      </c>
      <c r="AJ171">
        <f t="shared" si="80"/>
        <v>1.5569417422003546</v>
      </c>
      <c r="AK171">
        <f t="shared" si="81"/>
        <v>41.153747674546167</v>
      </c>
      <c r="AL171" s="73"/>
      <c r="AM171" s="73"/>
      <c r="AR171" s="37"/>
      <c r="AS171" s="37"/>
      <c r="AT171" s="37"/>
      <c r="AU171" s="37"/>
      <c r="AV171" s="37"/>
      <c r="AW171" s="37"/>
      <c r="AX171" s="77"/>
      <c r="AY171" s="37"/>
      <c r="AZ171" s="37"/>
      <c r="BA171" s="37"/>
      <c r="BB171" s="84"/>
      <c r="BC171" s="77"/>
      <c r="BD171" s="77"/>
      <c r="BE171" s="77"/>
    </row>
    <row r="172" spans="1:57" s="17" customFormat="1" ht="12.75" customHeight="1">
      <c r="A172" s="16" t="s">
        <v>236</v>
      </c>
      <c r="B172" s="6">
        <v>502</v>
      </c>
      <c r="C172" s="6" t="s">
        <v>139</v>
      </c>
      <c r="D172" s="6">
        <v>30</v>
      </c>
      <c r="E172" s="73">
        <v>0.4</v>
      </c>
      <c r="F172" s="104">
        <v>0.55000000000000004</v>
      </c>
      <c r="G172" s="232">
        <v>6.8017999999999995E-2</v>
      </c>
      <c r="H172" s="36">
        <v>1.1636</v>
      </c>
      <c r="I172" s="77">
        <v>4.41E-2</v>
      </c>
      <c r="J172" s="232">
        <v>6.8017999999999995E-2</v>
      </c>
      <c r="K172" s="36">
        <v>1.1636</v>
      </c>
      <c r="L172" s="232">
        <v>7.1292999999999995E-2</v>
      </c>
      <c r="M172" s="36">
        <v>1.1636</v>
      </c>
      <c r="N172" s="7">
        <v>0</v>
      </c>
      <c r="O172" s="7">
        <v>0</v>
      </c>
      <c r="P172" s="7">
        <v>4.41E-2</v>
      </c>
      <c r="Q172" s="36">
        <v>7.5399999999999995E-2</v>
      </c>
      <c r="R172" s="14">
        <f t="shared" si="82"/>
        <v>1.747073570663084</v>
      </c>
      <c r="S172">
        <f t="shared" si="83"/>
        <v>3.8932533318665252E-2</v>
      </c>
      <c r="T172">
        <f t="shared" si="84"/>
        <v>0.84468040142635781</v>
      </c>
      <c r="U172">
        <f t="shared" si="85"/>
        <v>0.87026943117820876</v>
      </c>
      <c r="V172">
        <f t="shared" si="86"/>
        <v>0.73509953247669746</v>
      </c>
      <c r="W172">
        <f t="shared" si="87"/>
        <v>2.22108454322502E-3</v>
      </c>
      <c r="X172">
        <f t="shared" si="88"/>
        <v>2.9578820515868406E-2</v>
      </c>
      <c r="Y172">
        <f t="shared" si="89"/>
        <v>3.8167870733660106E-4</v>
      </c>
      <c r="Z172" s="79"/>
      <c r="AA172" s="230">
        <f t="shared" si="72"/>
        <v>0.31481215744752705</v>
      </c>
      <c r="AB172">
        <f t="shared" si="73"/>
        <v>3.5964056767196513</v>
      </c>
      <c r="AC172">
        <v>3.1375889597565889</v>
      </c>
      <c r="AD172">
        <f t="shared" si="74"/>
        <v>0.49999999999999994</v>
      </c>
      <c r="AE172">
        <f t="shared" si="75"/>
        <v>3.5796222586093052E-7</v>
      </c>
      <c r="AF172">
        <f t="shared" si="76"/>
        <v>2.0025520830705084</v>
      </c>
      <c r="AG172">
        <f t="shared" si="77"/>
        <v>5.3122417941799913</v>
      </c>
      <c r="AH172">
        <f t="shared" si="78"/>
        <v>1.1827747212228452</v>
      </c>
      <c r="AI172">
        <f t="shared" si="79"/>
        <v>1.3010521933451298</v>
      </c>
      <c r="AJ172">
        <f t="shared" si="80"/>
        <v>1.0774668126196354</v>
      </c>
      <c r="AK172">
        <f t="shared" si="81"/>
        <v>45.172016412989102</v>
      </c>
      <c r="AL172" s="73"/>
      <c r="AM172" s="73"/>
      <c r="AR172" s="37"/>
      <c r="AS172" s="37"/>
      <c r="AT172" s="37"/>
      <c r="AU172" s="37"/>
      <c r="AV172" s="37"/>
      <c r="AW172" s="37"/>
      <c r="AX172" s="77"/>
      <c r="AY172" s="37"/>
      <c r="AZ172" s="37"/>
      <c r="BA172" s="37"/>
      <c r="BB172" s="84"/>
      <c r="BC172" s="77"/>
      <c r="BD172" s="77"/>
      <c r="BE172" s="77"/>
    </row>
    <row r="173" spans="1:57" s="17" customFormat="1" ht="12.75" customHeight="1">
      <c r="A173" s="16" t="s">
        <v>236</v>
      </c>
      <c r="B173" s="6">
        <v>503</v>
      </c>
      <c r="C173" s="6" t="s">
        <v>140</v>
      </c>
      <c r="D173" s="6">
        <v>30</v>
      </c>
      <c r="E173" s="73">
        <v>0.4</v>
      </c>
      <c r="F173" s="104">
        <v>0.55000000000000004</v>
      </c>
      <c r="G173" s="232">
        <v>0.10349999999999999</v>
      </c>
      <c r="H173" s="7">
        <v>1.9692000000000001</v>
      </c>
      <c r="I173" s="77">
        <v>1.7565999999999999</v>
      </c>
      <c r="J173" s="232">
        <v>0.10349999999999999</v>
      </c>
      <c r="K173" s="7">
        <v>1.9692000000000001</v>
      </c>
      <c r="L173" s="232">
        <v>0.11620999999999999</v>
      </c>
      <c r="M173" s="7">
        <v>1.9692000000000001</v>
      </c>
      <c r="N173" s="7">
        <v>0</v>
      </c>
      <c r="O173" s="7">
        <v>0</v>
      </c>
      <c r="P173" s="7">
        <v>1.7565999999999999</v>
      </c>
      <c r="Q173" s="7">
        <v>2.6476999999999999</v>
      </c>
      <c r="R173" s="14">
        <f t="shared" si="82"/>
        <v>5.0036096669877761</v>
      </c>
      <c r="S173">
        <f t="shared" si="83"/>
        <v>2.0685066759475672E-2</v>
      </c>
      <c r="T173">
        <f t="shared" si="84"/>
        <v>1.158831484651494</v>
      </c>
      <c r="U173">
        <f t="shared" si="85"/>
        <v>0.41687837605214723</v>
      </c>
      <c r="V173">
        <f t="shared" si="86"/>
        <v>0.48309178743961356</v>
      </c>
      <c r="W173">
        <f t="shared" si="87"/>
        <v>2.6253838957615874E-2</v>
      </c>
      <c r="X173">
        <f t="shared" si="88"/>
        <v>5.6955981733433053E-2</v>
      </c>
      <c r="Y173">
        <f t="shared" si="89"/>
        <v>5.9037725187811342E-3</v>
      </c>
      <c r="Z173" s="79"/>
      <c r="AA173" s="230">
        <f t="shared" si="72"/>
        <v>0.10992064461557123</v>
      </c>
      <c r="AB173">
        <f t="shared" si="73"/>
        <v>1.2557305076441201</v>
      </c>
      <c r="AC173">
        <v>1.5796016230370349</v>
      </c>
      <c r="AD173">
        <f t="shared" si="74"/>
        <v>0.49999999999999994</v>
      </c>
      <c r="AE173">
        <f t="shared" si="75"/>
        <v>1.0647421477827379E-7</v>
      </c>
      <c r="AF173">
        <f t="shared" si="76"/>
        <v>3.9777024887447032</v>
      </c>
      <c r="AG173">
        <f t="shared" si="77"/>
        <v>3.1938826652192076</v>
      </c>
      <c r="AH173">
        <f t="shared" si="78"/>
        <v>1.967256147385223</v>
      </c>
      <c r="AI173">
        <f t="shared" si="79"/>
        <v>2.1639817621237456</v>
      </c>
      <c r="AJ173">
        <f t="shared" si="80"/>
        <v>1.6982823618503198</v>
      </c>
      <c r="AK173">
        <f t="shared" si="81"/>
        <v>40.341886882651281</v>
      </c>
      <c r="AL173" s="73"/>
      <c r="AM173" s="73"/>
      <c r="AR173" s="77"/>
      <c r="AS173" s="77"/>
      <c r="AT173" s="77"/>
      <c r="AU173" s="77"/>
      <c r="AV173" s="77"/>
      <c r="AW173" s="77"/>
      <c r="AX173" s="77"/>
      <c r="AY173" s="77"/>
      <c r="AZ173" s="77"/>
      <c r="BA173" s="77"/>
      <c r="BB173" s="84"/>
      <c r="BC173" s="77"/>
      <c r="BD173" s="77"/>
      <c r="BE173" s="77"/>
    </row>
    <row r="174" spans="1:57" s="17" customFormat="1" ht="13.5" customHeight="1">
      <c r="A174" s="16" t="s">
        <v>236</v>
      </c>
      <c r="B174" s="6">
        <v>504</v>
      </c>
      <c r="C174" s="6" t="s">
        <v>141</v>
      </c>
      <c r="D174" s="6">
        <v>30</v>
      </c>
      <c r="E174" s="73">
        <v>0.4</v>
      </c>
      <c r="F174" s="104">
        <v>0.55000000000000004</v>
      </c>
      <c r="G174" s="232">
        <v>9.2177999999999996E-2</v>
      </c>
      <c r="H174" s="36">
        <v>1.3473999999999999</v>
      </c>
      <c r="I174" s="77">
        <v>0.67220000000000002</v>
      </c>
      <c r="J174" s="232">
        <v>9.2177999999999996E-2</v>
      </c>
      <c r="K174" s="36">
        <v>1.3473999999999999</v>
      </c>
      <c r="L174" s="232">
        <v>0.10377</v>
      </c>
      <c r="M174" s="36">
        <v>1.3473999999999999</v>
      </c>
      <c r="N174" s="7">
        <v>0</v>
      </c>
      <c r="O174" s="7">
        <v>0</v>
      </c>
      <c r="P174" s="7">
        <v>0.67220000000000002</v>
      </c>
      <c r="Q174" s="36">
        <v>0.5282</v>
      </c>
      <c r="R174" s="14">
        <f t="shared" si="82"/>
        <v>2.3425930729291196</v>
      </c>
      <c r="S174">
        <f t="shared" si="83"/>
        <v>3.9348703394201934E-2</v>
      </c>
      <c r="T174">
        <f t="shared" si="84"/>
        <v>0.84020166245971184</v>
      </c>
      <c r="U174">
        <f t="shared" si="85"/>
        <v>0.64559355609143876</v>
      </c>
      <c r="V174">
        <f t="shared" si="86"/>
        <v>0.54242877910130405</v>
      </c>
      <c r="W174">
        <f t="shared" si="87"/>
        <v>6.4230277647222165E-3</v>
      </c>
      <c r="X174">
        <f t="shared" si="88"/>
        <v>4.8813286536048266E-2</v>
      </c>
      <c r="Y174">
        <f t="shared" si="89"/>
        <v>3.707333006851425E-3</v>
      </c>
      <c r="Z174" s="79"/>
      <c r="AA174" s="230">
        <f t="shared" si="72"/>
        <v>0.23478256055469926</v>
      </c>
      <c r="AB174">
        <f t="shared" si="73"/>
        <v>2.6821496997441594</v>
      </c>
      <c r="AC174">
        <v>2.5461728796005891</v>
      </c>
      <c r="AD174">
        <f t="shared" si="74"/>
        <v>0.49999999999999994</v>
      </c>
      <c r="AE174">
        <f t="shared" si="75"/>
        <v>5.5156591960425772E-8</v>
      </c>
      <c r="AF174">
        <f t="shared" si="76"/>
        <v>2.4676978368276439</v>
      </c>
      <c r="AG174">
        <f t="shared" si="77"/>
        <v>4.6202770109995335</v>
      </c>
      <c r="AH174">
        <f t="shared" si="78"/>
        <v>1.3599152804520491</v>
      </c>
      <c r="AI174">
        <f t="shared" si="79"/>
        <v>1.4959068084972542</v>
      </c>
      <c r="AJ174">
        <f t="shared" si="80"/>
        <v>1.2716792175451215</v>
      </c>
      <c r="AK174">
        <f t="shared" si="81"/>
        <v>43.245415053459531</v>
      </c>
      <c r="AL174" s="73"/>
      <c r="AM174" s="73"/>
      <c r="AR174" s="37"/>
      <c r="AS174" s="37"/>
      <c r="AT174" s="37"/>
      <c r="AU174" s="37"/>
      <c r="AV174" s="37"/>
      <c r="AW174" s="37"/>
      <c r="AX174" s="77"/>
      <c r="AY174" s="37"/>
      <c r="AZ174" s="37"/>
      <c r="BA174" s="37"/>
      <c r="BB174" s="84"/>
      <c r="BC174" s="77"/>
      <c r="BD174" s="77"/>
      <c r="BE174" s="77"/>
    </row>
    <row r="175" spans="1:57" s="17" customFormat="1" ht="12" customHeight="1">
      <c r="A175" s="16" t="s">
        <v>236</v>
      </c>
      <c r="B175" s="6">
        <v>505</v>
      </c>
      <c r="C175" s="6" t="s">
        <v>142</v>
      </c>
      <c r="D175" s="6">
        <v>30</v>
      </c>
      <c r="E175" s="73">
        <v>0.4</v>
      </c>
      <c r="F175" s="104">
        <v>0.55000000000000004</v>
      </c>
      <c r="G175" s="232">
        <v>0.12765000000000001</v>
      </c>
      <c r="H175" s="36">
        <v>2.1333000000000002</v>
      </c>
      <c r="I175" s="77">
        <v>3.9073000000000002</v>
      </c>
      <c r="J175" s="232">
        <v>0.12765000000000001</v>
      </c>
      <c r="K175" s="36">
        <v>2.1333000000000002</v>
      </c>
      <c r="L175" s="232">
        <v>0.14360999999999999</v>
      </c>
      <c r="M175" s="36">
        <v>2.1333000000000002</v>
      </c>
      <c r="N175" s="7">
        <v>6.3799999999999996E-2</v>
      </c>
      <c r="O175" s="7">
        <v>0.12180000000000001</v>
      </c>
      <c r="P175" s="7">
        <v>3.9073000000000002</v>
      </c>
      <c r="Q175" s="36">
        <v>5.3335999999999997</v>
      </c>
      <c r="R175" s="14">
        <f t="shared" si="82"/>
        <v>5.872291900839822</v>
      </c>
      <c r="S175">
        <f t="shared" si="83"/>
        <v>2.1737679624159054E-2</v>
      </c>
      <c r="T175">
        <f t="shared" si="84"/>
        <v>1.1304260519351264</v>
      </c>
      <c r="U175">
        <f t="shared" si="85"/>
        <v>0.34650302264303778</v>
      </c>
      <c r="V175">
        <f t="shared" si="86"/>
        <v>0.39169604386995688</v>
      </c>
      <c r="W175">
        <f t="shared" si="87"/>
        <v>3.5776011365760821E-2</v>
      </c>
      <c r="X175">
        <f t="shared" si="88"/>
        <v>7.2233769090317201E-2</v>
      </c>
      <c r="Y175">
        <f t="shared" si="89"/>
        <v>9.8285832020372828E-3</v>
      </c>
      <c r="Z175" s="79"/>
      <c r="AA175" s="230">
        <f t="shared" si="72"/>
        <v>9.3660194228652391E-2</v>
      </c>
      <c r="AB175">
        <f t="shared" si="73"/>
        <v>1.0699715568091908</v>
      </c>
      <c r="AC175">
        <v>1.4398727337866746</v>
      </c>
      <c r="AD175">
        <f t="shared" si="74"/>
        <v>0.49999999999999994</v>
      </c>
      <c r="AE175">
        <f t="shared" si="75"/>
        <v>9.403986628298E-8</v>
      </c>
      <c r="AF175">
        <f t="shared" si="76"/>
        <v>4.3637087915788513</v>
      </c>
      <c r="AG175">
        <f t="shared" si="77"/>
        <v>2.9518435934539768</v>
      </c>
      <c r="AH175">
        <f t="shared" si="78"/>
        <v>2.1285630854945059</v>
      </c>
      <c r="AI175">
        <f t="shared" si="79"/>
        <v>2.3414193940439567</v>
      </c>
      <c r="AJ175">
        <f t="shared" si="80"/>
        <v>1.7661095446678594</v>
      </c>
      <c r="AK175">
        <f t="shared" si="81"/>
        <v>39.992425396552399</v>
      </c>
      <c r="AL175" s="73"/>
      <c r="AM175" s="73"/>
      <c r="AR175" s="37"/>
      <c r="AS175" s="37"/>
      <c r="AT175" s="37"/>
      <c r="AU175" s="37"/>
      <c r="AV175" s="37"/>
      <c r="AW175" s="37"/>
      <c r="AX175" s="77"/>
      <c r="AY175" s="37"/>
      <c r="AZ175" s="37"/>
      <c r="BA175" s="37"/>
      <c r="BB175" s="84"/>
      <c r="BC175" s="77"/>
      <c r="BD175" s="77"/>
      <c r="BE175" s="77"/>
    </row>
    <row r="176" spans="1:57" s="17" customFormat="1" ht="13.5" thickBot="1">
      <c r="A176" s="115" t="s">
        <v>236</v>
      </c>
      <c r="B176" s="116">
        <v>506</v>
      </c>
      <c r="C176" s="116" t="s">
        <v>143</v>
      </c>
      <c r="D176" s="6">
        <v>30</v>
      </c>
      <c r="E176" s="118">
        <v>0.4</v>
      </c>
      <c r="F176" s="120">
        <v>0.55000000000000004</v>
      </c>
      <c r="G176" s="233">
        <v>0.11197</v>
      </c>
      <c r="H176" s="45">
        <v>1.6</v>
      </c>
      <c r="I176" s="126">
        <v>1.5639000000000001</v>
      </c>
      <c r="J176" s="233">
        <v>0.11197</v>
      </c>
      <c r="K176" s="45">
        <v>1.6</v>
      </c>
      <c r="L176" s="233">
        <v>0.13514999999999999</v>
      </c>
      <c r="M176" s="45">
        <v>1.5059</v>
      </c>
      <c r="N176" s="228">
        <v>0</v>
      </c>
      <c r="O176" s="228">
        <v>0</v>
      </c>
      <c r="P176" s="228">
        <v>1.5639000000000001</v>
      </c>
      <c r="Q176" s="45">
        <v>1.5999000000000001</v>
      </c>
      <c r="R176" s="14">
        <f t="shared" si="82"/>
        <v>3.303267420522829</v>
      </c>
      <c r="S176">
        <f t="shared" si="83"/>
        <v>3.38967409372741E-2</v>
      </c>
      <c r="T176">
        <f t="shared" si="84"/>
        <v>0.90525259308212869</v>
      </c>
      <c r="U176">
        <f t="shared" si="85"/>
        <v>0.4932857259524957</v>
      </c>
      <c r="V176">
        <f t="shared" si="86"/>
        <v>0.44654818254889705</v>
      </c>
      <c r="W176">
        <f t="shared" si="87"/>
        <v>1.4266639217103279E-2</v>
      </c>
      <c r="X176">
        <f t="shared" si="88"/>
        <v>6.263298723311185E-2</v>
      </c>
      <c r="Y176">
        <f t="shared" si="89"/>
        <v>5.9796289024338463E-3</v>
      </c>
      <c r="Z176" s="79"/>
      <c r="AA176" s="230">
        <f t="shared" si="72"/>
        <v>0.16650180865857603</v>
      </c>
      <c r="AB176">
        <f t="shared" si="73"/>
        <v>1.9021122141498028</v>
      </c>
      <c r="AC176">
        <v>2.0319970534263914</v>
      </c>
      <c r="AD176">
        <f t="shared" si="74"/>
        <v>0.49999999999999994</v>
      </c>
      <c r="AE176">
        <f t="shared" si="75"/>
        <v>5.5243668800608603E-7</v>
      </c>
      <c r="AF176">
        <f t="shared" si="76"/>
        <v>3.0921232373761378</v>
      </c>
      <c r="AG176">
        <f t="shared" si="77"/>
        <v>3.9132910404373749</v>
      </c>
      <c r="AH176">
        <f t="shared" si="78"/>
        <v>1.605601332038247</v>
      </c>
      <c r="AI176">
        <f t="shared" si="79"/>
        <v>1.7661614652420718</v>
      </c>
      <c r="AJ176">
        <f t="shared" si="80"/>
        <v>1.4848125409605557</v>
      </c>
      <c r="AK176">
        <f t="shared" si="81"/>
        <v>41.618527823194846</v>
      </c>
      <c r="AL176" s="73"/>
      <c r="AM176" s="73"/>
      <c r="AR176" s="37"/>
      <c r="AS176" s="37"/>
      <c r="AT176" s="37"/>
      <c r="AU176" s="37"/>
      <c r="AV176" s="37"/>
      <c r="AW176" s="37"/>
      <c r="AX176" s="77"/>
      <c r="AY176" s="37"/>
      <c r="AZ176" s="37"/>
      <c r="BA176" s="37"/>
      <c r="BB176" s="84"/>
      <c r="BC176" s="77"/>
      <c r="BD176" s="77"/>
      <c r="BE176" s="77"/>
    </row>
    <row r="177" spans="1:57">
      <c r="D177" s="6">
        <v>30</v>
      </c>
      <c r="E177" s="73">
        <v>0.4</v>
      </c>
      <c r="F177" s="104">
        <v>0.55000000000000004</v>
      </c>
      <c r="G177" s="232">
        <v>7.0254999999999998E-2</v>
      </c>
      <c r="H177" s="36">
        <v>1.7067000000000001</v>
      </c>
      <c r="I177" s="37">
        <v>0.5302</v>
      </c>
      <c r="J177" s="37"/>
      <c r="K177" s="37"/>
      <c r="L177" s="37"/>
      <c r="M177" s="37"/>
      <c r="N177" s="37"/>
      <c r="O177" s="37"/>
      <c r="P177" s="37"/>
      <c r="Q177" s="37"/>
      <c r="R177" s="14">
        <f t="shared" si="82"/>
        <v>3.758531078447263</v>
      </c>
      <c r="S177">
        <f t="shared" si="83"/>
        <v>1.8692142896693565E-2</v>
      </c>
      <c r="T177">
        <f t="shared" si="84"/>
        <v>1.219043500738666</v>
      </c>
      <c r="U177">
        <f t="shared" si="85"/>
        <v>0.58381273309468218</v>
      </c>
      <c r="V177">
        <f t="shared" si="86"/>
        <v>0.71169311792754975</v>
      </c>
      <c r="W177">
        <f t="shared" si="87"/>
        <v>1.2497497287489648E-2</v>
      </c>
      <c r="X177">
        <f t="shared" si="88"/>
        <v>3.1434790583914539E-2</v>
      </c>
      <c r="Y177">
        <f t="shared" si="89"/>
        <v>3.0289507396899255E-3</v>
      </c>
      <c r="AA177" s="230">
        <f t="shared" si="72"/>
        <v>0.14633376404784657</v>
      </c>
      <c r="AB177">
        <f t="shared" si="73"/>
        <v>1.6717130112903886</v>
      </c>
      <c r="AC177">
        <v>1.875044930928895</v>
      </c>
      <c r="AD177">
        <f t="shared" si="74"/>
        <v>0.49999999999999994</v>
      </c>
      <c r="AE177">
        <f t="shared" si="75"/>
        <v>1.5887705945294428E-7</v>
      </c>
      <c r="AF177">
        <f t="shared" si="76"/>
        <v>3.350951864426472</v>
      </c>
      <c r="AG177">
        <f t="shared" si="77"/>
        <v>3.6746213583698086</v>
      </c>
      <c r="AH177">
        <f t="shared" si="78"/>
        <v>1.709886460238458</v>
      </c>
      <c r="AI177">
        <f t="shared" si="79"/>
        <v>1.8808751062623039</v>
      </c>
      <c r="AJ177">
        <f t="shared" si="80"/>
        <v>1.5569417422003546</v>
      </c>
      <c r="AK177">
        <f t="shared" si="81"/>
        <v>41.153747674546167</v>
      </c>
    </row>
    <row r="178" spans="1:57">
      <c r="D178" s="6">
        <v>30</v>
      </c>
      <c r="E178" s="118">
        <v>0.4</v>
      </c>
      <c r="F178" s="120">
        <v>0.55000000000000004</v>
      </c>
      <c r="G178" s="232">
        <v>6.8017999999999995E-2</v>
      </c>
      <c r="H178" s="36">
        <v>1.1636</v>
      </c>
      <c r="I178" s="37">
        <v>7.5399999999999995E-2</v>
      </c>
      <c r="J178" s="37"/>
      <c r="K178" s="37"/>
      <c r="L178" s="37"/>
      <c r="M178" s="37"/>
      <c r="N178" s="37"/>
      <c r="O178" s="37"/>
      <c r="P178" s="37"/>
      <c r="Q178" s="37"/>
      <c r="R178" s="14">
        <f t="shared" si="82"/>
        <v>1.747073570663084</v>
      </c>
      <c r="S178">
        <f t="shared" si="83"/>
        <v>3.8932533318665252E-2</v>
      </c>
      <c r="T178">
        <f t="shared" si="84"/>
        <v>0.84468040142635781</v>
      </c>
      <c r="U178">
        <f t="shared" si="85"/>
        <v>0.87026943117820876</v>
      </c>
      <c r="V178">
        <f t="shared" si="86"/>
        <v>0.73509953247669746</v>
      </c>
      <c r="W178">
        <f t="shared" si="87"/>
        <v>2.22108454322502E-3</v>
      </c>
      <c r="X178">
        <f t="shared" si="88"/>
        <v>2.9578820515868406E-2</v>
      </c>
      <c r="Y178">
        <f t="shared" si="89"/>
        <v>6.5257538623990276E-4</v>
      </c>
      <c r="AA178" s="230">
        <f t="shared" si="72"/>
        <v>0.31481215744752705</v>
      </c>
      <c r="AB178">
        <f t="shared" si="73"/>
        <v>3.5964056767196513</v>
      </c>
      <c r="AC178">
        <v>3.1375889597565889</v>
      </c>
      <c r="AD178">
        <f t="shared" si="74"/>
        <v>0.49999999999999994</v>
      </c>
      <c r="AE178">
        <f t="shared" si="75"/>
        <v>3.5796222586093052E-7</v>
      </c>
      <c r="AF178">
        <f t="shared" si="76"/>
        <v>2.0025520830705084</v>
      </c>
      <c r="AG178">
        <f t="shared" si="77"/>
        <v>5.3122417941799913</v>
      </c>
      <c r="AH178">
        <f t="shared" si="78"/>
        <v>1.1827747212228452</v>
      </c>
      <c r="AI178">
        <f t="shared" si="79"/>
        <v>1.3010521933451298</v>
      </c>
      <c r="AJ178">
        <f t="shared" si="80"/>
        <v>1.0774668126196354</v>
      </c>
      <c r="AK178">
        <f t="shared" si="81"/>
        <v>45.172016412989102</v>
      </c>
    </row>
    <row r="179" spans="1:57">
      <c r="D179" s="6">
        <v>30</v>
      </c>
      <c r="E179" s="73">
        <v>0.4</v>
      </c>
      <c r="F179" s="104">
        <v>0.55000000000000004</v>
      </c>
      <c r="G179" s="232">
        <v>0.10349999999999999</v>
      </c>
      <c r="H179" s="7">
        <v>1.9692000000000001</v>
      </c>
      <c r="I179" s="77">
        <v>2.6476999999999999</v>
      </c>
      <c r="J179" s="77"/>
      <c r="K179" s="77"/>
      <c r="L179" s="77"/>
      <c r="M179" s="77"/>
      <c r="N179" s="77"/>
      <c r="O179" s="77"/>
      <c r="P179" s="77"/>
      <c r="Q179" s="77"/>
      <c r="R179" s="14">
        <f t="shared" si="82"/>
        <v>5.0036096669877761</v>
      </c>
      <c r="S179">
        <f t="shared" si="83"/>
        <v>2.0685066759475672E-2</v>
      </c>
      <c r="T179">
        <f t="shared" si="84"/>
        <v>1.158831484651494</v>
      </c>
      <c r="U179">
        <f t="shared" si="85"/>
        <v>0.41687837605214723</v>
      </c>
      <c r="V179">
        <f t="shared" si="86"/>
        <v>0.48309178743961356</v>
      </c>
      <c r="W179">
        <f t="shared" si="87"/>
        <v>2.6253838957615874E-2</v>
      </c>
      <c r="X179">
        <f t="shared" si="88"/>
        <v>5.6955981733433053E-2</v>
      </c>
      <c r="Y179">
        <f t="shared" si="89"/>
        <v>8.8986784116912264E-3</v>
      </c>
      <c r="AA179" s="230">
        <f t="shared" si="72"/>
        <v>0.10992064461557123</v>
      </c>
      <c r="AB179">
        <f t="shared" si="73"/>
        <v>1.2557305076441201</v>
      </c>
      <c r="AC179">
        <v>1.5796016230370349</v>
      </c>
      <c r="AD179">
        <f t="shared" si="74"/>
        <v>0.49999999999999994</v>
      </c>
      <c r="AE179">
        <f t="shared" si="75"/>
        <v>1.0647421477827379E-7</v>
      </c>
      <c r="AF179">
        <f t="shared" si="76"/>
        <v>3.9777024887447032</v>
      </c>
      <c r="AG179">
        <f t="shared" si="77"/>
        <v>3.1938826652192076</v>
      </c>
      <c r="AH179">
        <f t="shared" si="78"/>
        <v>1.967256147385223</v>
      </c>
      <c r="AI179">
        <f t="shared" si="79"/>
        <v>2.1639817621237456</v>
      </c>
      <c r="AJ179">
        <f t="shared" si="80"/>
        <v>1.6982823618503198</v>
      </c>
      <c r="AK179">
        <f t="shared" si="81"/>
        <v>40.341886882651281</v>
      </c>
    </row>
    <row r="180" spans="1:57">
      <c r="D180" s="6">
        <v>30</v>
      </c>
      <c r="E180" s="118">
        <v>0.4</v>
      </c>
      <c r="F180" s="120">
        <v>0.55000000000000004</v>
      </c>
      <c r="G180" s="232">
        <v>9.2177999999999996E-2</v>
      </c>
      <c r="H180" s="36">
        <v>1.3473999999999999</v>
      </c>
      <c r="I180" s="37">
        <v>0.5282</v>
      </c>
      <c r="J180" s="37"/>
      <c r="K180" s="37"/>
      <c r="L180" s="37"/>
      <c r="M180" s="37"/>
      <c r="N180" s="37"/>
      <c r="O180" s="37"/>
      <c r="P180" s="37"/>
      <c r="Q180" s="37"/>
      <c r="R180" s="14">
        <f t="shared" si="82"/>
        <v>2.3425930729291196</v>
      </c>
      <c r="S180">
        <f t="shared" si="83"/>
        <v>3.9348703394201934E-2</v>
      </c>
      <c r="T180">
        <f t="shared" si="84"/>
        <v>0.84020166245971184</v>
      </c>
      <c r="U180">
        <f t="shared" si="85"/>
        <v>0.64559355609143876</v>
      </c>
      <c r="V180">
        <f t="shared" si="86"/>
        <v>0.54242877910130405</v>
      </c>
      <c r="W180">
        <f t="shared" si="87"/>
        <v>6.4230277647222165E-3</v>
      </c>
      <c r="X180">
        <f t="shared" si="88"/>
        <v>4.8813286536048266E-2</v>
      </c>
      <c r="Y180">
        <f t="shared" si="89"/>
        <v>2.9131408720900372E-3</v>
      </c>
      <c r="AA180" s="230">
        <f t="shared" si="72"/>
        <v>0.23478256055469926</v>
      </c>
      <c r="AB180">
        <f t="shared" si="73"/>
        <v>2.6821496997441594</v>
      </c>
      <c r="AC180">
        <v>2.5461728796005891</v>
      </c>
      <c r="AD180">
        <f t="shared" si="74"/>
        <v>0.49999999999999994</v>
      </c>
      <c r="AE180">
        <f t="shared" si="75"/>
        <v>5.5156591960425772E-8</v>
      </c>
      <c r="AF180">
        <f t="shared" si="76"/>
        <v>2.4676978368276439</v>
      </c>
      <c r="AG180">
        <f t="shared" si="77"/>
        <v>4.6202770109995335</v>
      </c>
      <c r="AH180">
        <f t="shared" si="78"/>
        <v>1.3599152804520491</v>
      </c>
      <c r="AI180">
        <f t="shared" si="79"/>
        <v>1.4959068084972542</v>
      </c>
      <c r="AJ180">
        <f t="shared" si="80"/>
        <v>1.2716792175451215</v>
      </c>
      <c r="AK180">
        <f t="shared" si="81"/>
        <v>43.245415053459531</v>
      </c>
    </row>
    <row r="181" spans="1:57">
      <c r="D181" s="6">
        <v>30</v>
      </c>
      <c r="E181" s="73">
        <v>0.4</v>
      </c>
      <c r="F181" s="104">
        <v>0.55000000000000004</v>
      </c>
      <c r="G181" s="232">
        <v>0.12765000000000001</v>
      </c>
      <c r="H181" s="36">
        <v>2.1333000000000002</v>
      </c>
      <c r="I181" s="37">
        <v>5.3335999999999997</v>
      </c>
      <c r="J181" s="37"/>
      <c r="K181" s="37"/>
      <c r="L181" s="37"/>
      <c r="M181" s="37"/>
      <c r="N181" s="37"/>
      <c r="O181" s="37"/>
      <c r="P181" s="37"/>
      <c r="Q181" s="37"/>
      <c r="R181" s="14">
        <f t="shared" si="82"/>
        <v>5.872291900839822</v>
      </c>
      <c r="S181">
        <f t="shared" si="83"/>
        <v>2.1737679624159054E-2</v>
      </c>
      <c r="T181">
        <f t="shared" si="84"/>
        <v>1.1304260519351264</v>
      </c>
      <c r="U181">
        <f t="shared" si="85"/>
        <v>0.34650302264303778</v>
      </c>
      <c r="V181">
        <f t="shared" si="86"/>
        <v>0.39169604386995688</v>
      </c>
      <c r="W181">
        <f t="shared" si="87"/>
        <v>3.5776011365760821E-2</v>
      </c>
      <c r="X181">
        <f t="shared" si="88"/>
        <v>7.2233769090317201E-2</v>
      </c>
      <c r="Y181">
        <f t="shared" si="89"/>
        <v>1.3416356913056598E-2</v>
      </c>
      <c r="AA181" s="230">
        <f t="shared" si="72"/>
        <v>9.3660194228652391E-2</v>
      </c>
      <c r="AB181">
        <f t="shared" si="73"/>
        <v>1.0699715568091908</v>
      </c>
      <c r="AC181">
        <v>1.4398727337866746</v>
      </c>
      <c r="AD181">
        <f t="shared" si="74"/>
        <v>0.49999999999999994</v>
      </c>
      <c r="AE181">
        <f t="shared" si="75"/>
        <v>9.403986628298E-8</v>
      </c>
      <c r="AF181">
        <f t="shared" si="76"/>
        <v>4.3637087915788513</v>
      </c>
      <c r="AG181">
        <f t="shared" si="77"/>
        <v>2.9518435934539768</v>
      </c>
      <c r="AH181">
        <f t="shared" si="78"/>
        <v>2.1285630854945059</v>
      </c>
      <c r="AI181">
        <f t="shared" si="79"/>
        <v>2.3414193940439567</v>
      </c>
      <c r="AJ181">
        <f t="shared" si="80"/>
        <v>1.7661095446678594</v>
      </c>
      <c r="AK181">
        <f t="shared" si="81"/>
        <v>39.992425396552399</v>
      </c>
    </row>
    <row r="182" spans="1:57" ht="13.5" thickBot="1">
      <c r="D182" s="6">
        <v>30</v>
      </c>
      <c r="E182" s="118">
        <v>0.4</v>
      </c>
      <c r="F182" s="120">
        <v>0.55000000000000004</v>
      </c>
      <c r="G182" s="233">
        <v>0.11197</v>
      </c>
      <c r="H182" s="45">
        <v>1.6</v>
      </c>
      <c r="I182" s="128">
        <v>1.5999000000000001</v>
      </c>
      <c r="J182" s="37"/>
      <c r="K182" s="37"/>
      <c r="L182" s="37"/>
      <c r="M182" s="37"/>
      <c r="N182" s="37"/>
      <c r="O182" s="37"/>
      <c r="P182" s="37"/>
      <c r="Q182" s="37"/>
      <c r="R182" s="14">
        <f t="shared" si="82"/>
        <v>3.303267420522829</v>
      </c>
      <c r="S182">
        <f t="shared" si="83"/>
        <v>3.38967409372741E-2</v>
      </c>
      <c r="T182">
        <f t="shared" si="84"/>
        <v>0.90525259308212869</v>
      </c>
      <c r="U182">
        <f t="shared" si="85"/>
        <v>0.4932857259524957</v>
      </c>
      <c r="V182">
        <f t="shared" si="86"/>
        <v>0.44654818254889705</v>
      </c>
      <c r="W182">
        <f t="shared" si="87"/>
        <v>1.4266639217103279E-2</v>
      </c>
      <c r="X182">
        <f t="shared" si="88"/>
        <v>6.263298723311185E-2</v>
      </c>
      <c r="Y182">
        <f t="shared" si="89"/>
        <v>6.1172762203490702E-3</v>
      </c>
      <c r="AA182" s="230">
        <f t="shared" si="72"/>
        <v>0.16650180865857603</v>
      </c>
      <c r="AB182">
        <f t="shared" si="73"/>
        <v>1.9021122141498028</v>
      </c>
      <c r="AC182">
        <v>2.0319970534263914</v>
      </c>
      <c r="AD182">
        <f t="shared" si="74"/>
        <v>0.49999999999999994</v>
      </c>
      <c r="AE182">
        <f t="shared" si="75"/>
        <v>5.5243668800608603E-7</v>
      </c>
      <c r="AF182">
        <f t="shared" si="76"/>
        <v>3.0921232373761378</v>
      </c>
      <c r="AG182">
        <f t="shared" si="77"/>
        <v>3.9132910404373749</v>
      </c>
      <c r="AH182">
        <f t="shared" si="78"/>
        <v>1.605601332038247</v>
      </c>
      <c r="AI182">
        <f t="shared" si="79"/>
        <v>1.7661614652420718</v>
      </c>
      <c r="AJ182">
        <f t="shared" si="80"/>
        <v>1.4848125409605557</v>
      </c>
      <c r="AK182">
        <f t="shared" si="81"/>
        <v>41.618527823194846</v>
      </c>
    </row>
    <row r="183" spans="1:57">
      <c r="D183" s="6">
        <v>30</v>
      </c>
      <c r="E183" s="73">
        <v>0.4</v>
      </c>
      <c r="F183" s="104">
        <v>0.55000000000000004</v>
      </c>
      <c r="G183" s="232">
        <v>0.14360999999999999</v>
      </c>
      <c r="H183" s="36">
        <v>2.1333000000000002</v>
      </c>
      <c r="I183" s="77">
        <v>6.3799999999999996E-2</v>
      </c>
      <c r="J183" s="77"/>
      <c r="K183" s="77"/>
      <c r="L183" s="77"/>
      <c r="M183" s="77"/>
      <c r="N183" s="77"/>
      <c r="O183" s="77"/>
      <c r="P183" s="77"/>
      <c r="Q183" s="77"/>
      <c r="R183" s="14">
        <f t="shared" si="82"/>
        <v>5.872291900839822</v>
      </c>
      <c r="S183">
        <f t="shared" si="83"/>
        <v>2.4455528169412304E-2</v>
      </c>
      <c r="T183">
        <f t="shared" si="84"/>
        <v>1.065761987536719</v>
      </c>
      <c r="U183">
        <f>0.15/G183/T183</f>
        <v>0.98004575213218192</v>
      </c>
      <c r="V183">
        <f t="shared" si="86"/>
        <v>0.34816516955643761</v>
      </c>
      <c r="W183">
        <f t="shared" si="87"/>
        <v>3.7059445964071278E-2</v>
      </c>
      <c r="X183">
        <f t="shared" si="88"/>
        <v>8.0889815463543083E-2</v>
      </c>
      <c r="Y183">
        <f t="shared" si="89"/>
        <v>1.4264973747985467E-4</v>
      </c>
      <c r="AA183" s="230">
        <f t="shared" si="72"/>
        <v>9.3660194228652391E-2</v>
      </c>
      <c r="AB183">
        <f t="shared" si="73"/>
        <v>1.0699715568091908</v>
      </c>
      <c r="AC183">
        <v>1.4398727337866746</v>
      </c>
      <c r="AD183">
        <f t="shared" si="74"/>
        <v>0.49999999999999994</v>
      </c>
      <c r="AE183">
        <f t="shared" si="75"/>
        <v>9.403986628298E-8</v>
      </c>
      <c r="AF183">
        <f t="shared" si="76"/>
        <v>4.3637087915788513</v>
      </c>
      <c r="AG183">
        <f t="shared" si="77"/>
        <v>2.9518435934539768</v>
      </c>
      <c r="AH183">
        <f t="shared" si="78"/>
        <v>2.1285630854945059</v>
      </c>
      <c r="AI183">
        <f t="shared" si="79"/>
        <v>2.3414193940439567</v>
      </c>
      <c r="AJ183">
        <f t="shared" si="80"/>
        <v>1.7661095446678594</v>
      </c>
      <c r="AK183">
        <f t="shared" si="81"/>
        <v>39.992425396552399</v>
      </c>
    </row>
    <row r="184" spans="1:57">
      <c r="D184" s="6">
        <v>30</v>
      </c>
      <c r="E184" s="118">
        <v>0.4</v>
      </c>
      <c r="F184" s="120">
        <v>0.55000000000000004</v>
      </c>
      <c r="G184" s="232">
        <v>0.14360999999999999</v>
      </c>
      <c r="H184" s="36">
        <v>2.1333000000000002</v>
      </c>
      <c r="I184" s="77">
        <v>0.12180000000000001</v>
      </c>
      <c r="J184" s="77"/>
      <c r="K184" s="77"/>
      <c r="L184" s="77"/>
      <c r="M184" s="77"/>
      <c r="N184" s="77"/>
      <c r="O184" s="77"/>
      <c r="P184" s="77"/>
      <c r="Q184" s="77"/>
      <c r="R184" s="14">
        <f t="shared" si="82"/>
        <v>5.872291900839822</v>
      </c>
      <c r="S184">
        <f t="shared" si="83"/>
        <v>2.4455528169412304E-2</v>
      </c>
      <c r="T184">
        <f t="shared" si="84"/>
        <v>1.065761987536719</v>
      </c>
      <c r="U184">
        <f>0.15/G184/T184</f>
        <v>0.98004575213218192</v>
      </c>
      <c r="V184">
        <f t="shared" si="86"/>
        <v>0.34816516955643761</v>
      </c>
      <c r="W184">
        <f t="shared" si="87"/>
        <v>3.7059445964071278E-2</v>
      </c>
      <c r="X184">
        <f t="shared" si="88"/>
        <v>8.0889815463543083E-2</v>
      </c>
      <c r="Y184">
        <f t="shared" si="89"/>
        <v>2.7233131700699531E-4</v>
      </c>
      <c r="AA184" s="230">
        <f t="shared" si="72"/>
        <v>9.3660194228652391E-2</v>
      </c>
      <c r="AB184">
        <f t="shared" si="73"/>
        <v>1.0699715568091908</v>
      </c>
      <c r="AC184">
        <v>1.4398727337866746</v>
      </c>
      <c r="AD184">
        <f t="shared" si="74"/>
        <v>0.49999999999999994</v>
      </c>
      <c r="AE184">
        <f t="shared" si="75"/>
        <v>9.403986628298E-8</v>
      </c>
      <c r="AF184">
        <f t="shared" si="76"/>
        <v>4.3637087915788513</v>
      </c>
      <c r="AG184">
        <f t="shared" si="77"/>
        <v>2.9518435934539768</v>
      </c>
      <c r="AH184">
        <f t="shared" si="78"/>
        <v>2.1285630854945059</v>
      </c>
      <c r="AI184">
        <f t="shared" si="79"/>
        <v>2.3414193940439567</v>
      </c>
      <c r="AJ184">
        <f t="shared" si="80"/>
        <v>1.7661095446678594</v>
      </c>
      <c r="AK184">
        <f t="shared" si="81"/>
        <v>39.992425396552399</v>
      </c>
      <c r="AL184" s="14">
        <f>AVERAGE(AK171:AK184)</f>
        <v>41.645206377135104</v>
      </c>
    </row>
    <row r="185" spans="1:57" s="17" customFormat="1">
      <c r="A185" s="16" t="s">
        <v>230</v>
      </c>
      <c r="B185" s="6">
        <v>440</v>
      </c>
      <c r="C185" s="6" t="s">
        <v>37</v>
      </c>
      <c r="D185" s="198" t="s">
        <v>250</v>
      </c>
      <c r="E185" s="73">
        <v>0.3</v>
      </c>
      <c r="F185" s="104">
        <v>0.5</v>
      </c>
      <c r="G185" s="232">
        <v>0.10534</v>
      </c>
      <c r="H185" s="7">
        <v>1.7067000000000001</v>
      </c>
      <c r="I185" s="77">
        <v>0.113</v>
      </c>
      <c r="J185" s="232">
        <v>0.10534</v>
      </c>
      <c r="K185" s="7">
        <v>1.7067000000000001</v>
      </c>
      <c r="L185" s="232">
        <v>9.9479999999999999E-2</v>
      </c>
      <c r="M185" s="7">
        <v>1.7067000000000001</v>
      </c>
      <c r="N185" s="7">
        <v>0</v>
      </c>
      <c r="O185" s="7">
        <v>0</v>
      </c>
      <c r="P185" s="7">
        <v>0.113</v>
      </c>
      <c r="Q185" s="36">
        <v>7.9699999999999993E-2</v>
      </c>
      <c r="R185" s="14">
        <f t="shared" si="82"/>
        <v>3.758531078447263</v>
      </c>
      <c r="S185">
        <f t="shared" si="83"/>
        <v>2.8026906736000279E-2</v>
      </c>
      <c r="T185">
        <f t="shared" si="84"/>
        <v>0.99554561877298875</v>
      </c>
      <c r="U185">
        <f t="shared" ref="U185:U190" si="90">0.1/G185/T185</f>
        <v>0.95355450115457852</v>
      </c>
      <c r="V185">
        <f t="shared" si="86"/>
        <v>0.47465350294285175</v>
      </c>
      <c r="W185">
        <f t="shared" si="87"/>
        <v>1.6969473988626978E-2</v>
      </c>
      <c r="X185">
        <f t="shared" si="88"/>
        <v>5.8219378247437809E-2</v>
      </c>
      <c r="Y185">
        <f t="shared" si="89"/>
        <v>4.3054133643861888E-4</v>
      </c>
      <c r="Z185" s="79"/>
      <c r="AA185" s="230">
        <f t="shared" si="72"/>
        <v>0.13303069458895139</v>
      </c>
      <c r="AB185">
        <f t="shared" si="73"/>
        <v>1.6717130112903886</v>
      </c>
      <c r="AC185">
        <v>2.2483497138898905</v>
      </c>
      <c r="AD185">
        <f t="shared" si="74"/>
        <v>-0.25881904510252074</v>
      </c>
      <c r="AE185">
        <f t="shared" si="75"/>
        <v>6.0876671478804489E-7</v>
      </c>
      <c r="AF185">
        <f t="shared" si="76"/>
        <v>2.7945765146601635</v>
      </c>
      <c r="AG185">
        <f t="shared" si="77"/>
        <v>4.2242055122468951</v>
      </c>
      <c r="AH185">
        <f t="shared" si="78"/>
        <v>1.4874241532433161</v>
      </c>
      <c r="AI185">
        <f t="shared" si="79"/>
        <v>1.6361665685676479</v>
      </c>
      <c r="AJ185">
        <f t="shared" si="80"/>
        <v>1.3903913045670029</v>
      </c>
      <c r="AK185">
        <f t="shared" si="81"/>
        <v>-2.5520511069133494</v>
      </c>
      <c r="AL185" s="73"/>
      <c r="AM185" s="73"/>
      <c r="AR185" s="37"/>
      <c r="AS185" s="37"/>
      <c r="AT185" s="37"/>
      <c r="AU185" s="37"/>
      <c r="AV185" s="37"/>
      <c r="AW185" s="37"/>
      <c r="AX185" s="77"/>
      <c r="AY185" s="37"/>
      <c r="AZ185" s="37"/>
      <c r="BA185" s="37"/>
      <c r="BB185" s="77"/>
      <c r="BC185" s="77"/>
      <c r="BD185" s="77"/>
      <c r="BE185" s="77"/>
    </row>
    <row r="186" spans="1:57" s="17" customFormat="1">
      <c r="A186" s="16" t="s">
        <v>230</v>
      </c>
      <c r="B186" s="6">
        <v>442</v>
      </c>
      <c r="C186" s="6" t="s">
        <v>39</v>
      </c>
      <c r="D186" s="198" t="s">
        <v>250</v>
      </c>
      <c r="E186" s="73">
        <v>0.3</v>
      </c>
      <c r="F186" s="104">
        <v>0.5</v>
      </c>
      <c r="G186" s="232">
        <v>0.15773000000000001</v>
      </c>
      <c r="H186" s="7">
        <v>2.1333000000000002</v>
      </c>
      <c r="I186" s="77">
        <v>2.1204999999999998</v>
      </c>
      <c r="J186" s="232">
        <v>0.15773000000000001</v>
      </c>
      <c r="K186" s="7">
        <v>2.1333000000000002</v>
      </c>
      <c r="L186" s="232">
        <v>0.13789000000000001</v>
      </c>
      <c r="M186" s="7">
        <v>2.1333000000000002</v>
      </c>
      <c r="N186" s="7">
        <v>3.2800000000000003E-2</v>
      </c>
      <c r="O186" s="7">
        <v>3.3799999999999997E-2</v>
      </c>
      <c r="P186" s="7">
        <v>2.1204999999999998</v>
      </c>
      <c r="Q186" s="7">
        <v>1.0155000000000001</v>
      </c>
      <c r="R186" s="14">
        <f t="shared" si="82"/>
        <v>5.872291900839822</v>
      </c>
      <c r="S186">
        <f t="shared" si="83"/>
        <v>2.6860040792155166E-2</v>
      </c>
      <c r="T186">
        <f t="shared" si="84"/>
        <v>1.0169402004312915</v>
      </c>
      <c r="U186">
        <f t="shared" si="90"/>
        <v>0.62343370925227282</v>
      </c>
      <c r="V186">
        <f t="shared" si="86"/>
        <v>0.31699740062131493</v>
      </c>
      <c r="W186">
        <f t="shared" si="87"/>
        <v>3.7966933501674391E-2</v>
      </c>
      <c r="X186">
        <f t="shared" si="88"/>
        <v>8.7717736974502247E-2</v>
      </c>
      <c r="Y186">
        <f t="shared" si="89"/>
        <v>4.3167704363753865E-3</v>
      </c>
      <c r="Z186" s="79"/>
      <c r="AA186" s="230">
        <f t="shared" si="72"/>
        <v>8.5145631116956708E-2</v>
      </c>
      <c r="AB186">
        <f t="shared" si="73"/>
        <v>1.0699715568091908</v>
      </c>
      <c r="AC186">
        <v>1.6852947092953687</v>
      </c>
      <c r="AD186">
        <f t="shared" si="74"/>
        <v>-0.25881904510252074</v>
      </c>
      <c r="AE186">
        <f t="shared" si="75"/>
        <v>1.6538519220787862E-7</v>
      </c>
      <c r="AF186">
        <f t="shared" si="76"/>
        <v>3.7282412817913739</v>
      </c>
      <c r="AG186">
        <f t="shared" si="77"/>
        <v>3.3706741217694849</v>
      </c>
      <c r="AH186">
        <f t="shared" si="78"/>
        <v>1.8640737965737062</v>
      </c>
      <c r="AI186">
        <f t="shared" si="79"/>
        <v>2.0504811762310768</v>
      </c>
      <c r="AJ186">
        <f t="shared" si="80"/>
        <v>1.6471551433735998</v>
      </c>
      <c r="AK186">
        <f t="shared" si="81"/>
        <v>-4.5393085797958763</v>
      </c>
      <c r="AL186" s="73"/>
      <c r="AM186" s="73"/>
      <c r="AR186" s="77"/>
      <c r="AS186" s="77"/>
      <c r="AT186" s="77"/>
      <c r="AU186" s="77"/>
      <c r="AV186" s="77"/>
      <c r="AW186" s="77"/>
      <c r="AX186" s="77"/>
      <c r="AY186" s="77"/>
      <c r="AZ186" s="77"/>
      <c r="BA186" s="77"/>
      <c r="BB186" s="77"/>
      <c r="BC186" s="77"/>
      <c r="BD186" s="77"/>
      <c r="BE186" s="77"/>
    </row>
    <row r="187" spans="1:57" s="17" customFormat="1" ht="13.5" thickBot="1">
      <c r="A187" s="115" t="s">
        <v>230</v>
      </c>
      <c r="B187" s="116">
        <v>443</v>
      </c>
      <c r="C187" s="116" t="s">
        <v>40</v>
      </c>
      <c r="D187" s="198" t="s">
        <v>250</v>
      </c>
      <c r="E187" s="118">
        <v>0.3</v>
      </c>
      <c r="F187" s="120">
        <v>0.5</v>
      </c>
      <c r="G187" s="233">
        <v>0.15382999999999999</v>
      </c>
      <c r="H187" s="45">
        <v>1.5059</v>
      </c>
      <c r="I187" s="126">
        <v>0.27460000000000001</v>
      </c>
      <c r="J187" s="233">
        <v>0.15382999999999999</v>
      </c>
      <c r="K187" s="45">
        <v>1.5059</v>
      </c>
      <c r="L187" s="233">
        <v>0.14365</v>
      </c>
      <c r="M187" s="45">
        <v>1.5059</v>
      </c>
      <c r="N187" s="228">
        <v>0</v>
      </c>
      <c r="O187" s="228">
        <v>0</v>
      </c>
      <c r="P187" s="228">
        <v>0.27460000000000001</v>
      </c>
      <c r="Q187" s="45">
        <v>0.19400000000000001</v>
      </c>
      <c r="R187" s="14">
        <f t="shared" si="82"/>
        <v>2.9261462954134876</v>
      </c>
      <c r="S187">
        <f t="shared" si="83"/>
        <v>5.2570850692296854E-2</v>
      </c>
      <c r="T187">
        <f t="shared" si="84"/>
        <v>0.72690264182181585</v>
      </c>
      <c r="U187">
        <f t="shared" si="90"/>
        <v>0.89429893326258192</v>
      </c>
      <c r="V187">
        <f t="shared" si="86"/>
        <v>0.32503412858350128</v>
      </c>
      <c r="W187">
        <f t="shared" si="87"/>
        <v>1.4262727405788914E-2</v>
      </c>
      <c r="X187">
        <f t="shared" si="88"/>
        <v>8.5903848684594289E-2</v>
      </c>
      <c r="Y187">
        <f t="shared" si="89"/>
        <v>8.1198923793657273E-4</v>
      </c>
      <c r="Z187" s="79"/>
      <c r="AA187" s="230">
        <f t="shared" si="72"/>
        <v>0.17087320643664061</v>
      </c>
      <c r="AB187">
        <f t="shared" si="73"/>
        <v>2.1472560401467291</v>
      </c>
      <c r="AC187">
        <v>2.6892176962542305</v>
      </c>
      <c r="AD187">
        <f t="shared" si="74"/>
        <v>-0.25881904510252074</v>
      </c>
      <c r="AE187">
        <f t="shared" si="75"/>
        <v>6.1852513053017866E-7</v>
      </c>
      <c r="AF187">
        <f t="shared" si="76"/>
        <v>2.3364361003318317</v>
      </c>
      <c r="AG187">
        <f t="shared" si="77"/>
        <v>4.798423578173078</v>
      </c>
      <c r="AH187">
        <f t="shared" si="78"/>
        <v>1.3094269825949394</v>
      </c>
      <c r="AI187">
        <f t="shared" si="79"/>
        <v>1.4403696808544335</v>
      </c>
      <c r="AJ187">
        <f t="shared" si="80"/>
        <v>1.2196475316227295</v>
      </c>
      <c r="AK187">
        <f t="shared" si="81"/>
        <v>-0.76196098687398095</v>
      </c>
      <c r="AL187" s="73"/>
      <c r="AM187" s="73"/>
      <c r="AR187" s="37"/>
      <c r="AS187" s="37"/>
      <c r="AT187" s="37"/>
      <c r="AU187" s="37"/>
      <c r="AV187" s="37"/>
      <c r="AW187" s="37"/>
      <c r="AX187" s="77"/>
      <c r="AY187" s="37"/>
      <c r="AZ187" s="37"/>
      <c r="BA187" s="37"/>
      <c r="BB187" s="77"/>
      <c r="BC187" s="77"/>
      <c r="BD187" s="77"/>
      <c r="BE187" s="77"/>
    </row>
    <row r="188" spans="1:57" ht="13.5" thickBot="1">
      <c r="D188" s="198" t="s">
        <v>250</v>
      </c>
      <c r="E188" s="73">
        <v>0.3</v>
      </c>
      <c r="F188" s="104">
        <v>0.5</v>
      </c>
      <c r="G188" s="232">
        <v>0.10534</v>
      </c>
      <c r="H188" s="7">
        <v>1.7067000000000001</v>
      </c>
      <c r="I188" s="37">
        <v>7.9699999999999993E-2</v>
      </c>
      <c r="J188" s="233"/>
      <c r="K188" s="45"/>
      <c r="L188" s="233"/>
      <c r="M188" s="45"/>
      <c r="N188" s="228"/>
      <c r="O188" s="228"/>
      <c r="P188" s="228"/>
      <c r="Q188" s="45"/>
      <c r="R188" s="14">
        <f t="shared" si="82"/>
        <v>3.758531078447263</v>
      </c>
      <c r="S188">
        <f t="shared" si="83"/>
        <v>2.8026906736000279E-2</v>
      </c>
      <c r="T188">
        <f t="shared" si="84"/>
        <v>0.99554561877298875</v>
      </c>
      <c r="U188">
        <f t="shared" si="90"/>
        <v>0.95355450115457852</v>
      </c>
      <c r="V188">
        <f t="shared" si="86"/>
        <v>0.47465350294285175</v>
      </c>
      <c r="W188">
        <f t="shared" si="87"/>
        <v>1.6969473988626978E-2</v>
      </c>
      <c r="X188">
        <f t="shared" si="88"/>
        <v>5.8219378247437809E-2</v>
      </c>
      <c r="Y188">
        <f t="shared" si="89"/>
        <v>3.0366499570051259E-4</v>
      </c>
      <c r="AA188" s="230">
        <f t="shared" si="72"/>
        <v>0.13303069458895139</v>
      </c>
      <c r="AB188">
        <f t="shared" si="73"/>
        <v>1.6717130112903886</v>
      </c>
      <c r="AC188">
        <v>2.2483497138898905</v>
      </c>
      <c r="AD188">
        <f t="shared" si="74"/>
        <v>-0.25881904510252074</v>
      </c>
      <c r="AE188">
        <f t="shared" si="75"/>
        <v>6.0876671478804489E-7</v>
      </c>
      <c r="AF188">
        <f t="shared" si="76"/>
        <v>2.7945765146601635</v>
      </c>
      <c r="AG188">
        <f t="shared" si="77"/>
        <v>4.2242055122468951</v>
      </c>
      <c r="AH188">
        <f t="shared" si="78"/>
        <v>1.4874241532433161</v>
      </c>
      <c r="AI188">
        <f t="shared" si="79"/>
        <v>1.6361665685676479</v>
      </c>
      <c r="AJ188">
        <f t="shared" si="80"/>
        <v>1.3903913045670029</v>
      </c>
      <c r="AK188">
        <f t="shared" si="81"/>
        <v>-2.5520511069133494</v>
      </c>
    </row>
    <row r="189" spans="1:57">
      <c r="D189" s="198" t="s">
        <v>250</v>
      </c>
      <c r="E189" s="118">
        <v>0.3</v>
      </c>
      <c r="F189" s="120">
        <v>0.5</v>
      </c>
      <c r="G189" s="232">
        <v>0.15773000000000001</v>
      </c>
      <c r="H189" s="7">
        <v>2.1333000000000002</v>
      </c>
      <c r="I189" s="77">
        <v>1.0155000000000001</v>
      </c>
      <c r="J189" s="77"/>
      <c r="K189" s="77"/>
      <c r="L189" s="77"/>
      <c r="M189" s="77"/>
      <c r="N189" s="77"/>
      <c r="O189" s="77"/>
      <c r="P189" s="77"/>
      <c r="Q189" s="77"/>
      <c r="R189" s="14">
        <f t="shared" si="82"/>
        <v>5.872291900839822</v>
      </c>
      <c r="S189">
        <f t="shared" si="83"/>
        <v>2.6860040792155166E-2</v>
      </c>
      <c r="T189">
        <f t="shared" si="84"/>
        <v>1.0169402004312915</v>
      </c>
      <c r="U189">
        <f t="shared" si="90"/>
        <v>0.62343370925227282</v>
      </c>
      <c r="V189">
        <f t="shared" si="86"/>
        <v>0.31699740062131493</v>
      </c>
      <c r="W189">
        <f t="shared" si="87"/>
        <v>3.7966933501674391E-2</v>
      </c>
      <c r="X189">
        <f t="shared" si="88"/>
        <v>8.7717736974502247E-2</v>
      </c>
      <c r="Y189">
        <f t="shared" si="89"/>
        <v>2.067286195774207E-3</v>
      </c>
      <c r="AA189" s="230">
        <f t="shared" si="72"/>
        <v>8.5145631116956708E-2</v>
      </c>
      <c r="AB189">
        <f t="shared" si="73"/>
        <v>1.0699715568091908</v>
      </c>
      <c r="AC189">
        <v>1.6852947092953687</v>
      </c>
      <c r="AD189">
        <f t="shared" si="74"/>
        <v>-0.25881904510252074</v>
      </c>
      <c r="AE189">
        <f t="shared" si="75"/>
        <v>1.6538519220787862E-7</v>
      </c>
      <c r="AF189">
        <f t="shared" si="76"/>
        <v>3.7282412817913739</v>
      </c>
      <c r="AG189">
        <f t="shared" si="77"/>
        <v>3.3706741217694849</v>
      </c>
      <c r="AH189">
        <f t="shared" si="78"/>
        <v>1.8640737965737062</v>
      </c>
      <c r="AI189">
        <f t="shared" si="79"/>
        <v>2.0504811762310768</v>
      </c>
      <c r="AJ189">
        <f t="shared" si="80"/>
        <v>1.6471551433735998</v>
      </c>
      <c r="AK189">
        <f t="shared" si="81"/>
        <v>-4.5393085797958763</v>
      </c>
    </row>
    <row r="190" spans="1:57" ht="13.5" thickBot="1">
      <c r="D190" s="198" t="s">
        <v>250</v>
      </c>
      <c r="E190" s="73">
        <v>0.3</v>
      </c>
      <c r="F190" s="104">
        <v>0.5</v>
      </c>
      <c r="G190" s="233">
        <v>0.15382999999999999</v>
      </c>
      <c r="H190" s="45">
        <v>1.5059</v>
      </c>
      <c r="I190" s="128">
        <v>0.19400000000000001</v>
      </c>
      <c r="J190" s="37"/>
      <c r="K190" s="37"/>
      <c r="L190" s="37"/>
      <c r="M190" s="37"/>
      <c r="N190" s="37"/>
      <c r="O190" s="37"/>
      <c r="P190" s="37"/>
      <c r="Q190" s="37"/>
      <c r="R190" s="14">
        <f t="shared" si="82"/>
        <v>2.9261462954134876</v>
      </c>
      <c r="S190">
        <f t="shared" si="83"/>
        <v>5.2570850692296854E-2</v>
      </c>
      <c r="T190">
        <f t="shared" si="84"/>
        <v>0.72690264182181585</v>
      </c>
      <c r="U190">
        <f t="shared" si="90"/>
        <v>0.89429893326258192</v>
      </c>
      <c r="V190">
        <f t="shared" si="86"/>
        <v>0.32503412858350128</v>
      </c>
      <c r="W190">
        <f t="shared" si="87"/>
        <v>1.4262727405788914E-2</v>
      </c>
      <c r="X190">
        <f t="shared" si="88"/>
        <v>8.5903848684594289E-2</v>
      </c>
      <c r="Y190">
        <f t="shared" si="89"/>
        <v>5.7365590735504403E-4</v>
      </c>
      <c r="AA190" s="230">
        <f t="shared" si="72"/>
        <v>0.17087320643664061</v>
      </c>
      <c r="AB190">
        <f t="shared" si="73"/>
        <v>2.1472560401467291</v>
      </c>
      <c r="AC190">
        <v>2.6892176962542305</v>
      </c>
      <c r="AD190">
        <f t="shared" si="74"/>
        <v>-0.25881904510252074</v>
      </c>
      <c r="AE190">
        <f t="shared" si="75"/>
        <v>6.1852513053017866E-7</v>
      </c>
      <c r="AF190">
        <f t="shared" si="76"/>
        <v>2.3364361003318317</v>
      </c>
      <c r="AG190">
        <f t="shared" si="77"/>
        <v>4.798423578173078</v>
      </c>
      <c r="AH190">
        <f t="shared" si="78"/>
        <v>1.3094269825949394</v>
      </c>
      <c r="AI190">
        <f t="shared" si="79"/>
        <v>1.4403696808544335</v>
      </c>
      <c r="AJ190">
        <f t="shared" si="80"/>
        <v>1.2196475316227295</v>
      </c>
      <c r="AK190">
        <f t="shared" si="81"/>
        <v>-0.76196098687398095</v>
      </c>
    </row>
    <row r="191" spans="1:57">
      <c r="D191" s="198" t="s">
        <v>250</v>
      </c>
      <c r="E191" s="118">
        <v>0.3</v>
      </c>
      <c r="F191" s="120">
        <v>0.5</v>
      </c>
      <c r="G191" s="232">
        <v>0.13789000000000001</v>
      </c>
      <c r="H191" s="7">
        <v>2.1333000000000002</v>
      </c>
      <c r="I191" s="77">
        <v>3.2800000000000003E-2</v>
      </c>
      <c r="J191" s="77"/>
      <c r="K191" s="77"/>
      <c r="L191" s="77"/>
      <c r="M191" s="77"/>
      <c r="N191" s="77"/>
      <c r="O191" s="77"/>
      <c r="P191" s="77"/>
      <c r="Q191" s="77"/>
      <c r="R191" s="14">
        <f t="shared" si="82"/>
        <v>5.872291900839822</v>
      </c>
      <c r="S191">
        <f t="shared" si="83"/>
        <v>2.3481462149434324E-2</v>
      </c>
      <c r="T191">
        <f t="shared" si="84"/>
        <v>1.0876425302495996</v>
      </c>
      <c r="U191">
        <f>0.2/G191/T191</f>
        <v>1.3335553392155401</v>
      </c>
      <c r="V191">
        <f t="shared" si="86"/>
        <v>0.36260787584306331</v>
      </c>
      <c r="W191">
        <f t="shared" si="87"/>
        <v>3.6634408670660569E-2</v>
      </c>
      <c r="X191">
        <f t="shared" si="88"/>
        <v>7.7908642431114464E-2</v>
      </c>
      <c r="Y191">
        <f t="shared" si="89"/>
        <v>7.6379366568714139E-5</v>
      </c>
      <c r="AA191" s="230">
        <f t="shared" si="72"/>
        <v>8.5145631116956708E-2</v>
      </c>
      <c r="AB191">
        <f t="shared" si="73"/>
        <v>1.0699715568091908</v>
      </c>
      <c r="AC191">
        <v>1.6852947092953687</v>
      </c>
      <c r="AD191">
        <f t="shared" si="74"/>
        <v>-0.25881904510252074</v>
      </c>
      <c r="AE191">
        <f t="shared" si="75"/>
        <v>1.6538519220787862E-7</v>
      </c>
      <c r="AF191">
        <f t="shared" si="76"/>
        <v>3.7282412817913739</v>
      </c>
      <c r="AG191">
        <f t="shared" si="77"/>
        <v>3.3706741217694849</v>
      </c>
      <c r="AH191">
        <f t="shared" si="78"/>
        <v>1.8640737965737062</v>
      </c>
      <c r="AI191">
        <f t="shared" si="79"/>
        <v>2.0504811762310768</v>
      </c>
      <c r="AJ191">
        <f t="shared" si="80"/>
        <v>1.6471551433735998</v>
      </c>
      <c r="AK191">
        <f t="shared" si="81"/>
        <v>-4.5393085797958763</v>
      </c>
    </row>
    <row r="192" spans="1:57">
      <c r="D192" s="198" t="s">
        <v>250</v>
      </c>
      <c r="E192" s="73">
        <v>0.3</v>
      </c>
      <c r="F192" s="104">
        <v>0.5</v>
      </c>
      <c r="G192" s="232">
        <v>0.13789000000000001</v>
      </c>
      <c r="H192" s="7">
        <v>2.1333000000000002</v>
      </c>
      <c r="I192" s="77">
        <v>3.3799999999999997E-2</v>
      </c>
      <c r="J192" s="77"/>
      <c r="K192" s="77"/>
      <c r="L192" s="77"/>
      <c r="M192" s="77"/>
      <c r="N192" s="77"/>
      <c r="O192" s="77"/>
      <c r="P192" s="77"/>
      <c r="Q192" s="77"/>
      <c r="R192" s="14">
        <f t="shared" si="82"/>
        <v>5.872291900839822</v>
      </c>
      <c r="S192">
        <f t="shared" si="83"/>
        <v>2.3481462149434324E-2</v>
      </c>
      <c r="T192">
        <f t="shared" si="84"/>
        <v>1.0876425302495996</v>
      </c>
      <c r="U192">
        <f>0.2/G192/T192</f>
        <v>1.3335553392155401</v>
      </c>
      <c r="V192">
        <f t="shared" si="86"/>
        <v>0.36260787584306331</v>
      </c>
      <c r="W192">
        <f t="shared" si="87"/>
        <v>3.6634408670660569E-2</v>
      </c>
      <c r="X192">
        <f t="shared" si="88"/>
        <v>7.7908642431114464E-2</v>
      </c>
      <c r="Y192">
        <f t="shared" si="89"/>
        <v>7.8708005793370035E-5</v>
      </c>
      <c r="AA192" s="230">
        <f t="shared" si="72"/>
        <v>8.5145631116956708E-2</v>
      </c>
      <c r="AB192">
        <f t="shared" si="73"/>
        <v>1.0699715568091908</v>
      </c>
      <c r="AC192">
        <v>1.6852947092953687</v>
      </c>
      <c r="AD192">
        <f t="shared" si="74"/>
        <v>-0.25881904510252074</v>
      </c>
      <c r="AE192">
        <f t="shared" si="75"/>
        <v>1.6538519220787862E-7</v>
      </c>
      <c r="AF192">
        <f t="shared" si="76"/>
        <v>3.7282412817913739</v>
      </c>
      <c r="AG192">
        <f t="shared" si="77"/>
        <v>3.3706741217694849</v>
      </c>
      <c r="AH192">
        <f t="shared" si="78"/>
        <v>1.8640737965737062</v>
      </c>
      <c r="AI192">
        <f t="shared" si="79"/>
        <v>2.0504811762310768</v>
      </c>
      <c r="AJ192">
        <f t="shared" si="80"/>
        <v>1.6471551433735998</v>
      </c>
      <c r="AK192">
        <f t="shared" si="81"/>
        <v>-4.5393085797958763</v>
      </c>
      <c r="AL192" s="14">
        <f>AVERAGE(AK185:AK192)</f>
        <v>-3.0981573133447702</v>
      </c>
    </row>
    <row r="193" spans="1:57" s="17" customFormat="1">
      <c r="A193" s="16" t="s">
        <v>242</v>
      </c>
      <c r="B193" s="6">
        <v>607</v>
      </c>
      <c r="C193" s="17" t="s">
        <v>86</v>
      </c>
      <c r="D193" s="6">
        <v>-30</v>
      </c>
      <c r="E193" s="73">
        <v>0.15</v>
      </c>
      <c r="F193" s="104">
        <v>0.55000000000000004</v>
      </c>
      <c r="G193" s="234">
        <v>8.3767999999999995E-2</v>
      </c>
      <c r="H193" s="77">
        <v>1.7067000000000001</v>
      </c>
      <c r="I193" s="77">
        <v>0.66039999999999999</v>
      </c>
      <c r="J193" s="234">
        <v>8.3767999999999995E-2</v>
      </c>
      <c r="K193" s="77">
        <v>1.7067000000000001</v>
      </c>
      <c r="L193" s="234">
        <v>8.8616E-2</v>
      </c>
      <c r="M193" s="77">
        <v>1.7067000000000001</v>
      </c>
      <c r="N193" s="77">
        <v>0</v>
      </c>
      <c r="O193" s="77">
        <v>0</v>
      </c>
      <c r="P193" s="77">
        <v>0.66039999999999999</v>
      </c>
      <c r="Q193" s="77">
        <v>1.2491000000000001</v>
      </c>
      <c r="R193" s="14">
        <f t="shared" si="82"/>
        <v>3.758531078447263</v>
      </c>
      <c r="S193">
        <f t="shared" si="83"/>
        <v>2.2287430448654565E-2</v>
      </c>
      <c r="T193">
        <f t="shared" si="84"/>
        <v>1.1163972272148475</v>
      </c>
      <c r="U193">
        <f t="shared" si="85"/>
        <v>0.53465435486485402</v>
      </c>
      <c r="V193">
        <f t="shared" si="86"/>
        <v>0.59688663928946617</v>
      </c>
      <c r="W193">
        <f t="shared" si="87"/>
        <v>1.445544134565953E-2</v>
      </c>
      <c r="X193">
        <f t="shared" si="88"/>
        <v>4.2368794156661636E-2</v>
      </c>
      <c r="Y193">
        <f t="shared" si="89"/>
        <v>3.1641615085285378E-3</v>
      </c>
      <c r="Z193" s="79"/>
      <c r="AA193" s="230">
        <f t="shared" si="72"/>
        <v>0.14633376404784657</v>
      </c>
      <c r="AB193">
        <f t="shared" si="73"/>
        <v>1.6717130112903886</v>
      </c>
      <c r="AC193">
        <v>2.2438307595888163</v>
      </c>
      <c r="AD193">
        <f t="shared" si="74"/>
        <v>-0.49999999999999994</v>
      </c>
      <c r="AE193">
        <f t="shared" si="75"/>
        <v>6.0060992032595628E-7</v>
      </c>
      <c r="AF193">
        <f t="shared" si="76"/>
        <v>2.8002046412497639</v>
      </c>
      <c r="AG193">
        <f t="shared" si="77"/>
        <v>4.2179180932576097</v>
      </c>
      <c r="AH193">
        <f t="shared" si="78"/>
        <v>1.4896413747870851</v>
      </c>
      <c r="AI193">
        <f t="shared" si="79"/>
        <v>1.6386055122657939</v>
      </c>
      <c r="AJ193">
        <f t="shared" si="80"/>
        <v>1.3922967667789881</v>
      </c>
      <c r="AK193">
        <f t="shared" si="81"/>
        <v>-24.368047294793374</v>
      </c>
      <c r="AL193" s="73"/>
      <c r="AM193" s="73"/>
      <c r="AR193" s="77"/>
      <c r="AS193" s="77"/>
      <c r="AT193" s="77"/>
      <c r="AU193" s="77"/>
      <c r="AV193" s="77"/>
      <c r="AW193" s="77"/>
      <c r="AX193" s="77"/>
      <c r="AY193" s="77"/>
      <c r="AZ193" s="77"/>
      <c r="BA193" s="77"/>
      <c r="BB193" s="84"/>
      <c r="BC193" s="77"/>
      <c r="BD193" s="77"/>
      <c r="BE193" s="77"/>
    </row>
    <row r="194" spans="1:57" s="17" customFormat="1">
      <c r="A194" s="16" t="s">
        <v>242</v>
      </c>
      <c r="B194" s="6">
        <v>608</v>
      </c>
      <c r="C194" s="17" t="s">
        <v>87</v>
      </c>
      <c r="D194" s="6">
        <v>-30</v>
      </c>
      <c r="E194" s="73">
        <v>0.15</v>
      </c>
      <c r="F194" s="104">
        <v>0.55000000000000004</v>
      </c>
      <c r="G194" s="234">
        <v>7.5854000000000005E-2</v>
      </c>
      <c r="H194" s="77">
        <v>1.1636</v>
      </c>
      <c r="I194" s="77">
        <v>8.5000000000000006E-2</v>
      </c>
      <c r="J194" s="234">
        <v>7.5854000000000005E-2</v>
      </c>
      <c r="K194" s="77">
        <v>1.1636</v>
      </c>
      <c r="L194" s="234">
        <v>8.3412E-2</v>
      </c>
      <c r="M194" s="77">
        <v>1.2190000000000001</v>
      </c>
      <c r="N194" s="77">
        <v>0</v>
      </c>
      <c r="O194" s="77">
        <v>0</v>
      </c>
      <c r="P194" s="77">
        <v>8.5000000000000006E-2</v>
      </c>
      <c r="Q194" s="37">
        <v>0.1812</v>
      </c>
      <c r="R194" s="14">
        <f t="shared" si="82"/>
        <v>1.747073570663084</v>
      </c>
      <c r="S194">
        <f t="shared" si="83"/>
        <v>4.3417747983681303E-2</v>
      </c>
      <c r="T194">
        <f t="shared" si="84"/>
        <v>0.79986207026174383</v>
      </c>
      <c r="U194">
        <f t="shared" si="85"/>
        <v>0.8240933585439657</v>
      </c>
      <c r="V194">
        <f t="shared" si="86"/>
        <v>0.65916101985392994</v>
      </c>
      <c r="W194">
        <f t="shared" si="87"/>
        <v>2.6190533156405537E-3</v>
      </c>
      <c r="X194">
        <f t="shared" si="88"/>
        <v>3.6035289237941012E-2</v>
      </c>
      <c r="Y194">
        <f t="shared" si="89"/>
        <v>6.5966529950625956E-4</v>
      </c>
      <c r="Z194" s="79"/>
      <c r="AA194" s="230">
        <f t="shared" si="72"/>
        <v>0.31481215744752705</v>
      </c>
      <c r="AB194">
        <f t="shared" si="73"/>
        <v>3.5964056767196513</v>
      </c>
      <c r="AC194">
        <v>4.1120597018245189</v>
      </c>
      <c r="AD194">
        <f t="shared" si="74"/>
        <v>-0.49999999999999994</v>
      </c>
      <c r="AE194">
        <f t="shared" si="75"/>
        <v>4.3120271175922653E-7</v>
      </c>
      <c r="AF194">
        <f t="shared" si="76"/>
        <v>1.5279898062743933</v>
      </c>
      <c r="AG194">
        <f t="shared" si="77"/>
        <v>6.2481641370086338</v>
      </c>
      <c r="AH194">
        <f t="shared" si="78"/>
        <v>1.0056050336391642</v>
      </c>
      <c r="AI194">
        <f t="shared" si="79"/>
        <v>1.1061655370030807</v>
      </c>
      <c r="AJ194">
        <f t="shared" si="80"/>
        <v>0.86207151925015579</v>
      </c>
      <c r="AK194">
        <f t="shared" si="81"/>
        <v>-20.627992150559994</v>
      </c>
      <c r="AL194" s="73"/>
      <c r="AM194" s="73"/>
      <c r="AR194" s="37"/>
      <c r="AS194" s="37"/>
      <c r="AT194" s="37"/>
      <c r="AU194" s="37"/>
      <c r="AV194" s="37"/>
      <c r="AW194" s="37"/>
      <c r="AX194" s="77"/>
      <c r="AY194" s="37"/>
      <c r="AZ194" s="37"/>
      <c r="BA194" s="37"/>
      <c r="BB194" s="84"/>
      <c r="BC194" s="77"/>
      <c r="BD194" s="77"/>
      <c r="BE194" s="77"/>
    </row>
    <row r="195" spans="1:57" s="17" customFormat="1">
      <c r="A195" s="16" t="s">
        <v>242</v>
      </c>
      <c r="B195" s="6">
        <v>609</v>
      </c>
      <c r="C195" s="17" t="s">
        <v>88</v>
      </c>
      <c r="D195" s="6">
        <v>-30</v>
      </c>
      <c r="E195" s="73">
        <v>0.15</v>
      </c>
      <c r="F195" s="104">
        <v>0.55000000000000004</v>
      </c>
      <c r="G195" s="234">
        <v>0.10797</v>
      </c>
      <c r="H195" s="77">
        <v>1.8286</v>
      </c>
      <c r="I195" s="77">
        <v>2.9695</v>
      </c>
      <c r="J195" s="234">
        <v>0.10797</v>
      </c>
      <c r="K195" s="77">
        <v>1.8286</v>
      </c>
      <c r="L195" s="234">
        <v>0.12126000000000001</v>
      </c>
      <c r="M195" s="77">
        <v>1.9692000000000001</v>
      </c>
      <c r="N195" s="77">
        <v>5.8299999999999998E-2</v>
      </c>
      <c r="O195" s="77">
        <v>3.04E-2</v>
      </c>
      <c r="P195" s="77">
        <v>2.9695</v>
      </c>
      <c r="Q195" s="37">
        <v>3.6044</v>
      </c>
      <c r="R195" s="14">
        <f t="shared" si="82"/>
        <v>4.3146065612227682</v>
      </c>
      <c r="S195">
        <f t="shared" si="83"/>
        <v>2.5024297921013933E-2</v>
      </c>
      <c r="T195">
        <f t="shared" si="84"/>
        <v>1.0535806813299875</v>
      </c>
      <c r="U195">
        <f t="shared" si="85"/>
        <v>0.4395407088651257</v>
      </c>
      <c r="V195">
        <f t="shared" si="86"/>
        <v>0.4630915995183848</v>
      </c>
      <c r="W195">
        <f t="shared" si="87"/>
        <v>2.1433358618926712E-2</v>
      </c>
      <c r="X195">
        <f t="shared" si="88"/>
        <v>5.9996078862821357E-2</v>
      </c>
      <c r="Y195">
        <f t="shared" si="89"/>
        <v>1.0302637666852937E-2</v>
      </c>
      <c r="Z195" s="79"/>
      <c r="AA195" s="230">
        <f t="shared" si="72"/>
        <v>0.12747396366173627</v>
      </c>
      <c r="AB195">
        <f t="shared" si="73"/>
        <v>1.4562591555043014</v>
      </c>
      <c r="AC195">
        <v>2.0453457137966113</v>
      </c>
      <c r="AD195">
        <f t="shared" si="74"/>
        <v>-0.49999999999999994</v>
      </c>
      <c r="AE195">
        <f t="shared" si="75"/>
        <v>6.6586675298574427E-7</v>
      </c>
      <c r="AF195">
        <f t="shared" si="76"/>
        <v>3.0719429311129085</v>
      </c>
      <c r="AG195">
        <f t="shared" si="77"/>
        <v>3.9330711984141562</v>
      </c>
      <c r="AH195">
        <f t="shared" si="78"/>
        <v>1.5975264596565182</v>
      </c>
      <c r="AI195">
        <f t="shared" si="79"/>
        <v>1.7572791056221702</v>
      </c>
      <c r="AJ195">
        <f t="shared" si="80"/>
        <v>1.4788080502758523</v>
      </c>
      <c r="AK195">
        <f t="shared" si="81"/>
        <v>-24.713092130392049</v>
      </c>
      <c r="AL195" s="73"/>
      <c r="AM195" s="73"/>
      <c r="AR195" s="37"/>
      <c r="AS195" s="37"/>
      <c r="AT195" s="37"/>
      <c r="AU195" s="37"/>
      <c r="AV195" s="37"/>
      <c r="AW195" s="37"/>
      <c r="AX195" s="77"/>
      <c r="AY195" s="37"/>
      <c r="AZ195" s="37"/>
      <c r="BA195" s="37"/>
      <c r="BB195" s="77"/>
      <c r="BC195" s="77"/>
      <c r="BD195" s="77"/>
      <c r="BE195" s="77"/>
    </row>
    <row r="196" spans="1:57" s="17" customFormat="1">
      <c r="A196" s="16" t="s">
        <v>242</v>
      </c>
      <c r="B196" s="6">
        <v>610</v>
      </c>
      <c r="C196" s="17" t="s">
        <v>89</v>
      </c>
      <c r="D196" s="6">
        <v>-30</v>
      </c>
      <c r="E196" s="73">
        <v>0.15</v>
      </c>
      <c r="F196" s="104">
        <v>0.55000000000000004</v>
      </c>
      <c r="G196" s="234">
        <v>0.10682</v>
      </c>
      <c r="H196" s="77">
        <v>1.3473999999999999</v>
      </c>
      <c r="I196" s="77">
        <v>0.58689999999999998</v>
      </c>
      <c r="J196" s="234">
        <v>0.10682</v>
      </c>
      <c r="K196" s="77">
        <v>1.3473999999999999</v>
      </c>
      <c r="L196" s="234">
        <v>0.11890000000000001</v>
      </c>
      <c r="M196" s="77">
        <v>1.3473999999999999</v>
      </c>
      <c r="N196" s="77">
        <v>0</v>
      </c>
      <c r="O196" s="77">
        <v>0</v>
      </c>
      <c r="P196" s="77">
        <v>0.58689999999999998</v>
      </c>
      <c r="Q196" s="37">
        <v>0.80640000000000001</v>
      </c>
      <c r="R196" s="14">
        <f t="shared" si="82"/>
        <v>2.3425930729291196</v>
      </c>
      <c r="S196">
        <f t="shared" si="83"/>
        <v>4.5599042033550863E-2</v>
      </c>
      <c r="T196">
        <f t="shared" si="84"/>
        <v>0.78049637470916988</v>
      </c>
      <c r="U196">
        <f t="shared" si="85"/>
        <v>0.5997172495348766</v>
      </c>
      <c r="V196">
        <f t="shared" si="86"/>
        <v>0.4680771391125258</v>
      </c>
      <c r="W196">
        <f t="shared" si="87"/>
        <v>7.4193409675528E-3</v>
      </c>
      <c r="X196">
        <f t="shared" si="88"/>
        <v>5.9223404192658771E-2</v>
      </c>
      <c r="Y196">
        <f t="shared" si="89"/>
        <v>2.7931991837766342E-3</v>
      </c>
      <c r="Z196" s="79"/>
      <c r="AA196" s="230">
        <f t="shared" si="72"/>
        <v>0.23478256055469926</v>
      </c>
      <c r="AB196">
        <f t="shared" si="73"/>
        <v>2.6821496997441594</v>
      </c>
      <c r="AC196">
        <v>3.1904396012337415</v>
      </c>
      <c r="AD196">
        <f t="shared" si="74"/>
        <v>-0.49999999999999994</v>
      </c>
      <c r="AE196">
        <f t="shared" si="75"/>
        <v>3.5005375437213715E-7</v>
      </c>
      <c r="AF196">
        <f t="shared" si="76"/>
        <v>1.9693791741896263</v>
      </c>
      <c r="AG196">
        <f t="shared" si="77"/>
        <v>5.3687948519093442</v>
      </c>
      <c r="AH196">
        <f t="shared" si="78"/>
        <v>1.1703157748605444</v>
      </c>
      <c r="AI196">
        <f t="shared" si="79"/>
        <v>1.287347352346599</v>
      </c>
      <c r="AJ196">
        <f t="shared" si="80"/>
        <v>1.0627089627601423</v>
      </c>
      <c r="AK196">
        <f t="shared" si="81"/>
        <v>-22.507443651404305</v>
      </c>
      <c r="AL196" s="73"/>
      <c r="AM196" s="73"/>
      <c r="AR196" s="37"/>
      <c r="AS196" s="37"/>
      <c r="AT196" s="37"/>
      <c r="AU196" s="37"/>
      <c r="AV196" s="37"/>
      <c r="AW196" s="37"/>
      <c r="AX196" s="77"/>
      <c r="AY196" s="37"/>
      <c r="AZ196" s="37"/>
      <c r="BA196" s="37"/>
      <c r="BB196" s="77"/>
      <c r="BC196" s="77"/>
      <c r="BD196" s="77"/>
      <c r="BE196" s="77"/>
    </row>
    <row r="197" spans="1:57" s="17" customFormat="1">
      <c r="A197" s="16" t="s">
        <v>242</v>
      </c>
      <c r="B197" s="6">
        <v>611</v>
      </c>
      <c r="C197" s="17" t="s">
        <v>90</v>
      </c>
      <c r="D197" s="6">
        <v>-30</v>
      </c>
      <c r="E197" s="73">
        <v>0.15</v>
      </c>
      <c r="F197" s="104">
        <v>0.55000000000000004</v>
      </c>
      <c r="G197" s="234">
        <v>0.13531000000000001</v>
      </c>
      <c r="H197" s="77">
        <v>2.1333000000000002</v>
      </c>
      <c r="I197" s="77">
        <v>6.4911000000000003</v>
      </c>
      <c r="J197" s="234">
        <v>0.13531000000000001</v>
      </c>
      <c r="K197" s="77">
        <v>2.1333000000000002</v>
      </c>
      <c r="L197" s="234">
        <v>0.14968999999999999</v>
      </c>
      <c r="M197" s="77">
        <v>2.1333000000000002</v>
      </c>
      <c r="N197" s="77">
        <v>0.39219999999999999</v>
      </c>
      <c r="O197" s="77">
        <v>0.17480000000000001</v>
      </c>
      <c r="P197" s="77">
        <v>6.4911000000000003</v>
      </c>
      <c r="Q197" s="77">
        <v>6.3955000000000002</v>
      </c>
      <c r="R197" s="14">
        <f t="shared" si="82"/>
        <v>5.872291900839822</v>
      </c>
      <c r="S197">
        <f t="shared" si="83"/>
        <v>2.3042110692870831E-2</v>
      </c>
      <c r="T197">
        <f t="shared" si="84"/>
        <v>1.0979627854501646</v>
      </c>
      <c r="U197">
        <f t="shared" si="85"/>
        <v>0.3365522435163098</v>
      </c>
      <c r="V197">
        <f t="shared" si="86"/>
        <v>0.36952183874066957</v>
      </c>
      <c r="W197">
        <f t="shared" si="87"/>
        <v>3.6430474895918441E-2</v>
      </c>
      <c r="X197">
        <f t="shared" si="88"/>
        <v>7.6520645927194875E-2</v>
      </c>
      <c r="Y197">
        <f t="shared" si="89"/>
        <v>1.5403640917247866E-2</v>
      </c>
      <c r="Z197" s="79"/>
      <c r="AA197" s="230">
        <f t="shared" si="72"/>
        <v>9.3660194228652391E-2</v>
      </c>
      <c r="AB197">
        <f t="shared" si="73"/>
        <v>1.0699715568091908</v>
      </c>
      <c r="AC197">
        <v>1.682459825121227</v>
      </c>
      <c r="AD197">
        <f t="shared" si="74"/>
        <v>-0.49999999999999994</v>
      </c>
      <c r="AE197">
        <f t="shared" si="75"/>
        <v>1.5903230909941612E-7</v>
      </c>
      <c r="AF197">
        <f t="shared" si="76"/>
        <v>3.7345232339957128</v>
      </c>
      <c r="AG197">
        <f t="shared" si="77"/>
        <v>3.3660026920878465</v>
      </c>
      <c r="AH197">
        <f t="shared" si="78"/>
        <v>1.8666608086645007</v>
      </c>
      <c r="AI197">
        <f t="shared" si="79"/>
        <v>2.0533268895309509</v>
      </c>
      <c r="AJ197">
        <f t="shared" si="80"/>
        <v>1.6485207908835042</v>
      </c>
      <c r="AK197">
        <f t="shared" si="81"/>
        <v>-25.280583655823317</v>
      </c>
      <c r="AL197" s="73"/>
      <c r="AM197" s="73"/>
      <c r="AR197" s="77"/>
      <c r="AS197" s="77"/>
      <c r="AT197" s="77"/>
      <c r="AU197" s="77"/>
      <c r="AV197" s="77"/>
      <c r="AW197" s="77"/>
      <c r="AX197" s="77"/>
      <c r="AY197" s="77"/>
      <c r="AZ197" s="77"/>
      <c r="BA197" s="77"/>
      <c r="BB197" s="77"/>
      <c r="BC197" s="77"/>
      <c r="BD197" s="77"/>
      <c r="BE197" s="77"/>
    </row>
    <row r="198" spans="1:57" s="17" customFormat="1" ht="13.5" thickBot="1">
      <c r="A198" s="115" t="s">
        <v>242</v>
      </c>
      <c r="B198" s="116">
        <v>612</v>
      </c>
      <c r="C198" s="147" t="s">
        <v>91</v>
      </c>
      <c r="D198" s="6">
        <v>-30</v>
      </c>
      <c r="E198" s="118">
        <v>0.15</v>
      </c>
      <c r="F198" s="120">
        <v>0.55000000000000004</v>
      </c>
      <c r="G198" s="238">
        <v>0.13369</v>
      </c>
      <c r="H198" s="151">
        <v>1.5059</v>
      </c>
      <c r="I198" s="126">
        <v>2.0335000000000001</v>
      </c>
      <c r="J198" s="238">
        <v>0.13369</v>
      </c>
      <c r="K198" s="151">
        <v>1.5059</v>
      </c>
      <c r="L198" s="238">
        <v>0.14191999999999999</v>
      </c>
      <c r="M198" s="151">
        <v>1.5059</v>
      </c>
      <c r="N198" s="151">
        <v>0</v>
      </c>
      <c r="O198" s="151">
        <v>0</v>
      </c>
      <c r="P198" s="151">
        <v>2.0335000000000001</v>
      </c>
      <c r="Q198" s="151">
        <v>2.5192000000000001</v>
      </c>
      <c r="R198" s="14">
        <f t="shared" si="82"/>
        <v>2.9261462954134876</v>
      </c>
      <c r="S198">
        <f t="shared" si="83"/>
        <v>4.5688077937028969E-2</v>
      </c>
      <c r="T198">
        <f t="shared" si="84"/>
        <v>0.77973549690183852</v>
      </c>
      <c r="U198">
        <f t="shared" si="85"/>
        <v>0.47964925630110394</v>
      </c>
      <c r="V198">
        <f t="shared" si="86"/>
        <v>0.37399955120053857</v>
      </c>
      <c r="W198">
        <f t="shared" si="87"/>
        <v>1.311082025877359E-2</v>
      </c>
      <c r="X198">
        <f t="shared" si="88"/>
        <v>7.563495419640133E-2</v>
      </c>
      <c r="Y198">
        <f t="shared" si="89"/>
        <v>6.9188837506257792E-3</v>
      </c>
      <c r="Z198" s="79"/>
      <c r="AA198" s="230">
        <f t="shared" si="72"/>
        <v>0.18796052708030467</v>
      </c>
      <c r="AB198">
        <f t="shared" si="73"/>
        <v>2.1472560401467291</v>
      </c>
      <c r="AC198">
        <v>2.6830077868624125</v>
      </c>
      <c r="AD198">
        <f t="shared" si="74"/>
        <v>-0.49999999999999994</v>
      </c>
      <c r="AE198">
        <f t="shared" si="75"/>
        <v>5.619737947493153E-7</v>
      </c>
      <c r="AF198">
        <f t="shared" si="76"/>
        <v>2.341843858204872</v>
      </c>
      <c r="AG198">
        <f t="shared" si="77"/>
        <v>4.7908428787712269</v>
      </c>
      <c r="AH198">
        <f t="shared" si="78"/>
        <v>1.3114989295560284</v>
      </c>
      <c r="AI198">
        <f t="shared" si="79"/>
        <v>1.4426488225116314</v>
      </c>
      <c r="AJ198">
        <f t="shared" si="80"/>
        <v>1.2218382039075961</v>
      </c>
      <c r="AK198">
        <f t="shared" si="81"/>
        <v>-23.537579254733192</v>
      </c>
      <c r="AL198" s="73"/>
      <c r="AM198" s="73"/>
      <c r="AR198" s="77"/>
      <c r="AS198" s="77"/>
      <c r="AT198" s="77"/>
      <c r="AU198" s="77"/>
      <c r="AV198" s="77"/>
      <c r="AW198" s="77"/>
      <c r="AX198" s="77"/>
      <c r="AY198" s="77"/>
      <c r="AZ198" s="77"/>
      <c r="BA198" s="77"/>
      <c r="BB198" s="77"/>
      <c r="BC198" s="77"/>
      <c r="BD198" s="77"/>
      <c r="BE198" s="77"/>
    </row>
    <row r="199" spans="1:57">
      <c r="D199" s="6">
        <v>-30</v>
      </c>
      <c r="E199" s="73">
        <v>0.15</v>
      </c>
      <c r="F199" s="104">
        <v>0.55000000000000004</v>
      </c>
      <c r="G199" s="234">
        <v>8.3767999999999995E-2</v>
      </c>
      <c r="H199" s="77">
        <v>1.7067000000000001</v>
      </c>
      <c r="I199" s="77">
        <v>1.2491000000000001</v>
      </c>
      <c r="J199" s="77"/>
      <c r="K199" s="77"/>
      <c r="L199" s="77"/>
      <c r="M199" s="77"/>
      <c r="N199" s="77"/>
      <c r="O199" s="77"/>
      <c r="P199" s="77"/>
      <c r="Q199" s="77"/>
      <c r="R199" s="14">
        <f t="shared" si="82"/>
        <v>3.758531078447263</v>
      </c>
      <c r="S199">
        <f t="shared" si="83"/>
        <v>2.2287430448654565E-2</v>
      </c>
      <c r="T199">
        <f t="shared" si="84"/>
        <v>1.1163972272148475</v>
      </c>
      <c r="U199">
        <f t="shared" si="85"/>
        <v>0.53465435486485402</v>
      </c>
      <c r="V199">
        <f t="shared" si="86"/>
        <v>0.59688663928946617</v>
      </c>
      <c r="W199">
        <f t="shared" si="87"/>
        <v>1.445544134565953E-2</v>
      </c>
      <c r="X199">
        <f t="shared" si="88"/>
        <v>4.2368794156661636E-2</v>
      </c>
      <c r="Y199">
        <f t="shared" si="89"/>
        <v>5.9847882197198625E-3</v>
      </c>
      <c r="AA199" s="230">
        <f t="shared" si="72"/>
        <v>0.14633376404784657</v>
      </c>
      <c r="AB199">
        <f t="shared" si="73"/>
        <v>1.6717130112903886</v>
      </c>
      <c r="AC199">
        <v>2.2438307595888163</v>
      </c>
      <c r="AD199">
        <f t="shared" si="74"/>
        <v>-0.49999999999999994</v>
      </c>
      <c r="AE199">
        <f t="shared" si="75"/>
        <v>6.0060992032595628E-7</v>
      </c>
      <c r="AF199">
        <f t="shared" si="76"/>
        <v>2.8002046412497639</v>
      </c>
      <c r="AG199">
        <f t="shared" si="77"/>
        <v>4.2179180932576097</v>
      </c>
      <c r="AH199">
        <f t="shared" si="78"/>
        <v>1.4896413747870851</v>
      </c>
      <c r="AI199">
        <f t="shared" si="79"/>
        <v>1.6386055122657939</v>
      </c>
      <c r="AJ199">
        <f t="shared" si="80"/>
        <v>1.3922967667789881</v>
      </c>
      <c r="AK199">
        <f t="shared" si="81"/>
        <v>-24.368047294793374</v>
      </c>
    </row>
    <row r="200" spans="1:57">
      <c r="D200" s="6">
        <v>-30</v>
      </c>
      <c r="E200" s="118">
        <v>0.15</v>
      </c>
      <c r="F200" s="120">
        <v>0.55000000000000004</v>
      </c>
      <c r="G200" s="234">
        <v>7.5854000000000005E-2</v>
      </c>
      <c r="H200" s="77">
        <v>1.1636</v>
      </c>
      <c r="I200" s="37">
        <v>0.1812</v>
      </c>
      <c r="J200" s="37"/>
      <c r="K200" s="37"/>
      <c r="L200" s="37"/>
      <c r="M200" s="37"/>
      <c r="N200" s="37"/>
      <c r="O200" s="37"/>
      <c r="P200" s="37"/>
      <c r="Q200" s="37"/>
      <c r="R200" s="14">
        <f t="shared" si="82"/>
        <v>1.747073570663084</v>
      </c>
      <c r="S200">
        <f t="shared" si="83"/>
        <v>4.3417747983681303E-2</v>
      </c>
      <c r="T200">
        <f t="shared" si="84"/>
        <v>0.79986207026174383</v>
      </c>
      <c r="U200">
        <f t="shared" si="85"/>
        <v>0.8240933585439657</v>
      </c>
      <c r="V200">
        <f t="shared" si="86"/>
        <v>0.65916101985392994</v>
      </c>
      <c r="W200">
        <f t="shared" si="87"/>
        <v>2.6190533156405537E-3</v>
      </c>
      <c r="X200">
        <f t="shared" si="88"/>
        <v>3.6035289237941012E-2</v>
      </c>
      <c r="Y200">
        <f t="shared" si="89"/>
        <v>1.4062512031827556E-3</v>
      </c>
      <c r="AA200" s="230">
        <f t="shared" ref="AA200:AA263" si="91">F200/R200</f>
        <v>0.31481215744752705</v>
      </c>
      <c r="AB200">
        <f t="shared" ref="AB200:AB263" si="92">2*PI()/R200</f>
        <v>3.5964056767196513</v>
      </c>
      <c r="AC200">
        <v>4.1120597018245189</v>
      </c>
      <c r="AD200">
        <f t="shared" ref="AD200:AD263" si="93">SIN(D200*PI()/180)</f>
        <v>-0.49999999999999994</v>
      </c>
      <c r="AE200">
        <f t="shared" ref="AE200:AE263" si="94">(9.81*AC200*TANH(AC200*0.5))^0.5-2*PI()/(H200/1.1)+AC200*E200*AD200</f>
        <v>4.3120271175922653E-7</v>
      </c>
      <c r="AF200">
        <f t="shared" ref="AF200:AF263" si="95">2*PI()/AC200</f>
        <v>1.5279898062743933</v>
      </c>
      <c r="AG200">
        <f t="shared" ref="AG200:AG263" si="96">(9.81*AC200*TANH(AC200*0.5))^0.5</f>
        <v>6.2481641370086338</v>
      </c>
      <c r="AH200">
        <f t="shared" ref="AH200:AH263" si="97">2*PI()/AG200</f>
        <v>1.0056050336391642</v>
      </c>
      <c r="AI200">
        <f t="shared" ref="AI200:AI263" si="98">AH200*1.1</f>
        <v>1.1061655370030807</v>
      </c>
      <c r="AJ200">
        <f t="shared" ref="AJ200:AJ263" si="99">0.5*AG200/AC200*(1+2*AC200*0.5/SINH(2*AC200*0.5))</f>
        <v>0.86207151925015579</v>
      </c>
      <c r="AK200">
        <f t="shared" ref="AK200:AK263" si="100">ATAN((AJ200*SIN(D200*PI()/180)+E200)/(AJ200*COS(D200*PI()/180)))*180/PI()</f>
        <v>-20.627992150559994</v>
      </c>
    </row>
    <row r="201" spans="1:57">
      <c r="D201" s="6">
        <v>-30</v>
      </c>
      <c r="E201" s="73">
        <v>0.15</v>
      </c>
      <c r="F201" s="104">
        <v>0.55000000000000004</v>
      </c>
      <c r="G201" s="234">
        <v>0.10797</v>
      </c>
      <c r="H201" s="77">
        <v>1.8286</v>
      </c>
      <c r="I201" s="37">
        <v>3.6044</v>
      </c>
      <c r="J201" s="37"/>
      <c r="K201" s="37"/>
      <c r="L201" s="37"/>
      <c r="M201" s="37"/>
      <c r="N201" s="37"/>
      <c r="O201" s="37"/>
      <c r="P201" s="37"/>
      <c r="Q201" s="37"/>
      <c r="R201" s="14">
        <f t="shared" si="82"/>
        <v>4.3146065612227682</v>
      </c>
      <c r="S201">
        <f t="shared" si="83"/>
        <v>2.5024297921013933E-2</v>
      </c>
      <c r="T201">
        <f t="shared" si="84"/>
        <v>1.0535806813299875</v>
      </c>
      <c r="U201">
        <f t="shared" si="85"/>
        <v>0.4395407088651257</v>
      </c>
      <c r="V201">
        <f t="shared" si="86"/>
        <v>0.4630915995183848</v>
      </c>
      <c r="W201">
        <f t="shared" si="87"/>
        <v>2.1433358618926712E-2</v>
      </c>
      <c r="X201">
        <f t="shared" si="88"/>
        <v>5.9996078862821357E-2</v>
      </c>
      <c r="Y201">
        <f t="shared" si="89"/>
        <v>1.2505414112276387E-2</v>
      </c>
      <c r="AA201" s="230">
        <f t="shared" si="91"/>
        <v>0.12747396366173627</v>
      </c>
      <c r="AB201">
        <f t="shared" si="92"/>
        <v>1.4562591555043014</v>
      </c>
      <c r="AC201">
        <v>2.0453457137966113</v>
      </c>
      <c r="AD201">
        <f t="shared" si="93"/>
        <v>-0.49999999999999994</v>
      </c>
      <c r="AE201">
        <f t="shared" si="94"/>
        <v>6.6586675298574427E-7</v>
      </c>
      <c r="AF201">
        <f t="shared" si="95"/>
        <v>3.0719429311129085</v>
      </c>
      <c r="AG201">
        <f t="shared" si="96"/>
        <v>3.9330711984141562</v>
      </c>
      <c r="AH201">
        <f t="shared" si="97"/>
        <v>1.5975264596565182</v>
      </c>
      <c r="AI201">
        <f t="shared" si="98"/>
        <v>1.7572791056221702</v>
      </c>
      <c r="AJ201">
        <f t="shared" si="99"/>
        <v>1.4788080502758523</v>
      </c>
      <c r="AK201">
        <f t="shared" si="100"/>
        <v>-24.713092130392049</v>
      </c>
    </row>
    <row r="202" spans="1:57">
      <c r="D202" s="6">
        <v>-30</v>
      </c>
      <c r="E202" s="118">
        <v>0.15</v>
      </c>
      <c r="F202" s="120">
        <v>0.55000000000000004</v>
      </c>
      <c r="G202" s="234">
        <v>0.10682</v>
      </c>
      <c r="H202" s="77">
        <v>1.3473999999999999</v>
      </c>
      <c r="I202" s="37">
        <v>0.80640000000000001</v>
      </c>
      <c r="J202" s="37"/>
      <c r="K202" s="37"/>
      <c r="L202" s="37"/>
      <c r="M202" s="37"/>
      <c r="N202" s="37"/>
      <c r="O202" s="37"/>
      <c r="P202" s="37"/>
      <c r="Q202" s="37"/>
      <c r="R202" s="14">
        <f t="shared" si="82"/>
        <v>2.3425930729291196</v>
      </c>
      <c r="S202">
        <f t="shared" si="83"/>
        <v>4.5599042033550863E-2</v>
      </c>
      <c r="T202">
        <f t="shared" si="84"/>
        <v>0.78049637470916988</v>
      </c>
      <c r="U202">
        <f t="shared" si="85"/>
        <v>0.5997172495348766</v>
      </c>
      <c r="V202">
        <f t="shared" si="86"/>
        <v>0.4680771391125258</v>
      </c>
      <c r="W202">
        <f t="shared" si="87"/>
        <v>7.4193409675528E-3</v>
      </c>
      <c r="X202">
        <f t="shared" si="88"/>
        <v>5.9223404192658771E-2</v>
      </c>
      <c r="Y202">
        <f t="shared" si="89"/>
        <v>3.8378528229638404E-3</v>
      </c>
      <c r="AA202" s="230">
        <f t="shared" si="91"/>
        <v>0.23478256055469926</v>
      </c>
      <c r="AB202">
        <f t="shared" si="92"/>
        <v>2.6821496997441594</v>
      </c>
      <c r="AC202">
        <v>3.1904396012337415</v>
      </c>
      <c r="AD202">
        <f t="shared" si="93"/>
        <v>-0.49999999999999994</v>
      </c>
      <c r="AE202">
        <f t="shared" si="94"/>
        <v>3.5005375437213715E-7</v>
      </c>
      <c r="AF202">
        <f t="shared" si="95"/>
        <v>1.9693791741896263</v>
      </c>
      <c r="AG202">
        <f t="shared" si="96"/>
        <v>5.3687948519093442</v>
      </c>
      <c r="AH202">
        <f t="shared" si="97"/>
        <v>1.1703157748605444</v>
      </c>
      <c r="AI202">
        <f t="shared" si="98"/>
        <v>1.287347352346599</v>
      </c>
      <c r="AJ202">
        <f t="shared" si="99"/>
        <v>1.0627089627601423</v>
      </c>
      <c r="AK202">
        <f t="shared" si="100"/>
        <v>-22.507443651404305</v>
      </c>
    </row>
    <row r="203" spans="1:57">
      <c r="D203" s="6">
        <v>-30</v>
      </c>
      <c r="E203" s="73">
        <v>0.15</v>
      </c>
      <c r="F203" s="104">
        <v>0.55000000000000004</v>
      </c>
      <c r="G203" s="234">
        <v>0.13531000000000001</v>
      </c>
      <c r="H203" s="77">
        <v>2.1333000000000002</v>
      </c>
      <c r="I203" s="77">
        <v>6.3955000000000002</v>
      </c>
      <c r="J203" s="77"/>
      <c r="K203" s="77"/>
      <c r="L203" s="77"/>
      <c r="M203" s="77"/>
      <c r="N203" s="77"/>
      <c r="O203" s="77"/>
      <c r="P203" s="77"/>
      <c r="Q203" s="77"/>
      <c r="R203" s="14">
        <f t="shared" si="82"/>
        <v>5.872291900839822</v>
      </c>
      <c r="S203">
        <f t="shared" si="83"/>
        <v>2.3042110692870831E-2</v>
      </c>
      <c r="T203">
        <f t="shared" si="84"/>
        <v>1.0979627854501646</v>
      </c>
      <c r="U203">
        <f t="shared" si="85"/>
        <v>0.3365522435163098</v>
      </c>
      <c r="V203">
        <f t="shared" si="86"/>
        <v>0.36952183874066957</v>
      </c>
      <c r="W203">
        <f t="shared" si="87"/>
        <v>3.6430474895918441E-2</v>
      </c>
      <c r="X203">
        <f t="shared" si="88"/>
        <v>7.6520645927194875E-2</v>
      </c>
      <c r="Y203">
        <f t="shared" si="89"/>
        <v>1.5176778278914008E-2</v>
      </c>
      <c r="AA203" s="230">
        <f t="shared" si="91"/>
        <v>9.3660194228652391E-2</v>
      </c>
      <c r="AB203">
        <f t="shared" si="92"/>
        <v>1.0699715568091908</v>
      </c>
      <c r="AC203">
        <v>1.682459825121227</v>
      </c>
      <c r="AD203">
        <f t="shared" si="93"/>
        <v>-0.49999999999999994</v>
      </c>
      <c r="AE203">
        <f t="shared" si="94"/>
        <v>1.5903230909941612E-7</v>
      </c>
      <c r="AF203">
        <f t="shared" si="95"/>
        <v>3.7345232339957128</v>
      </c>
      <c r="AG203">
        <f t="shared" si="96"/>
        <v>3.3660026920878465</v>
      </c>
      <c r="AH203">
        <f t="shared" si="97"/>
        <v>1.8666608086645007</v>
      </c>
      <c r="AI203">
        <f t="shared" si="98"/>
        <v>2.0533268895309509</v>
      </c>
      <c r="AJ203">
        <f t="shared" si="99"/>
        <v>1.6485207908835042</v>
      </c>
      <c r="AK203">
        <f t="shared" si="100"/>
        <v>-25.280583655823317</v>
      </c>
    </row>
    <row r="204" spans="1:57" ht="13.5" thickBot="1">
      <c r="D204" s="6">
        <v>-30</v>
      </c>
      <c r="E204" s="118">
        <v>0.15</v>
      </c>
      <c r="F204" s="120">
        <v>0.55000000000000004</v>
      </c>
      <c r="G204" s="238">
        <v>0.13369</v>
      </c>
      <c r="H204" s="151">
        <v>1.5059</v>
      </c>
      <c r="I204" s="126">
        <v>2.5192000000000001</v>
      </c>
      <c r="J204" s="77"/>
      <c r="K204" s="77"/>
      <c r="L204" s="77"/>
      <c r="M204" s="77"/>
      <c r="N204" s="77"/>
      <c r="O204" s="77"/>
      <c r="P204" s="77"/>
      <c r="Q204" s="77"/>
      <c r="R204" s="14">
        <f t="shared" si="82"/>
        <v>2.9261462954134876</v>
      </c>
      <c r="S204">
        <f t="shared" si="83"/>
        <v>4.5688077937028969E-2</v>
      </c>
      <c r="T204">
        <f t="shared" si="84"/>
        <v>0.77973549690183852</v>
      </c>
      <c r="U204">
        <f t="shared" si="85"/>
        <v>0.47964925630110394</v>
      </c>
      <c r="V204">
        <f t="shared" si="86"/>
        <v>0.37399955120053857</v>
      </c>
      <c r="W204">
        <f t="shared" si="87"/>
        <v>1.311082025877359E-2</v>
      </c>
      <c r="X204">
        <f t="shared" si="88"/>
        <v>7.563495419640133E-2</v>
      </c>
      <c r="Y204">
        <f t="shared" si="89"/>
        <v>8.5714541158477802E-3</v>
      </c>
      <c r="AA204" s="230">
        <f t="shared" si="91"/>
        <v>0.18796052708030467</v>
      </c>
      <c r="AB204">
        <f t="shared" si="92"/>
        <v>2.1472560401467291</v>
      </c>
      <c r="AC204">
        <v>2.6830077868624125</v>
      </c>
      <c r="AD204">
        <f t="shared" si="93"/>
        <v>-0.49999999999999994</v>
      </c>
      <c r="AE204">
        <f t="shared" si="94"/>
        <v>5.619737947493153E-7</v>
      </c>
      <c r="AF204">
        <f t="shared" si="95"/>
        <v>2.341843858204872</v>
      </c>
      <c r="AG204">
        <f t="shared" si="96"/>
        <v>4.7908428787712269</v>
      </c>
      <c r="AH204">
        <f t="shared" si="97"/>
        <v>1.3114989295560284</v>
      </c>
      <c r="AI204">
        <f t="shared" si="98"/>
        <v>1.4426488225116314</v>
      </c>
      <c r="AJ204">
        <f t="shared" si="99"/>
        <v>1.2218382039075961</v>
      </c>
      <c r="AK204">
        <f t="shared" si="100"/>
        <v>-23.537579254733192</v>
      </c>
    </row>
    <row r="205" spans="1:57">
      <c r="D205" s="6">
        <v>-30</v>
      </c>
      <c r="E205" s="73">
        <v>0.15</v>
      </c>
      <c r="F205" s="104">
        <v>0.55000000000000004</v>
      </c>
      <c r="G205" s="234">
        <v>0.12126000000000001</v>
      </c>
      <c r="H205" s="77">
        <v>1.9692000000000001</v>
      </c>
      <c r="I205" s="77">
        <v>5.8299999999999998E-2</v>
      </c>
      <c r="J205" s="77"/>
      <c r="K205" s="77"/>
      <c r="L205" s="77"/>
      <c r="M205" s="77"/>
      <c r="N205" s="77"/>
      <c r="O205" s="77"/>
      <c r="P205" s="77"/>
      <c r="Q205" s="77"/>
      <c r="R205" s="14">
        <f t="shared" si="82"/>
        <v>5.0036096669877761</v>
      </c>
      <c r="S205">
        <f t="shared" si="83"/>
        <v>2.4234504301971212E-2</v>
      </c>
      <c r="T205">
        <f t="shared" si="84"/>
        <v>1.0706109454909563</v>
      </c>
      <c r="U205">
        <f>0.15/G205/T205</f>
        <v>1.1554256807429117</v>
      </c>
      <c r="V205">
        <f t="shared" si="86"/>
        <v>0.4123371268349002</v>
      </c>
      <c r="W205">
        <f t="shared" si="87"/>
        <v>2.8201574849681811E-2</v>
      </c>
      <c r="X205">
        <f t="shared" si="88"/>
        <v>6.8459397806256636E-2</v>
      </c>
      <c r="Y205">
        <f t="shared" si="89"/>
        <v>1.6724304930939519E-4</v>
      </c>
      <c r="AA205" s="230">
        <f t="shared" si="91"/>
        <v>0.10992064461557123</v>
      </c>
      <c r="AB205">
        <f t="shared" si="92"/>
        <v>1.2557305076441201</v>
      </c>
      <c r="AC205">
        <v>1.8587636854953673</v>
      </c>
      <c r="AD205">
        <f t="shared" si="93"/>
        <v>-0.49999999999999994</v>
      </c>
      <c r="AE205">
        <f t="shared" si="94"/>
        <v>1.8250279693043936E-7</v>
      </c>
      <c r="AF205">
        <f t="shared" si="95"/>
        <v>3.3803034545002393</v>
      </c>
      <c r="AG205">
        <f t="shared" si="96"/>
        <v>3.6492103422673492</v>
      </c>
      <c r="AH205">
        <f t="shared" si="97"/>
        <v>1.721793132723525</v>
      </c>
      <c r="AI205">
        <f t="shared" si="98"/>
        <v>1.8939724459958776</v>
      </c>
      <c r="AJ205">
        <f t="shared" si="99"/>
        <v>1.5645700216210718</v>
      </c>
      <c r="AK205">
        <f t="shared" si="100"/>
        <v>-25.015906081357613</v>
      </c>
    </row>
    <row r="206" spans="1:57">
      <c r="D206" s="6">
        <v>-30</v>
      </c>
      <c r="E206" s="118">
        <v>0.15</v>
      </c>
      <c r="F206" s="120">
        <v>0.55000000000000004</v>
      </c>
      <c r="G206" s="234">
        <v>0.14968999999999999</v>
      </c>
      <c r="H206" s="77">
        <v>2.1333000000000002</v>
      </c>
      <c r="I206" s="77">
        <v>0.39219999999999999</v>
      </c>
      <c r="J206" s="77"/>
      <c r="K206" s="77"/>
      <c r="L206" s="77"/>
      <c r="M206" s="77"/>
      <c r="N206" s="77"/>
      <c r="O206" s="77"/>
      <c r="P206" s="77"/>
      <c r="Q206" s="77"/>
      <c r="R206" s="14">
        <f t="shared" si="82"/>
        <v>5.872291900839822</v>
      </c>
      <c r="S206">
        <f t="shared" si="83"/>
        <v>2.54908990437945E-2</v>
      </c>
      <c r="T206">
        <f t="shared" si="84"/>
        <v>1.0438934513460634</v>
      </c>
      <c r="U206">
        <f>0.15/G206/T206</f>
        <v>0.95993604072416217</v>
      </c>
      <c r="V206">
        <f t="shared" si="86"/>
        <v>0.33402364887434033</v>
      </c>
      <c r="W206">
        <f t="shared" si="87"/>
        <v>3.7473388797921434E-2</v>
      </c>
      <c r="X206">
        <f t="shared" si="88"/>
        <v>8.3919321541995259E-2</v>
      </c>
      <c r="Y206">
        <f t="shared" si="89"/>
        <v>8.4129785413960157E-4</v>
      </c>
      <c r="AA206" s="230">
        <f t="shared" si="91"/>
        <v>9.3660194228652391E-2</v>
      </c>
      <c r="AB206">
        <f t="shared" si="92"/>
        <v>1.0699715568091908</v>
      </c>
      <c r="AC206">
        <v>1.682459825121227</v>
      </c>
      <c r="AD206">
        <f t="shared" si="93"/>
        <v>-0.49999999999999994</v>
      </c>
      <c r="AE206">
        <f t="shared" si="94"/>
        <v>1.5903230909941612E-7</v>
      </c>
      <c r="AF206">
        <f t="shared" si="95"/>
        <v>3.7345232339957128</v>
      </c>
      <c r="AG206">
        <f t="shared" si="96"/>
        <v>3.3660026920878465</v>
      </c>
      <c r="AH206">
        <f t="shared" si="97"/>
        <v>1.8666608086645007</v>
      </c>
      <c r="AI206">
        <f t="shared" si="98"/>
        <v>2.0533268895309509</v>
      </c>
      <c r="AJ206">
        <f t="shared" si="99"/>
        <v>1.6485207908835042</v>
      </c>
      <c r="AK206">
        <f t="shared" si="100"/>
        <v>-25.280583655823317</v>
      </c>
    </row>
    <row r="207" spans="1:57">
      <c r="D207" s="6">
        <v>-30</v>
      </c>
      <c r="E207" s="73">
        <v>0.15</v>
      </c>
      <c r="F207" s="104">
        <v>0.55000000000000004</v>
      </c>
      <c r="G207" s="234">
        <v>0.12126000000000001</v>
      </c>
      <c r="H207" s="77">
        <v>1.9692000000000001</v>
      </c>
      <c r="I207" s="77">
        <v>3.04E-2</v>
      </c>
      <c r="J207" s="77"/>
      <c r="K207" s="77"/>
      <c r="L207" s="77"/>
      <c r="M207" s="77"/>
      <c r="N207" s="77"/>
      <c r="O207" s="77"/>
      <c r="P207" s="77"/>
      <c r="Q207" s="77"/>
      <c r="R207" s="14">
        <f t="shared" si="82"/>
        <v>5.0036096669877761</v>
      </c>
      <c r="S207">
        <f t="shared" si="83"/>
        <v>2.4234504301971212E-2</v>
      </c>
      <c r="T207">
        <f t="shared" si="84"/>
        <v>1.0706109454909563</v>
      </c>
      <c r="U207">
        <f>0.15/G207/T207</f>
        <v>1.1554256807429117</v>
      </c>
      <c r="V207">
        <f t="shared" si="86"/>
        <v>0.4123371268349002</v>
      </c>
      <c r="W207">
        <f t="shared" si="87"/>
        <v>2.8201574849681811E-2</v>
      </c>
      <c r="X207">
        <f t="shared" si="88"/>
        <v>6.8459397806256636E-2</v>
      </c>
      <c r="Y207">
        <f t="shared" si="89"/>
        <v>8.7207353327712066E-5</v>
      </c>
      <c r="AA207" s="230">
        <f t="shared" si="91"/>
        <v>0.10992064461557123</v>
      </c>
      <c r="AB207">
        <f t="shared" si="92"/>
        <v>1.2557305076441201</v>
      </c>
      <c r="AC207">
        <v>1.8587636854953673</v>
      </c>
      <c r="AD207">
        <f t="shared" si="93"/>
        <v>-0.49999999999999994</v>
      </c>
      <c r="AE207">
        <f t="shared" si="94"/>
        <v>1.8250279693043936E-7</v>
      </c>
      <c r="AF207">
        <f t="shared" si="95"/>
        <v>3.3803034545002393</v>
      </c>
      <c r="AG207">
        <f t="shared" si="96"/>
        <v>3.6492103422673492</v>
      </c>
      <c r="AH207">
        <f t="shared" si="97"/>
        <v>1.721793132723525</v>
      </c>
      <c r="AI207">
        <f t="shared" si="98"/>
        <v>1.8939724459958776</v>
      </c>
      <c r="AJ207">
        <f t="shared" si="99"/>
        <v>1.5645700216210718</v>
      </c>
      <c r="AK207">
        <f t="shared" si="100"/>
        <v>-25.015906081357613</v>
      </c>
    </row>
    <row r="208" spans="1:57">
      <c r="D208" s="6">
        <v>-30</v>
      </c>
      <c r="E208" s="118">
        <v>0.15</v>
      </c>
      <c r="F208" s="120">
        <v>0.55000000000000004</v>
      </c>
      <c r="G208" s="234">
        <v>0.14968999999999999</v>
      </c>
      <c r="H208" s="77">
        <v>2.1333000000000002</v>
      </c>
      <c r="I208" s="77">
        <v>0.17480000000000001</v>
      </c>
      <c r="J208" s="77"/>
      <c r="K208" s="77"/>
      <c r="L208" s="77"/>
      <c r="M208" s="77"/>
      <c r="N208" s="77"/>
      <c r="O208" s="77"/>
      <c r="P208" s="77"/>
      <c r="Q208" s="77"/>
      <c r="R208" s="14">
        <f t="shared" ref="R208:R271" si="101">9.81/2/PI()*(H208/1.1)^2</f>
        <v>5.872291900839822</v>
      </c>
      <c r="S208">
        <f t="shared" ref="S208:S271" si="102">2*PI()*G208/9.81/(H208/1.1)^2</f>
        <v>2.54908990437945E-2</v>
      </c>
      <c r="T208">
        <f t="shared" ref="T208:T271" si="103">1/6/S208^0.5</f>
        <v>1.0438934513460634</v>
      </c>
      <c r="U208">
        <f>0.15/G208/T208</f>
        <v>0.95993604072416217</v>
      </c>
      <c r="V208">
        <f t="shared" ref="V208:V271" si="104">0.05/G208</f>
        <v>0.33402364887434033</v>
      </c>
      <c r="W208">
        <f t="shared" ref="W208:W271" si="105">0.067*6^0.5*T208*EXP(-4.75*0.05/G208/T208)</f>
        <v>3.7473388797921434E-2</v>
      </c>
      <c r="X208">
        <f t="shared" ref="X208:X271" si="106">0.2*EXP(-2.6*0.05/G208)</f>
        <v>8.3919321541995259E-2</v>
      </c>
      <c r="Y208">
        <f t="shared" ref="Y208:Y271" si="107">IF(W208&lt;X208,I208/1000/(9.91*G208^3)^0.5*(S208*6)^0.5," ")</f>
        <v>3.7495886002958281E-4</v>
      </c>
      <c r="AA208" s="230">
        <f t="shared" si="91"/>
        <v>9.3660194228652391E-2</v>
      </c>
      <c r="AB208">
        <f t="shared" si="92"/>
        <v>1.0699715568091908</v>
      </c>
      <c r="AC208">
        <v>1.682459825121227</v>
      </c>
      <c r="AD208">
        <f t="shared" si="93"/>
        <v>-0.49999999999999994</v>
      </c>
      <c r="AE208">
        <f t="shared" si="94"/>
        <v>1.5903230909941612E-7</v>
      </c>
      <c r="AF208">
        <f t="shared" si="95"/>
        <v>3.7345232339957128</v>
      </c>
      <c r="AG208">
        <f t="shared" si="96"/>
        <v>3.3660026920878465</v>
      </c>
      <c r="AH208">
        <f t="shared" si="97"/>
        <v>1.8666608086645007</v>
      </c>
      <c r="AI208">
        <f t="shared" si="98"/>
        <v>2.0533268895309509</v>
      </c>
      <c r="AJ208">
        <f t="shared" si="99"/>
        <v>1.6485207908835042</v>
      </c>
      <c r="AK208">
        <f t="shared" si="100"/>
        <v>-25.280583655823317</v>
      </c>
      <c r="AL208" s="14">
        <f>AVERAGE(AK193:AK208)</f>
        <v>-23.916403484360899</v>
      </c>
    </row>
    <row r="209" spans="1:57" s="17" customFormat="1">
      <c r="A209" s="16" t="s">
        <v>244</v>
      </c>
      <c r="B209" s="6">
        <v>625</v>
      </c>
      <c r="C209" s="17" t="s">
        <v>92</v>
      </c>
      <c r="D209" s="6">
        <v>-30</v>
      </c>
      <c r="E209" s="73">
        <v>0.3</v>
      </c>
      <c r="F209" s="104">
        <v>0.55000000000000004</v>
      </c>
      <c r="G209" s="234">
        <v>8.7176000000000003E-2</v>
      </c>
      <c r="H209" s="247">
        <v>1.7067000000000001</v>
      </c>
      <c r="I209" s="77">
        <v>0.76739999999999997</v>
      </c>
      <c r="J209" s="234">
        <v>8.7176000000000003E-2</v>
      </c>
      <c r="K209" s="247">
        <v>1.7067000000000001</v>
      </c>
      <c r="L209" s="234">
        <v>8.7626999999999997E-2</v>
      </c>
      <c r="M209" s="247">
        <v>1.6</v>
      </c>
      <c r="N209" s="77">
        <v>0</v>
      </c>
      <c r="O209" s="77">
        <v>0</v>
      </c>
      <c r="P209" s="77">
        <v>0.76739999999999997</v>
      </c>
      <c r="Q209" s="249">
        <v>1.1632</v>
      </c>
      <c r="R209" s="14">
        <f t="shared" si="101"/>
        <v>3.758531078447263</v>
      </c>
      <c r="S209">
        <f t="shared" si="102"/>
        <v>2.3194167662972855E-2</v>
      </c>
      <c r="T209">
        <f t="shared" si="103"/>
        <v>1.0943578398857956</v>
      </c>
      <c r="U209">
        <f t="shared" ref="U209:U271" si="108">0.05/G209/T209</f>
        <v>0.52409946084793868</v>
      </c>
      <c r="V209">
        <f t="shared" si="104"/>
        <v>0.57355235385886028</v>
      </c>
      <c r="W209">
        <f t="shared" si="105"/>
        <v>1.4898606105743128E-2</v>
      </c>
      <c r="X209">
        <f t="shared" si="106"/>
        <v>4.5018847999598668E-2</v>
      </c>
      <c r="Y209">
        <f t="shared" si="107"/>
        <v>3.5330890361917437E-3</v>
      </c>
      <c r="Z209" s="79"/>
      <c r="AA209" s="230">
        <f t="shared" si="91"/>
        <v>0.14633376404784657</v>
      </c>
      <c r="AB209">
        <f t="shared" si="92"/>
        <v>1.6717130112903886</v>
      </c>
      <c r="AC209">
        <v>2.382508454072652</v>
      </c>
      <c r="AD209">
        <f t="shared" si="93"/>
        <v>-0.49999999999999994</v>
      </c>
      <c r="AE209">
        <f t="shared" si="94"/>
        <v>4.8668445862265486E-7</v>
      </c>
      <c r="AF209">
        <f t="shared" si="95"/>
        <v>2.6372142757517314</v>
      </c>
      <c r="AG209">
        <f t="shared" si="96"/>
        <v>4.4070069404738845</v>
      </c>
      <c r="AH209">
        <f t="shared" si="97"/>
        <v>1.4257262110197531</v>
      </c>
      <c r="AI209">
        <f t="shared" si="98"/>
        <v>1.5682988321217284</v>
      </c>
      <c r="AJ209">
        <f t="shared" si="99"/>
        <v>1.3352134818226253</v>
      </c>
      <c r="AK209">
        <f t="shared" si="100"/>
        <v>-17.635902251326179</v>
      </c>
      <c r="AL209" s="73"/>
      <c r="AM209" s="73"/>
      <c r="AR209" s="77"/>
      <c r="AS209" s="77"/>
      <c r="AT209" s="77"/>
      <c r="AU209" s="199"/>
      <c r="AV209" s="77"/>
      <c r="AW209" s="77"/>
      <c r="AX209" s="77"/>
      <c r="AY209" s="77"/>
      <c r="AZ209" s="77"/>
      <c r="BA209" s="77"/>
      <c r="BB209" s="77"/>
      <c r="BC209" s="77"/>
      <c r="BD209" s="77"/>
      <c r="BE209" s="77"/>
    </row>
    <row r="210" spans="1:57" s="17" customFormat="1">
      <c r="A210" s="16" t="s">
        <v>244</v>
      </c>
      <c r="B210" s="6">
        <v>626</v>
      </c>
      <c r="C210" s="17" t="s">
        <v>93</v>
      </c>
      <c r="D210" s="6">
        <v>-30</v>
      </c>
      <c r="E210" s="73">
        <v>0.3</v>
      </c>
      <c r="F210" s="104">
        <v>0.55000000000000004</v>
      </c>
      <c r="G210" s="234">
        <v>7.5332999999999997E-2</v>
      </c>
      <c r="H210" s="247">
        <v>1.1636</v>
      </c>
      <c r="I210" s="77">
        <v>0.13719999999999999</v>
      </c>
      <c r="J210" s="234">
        <v>7.5332999999999997E-2</v>
      </c>
      <c r="K210" s="247">
        <v>1.1636</v>
      </c>
      <c r="L210" s="234">
        <v>8.3200999999999997E-2</v>
      </c>
      <c r="M210" s="247">
        <v>1.1636</v>
      </c>
      <c r="N210" s="77">
        <v>0</v>
      </c>
      <c r="O210" s="77">
        <v>0</v>
      </c>
      <c r="P210" s="77">
        <v>0.13719999999999999</v>
      </c>
      <c r="Q210" s="249">
        <v>0.248</v>
      </c>
      <c r="R210" s="14">
        <f t="shared" si="101"/>
        <v>1.747073570663084</v>
      </c>
      <c r="S210">
        <f t="shared" si="102"/>
        <v>4.3119535012717369E-2</v>
      </c>
      <c r="T210">
        <f t="shared" si="103"/>
        <v>0.80262321146589044</v>
      </c>
      <c r="U210">
        <f t="shared" si="108"/>
        <v>0.82693814668049381</v>
      </c>
      <c r="V210">
        <f t="shared" si="104"/>
        <v>0.66371975097234948</v>
      </c>
      <c r="W210">
        <f t="shared" si="105"/>
        <v>2.592820439644625E-3</v>
      </c>
      <c r="X210">
        <f t="shared" si="106"/>
        <v>3.5610694997545926E-2</v>
      </c>
      <c r="Y210">
        <f t="shared" si="107"/>
        <v>1.0721413587927175E-3</v>
      </c>
      <c r="Z210" s="79"/>
      <c r="AA210" s="230">
        <f t="shared" si="91"/>
        <v>0.31481215744752705</v>
      </c>
      <c r="AB210">
        <f t="shared" si="92"/>
        <v>3.5964056767196513</v>
      </c>
      <c r="AC210">
        <v>4.5678405893184113</v>
      </c>
      <c r="AD210">
        <f t="shared" si="93"/>
        <v>-0.49999999999999994</v>
      </c>
      <c r="AE210">
        <f t="shared" si="94"/>
        <v>6.0891402120510918E-7</v>
      </c>
      <c r="AF210">
        <f t="shared" si="95"/>
        <v>1.3755263968432685</v>
      </c>
      <c r="AG210">
        <f t="shared" si="96"/>
        <v>6.624935925480866</v>
      </c>
      <c r="AH210">
        <f t="shared" si="97"/>
        <v>0.94841450209550915</v>
      </c>
      <c r="AI210">
        <f t="shared" si="98"/>
        <v>1.0432559523050602</v>
      </c>
      <c r="AJ210">
        <f t="shared" si="99"/>
        <v>0.7939481038949846</v>
      </c>
      <c r="AK210">
        <f t="shared" si="100"/>
        <v>-8.0278707757773748</v>
      </c>
      <c r="AL210" s="73"/>
      <c r="AM210" s="73"/>
      <c r="AR210" s="77"/>
      <c r="AS210" s="77"/>
      <c r="AT210" s="77"/>
      <c r="AU210" s="199"/>
      <c r="AV210" s="77"/>
      <c r="AW210" s="77"/>
      <c r="AX210" s="77"/>
      <c r="AY210" s="77"/>
      <c r="AZ210" s="77"/>
      <c r="BA210" s="77"/>
      <c r="BB210" s="77"/>
      <c r="BC210" s="77"/>
      <c r="BD210" s="77"/>
      <c r="BE210" s="77"/>
    </row>
    <row r="211" spans="1:57" s="17" customFormat="1">
      <c r="A211" s="16" t="s">
        <v>244</v>
      </c>
      <c r="B211" s="6">
        <v>627</v>
      </c>
      <c r="C211" s="17" t="s">
        <v>94</v>
      </c>
      <c r="D211" s="6">
        <v>-30</v>
      </c>
      <c r="E211" s="73">
        <v>0.3</v>
      </c>
      <c r="F211" s="104">
        <v>0.55000000000000004</v>
      </c>
      <c r="G211" s="234">
        <v>0.11342000000000001</v>
      </c>
      <c r="H211" s="247">
        <v>1.8286</v>
      </c>
      <c r="I211" s="77">
        <v>3.3498999999999999</v>
      </c>
      <c r="J211" s="234">
        <v>0.11342000000000001</v>
      </c>
      <c r="K211" s="247">
        <v>1.8286</v>
      </c>
      <c r="L211" s="234">
        <v>0.11995</v>
      </c>
      <c r="M211" s="247">
        <v>1.9692000000000001</v>
      </c>
      <c r="N211" s="77">
        <v>0.1157</v>
      </c>
      <c r="O211" s="77">
        <v>4.1700000000000001E-2</v>
      </c>
      <c r="P211" s="77">
        <v>3.3498999999999999</v>
      </c>
      <c r="Q211" s="249">
        <v>3.4672999999999998</v>
      </c>
      <c r="R211" s="14">
        <f t="shared" si="101"/>
        <v>4.3146065612227682</v>
      </c>
      <c r="S211">
        <f t="shared" si="102"/>
        <v>2.6287449015480236E-2</v>
      </c>
      <c r="T211">
        <f t="shared" si="103"/>
        <v>1.0279560050753882</v>
      </c>
      <c r="U211">
        <f t="shared" si="108"/>
        <v>0.42885041379330652</v>
      </c>
      <c r="V211">
        <f t="shared" si="104"/>
        <v>0.44083935813789454</v>
      </c>
      <c r="W211">
        <f t="shared" si="105"/>
        <v>2.2001381745169708E-2</v>
      </c>
      <c r="X211">
        <f t="shared" si="106"/>
        <v>6.3569578814621983E-2</v>
      </c>
      <c r="Y211">
        <f t="shared" si="107"/>
        <v>1.1063954931930171E-2</v>
      </c>
      <c r="Z211" s="79"/>
      <c r="AA211" s="230">
        <f t="shared" si="91"/>
        <v>0.12747396366173627</v>
      </c>
      <c r="AB211">
        <f t="shared" si="92"/>
        <v>1.4562591555043014</v>
      </c>
      <c r="AC211">
        <v>2.1631050632206663</v>
      </c>
      <c r="AD211">
        <f t="shared" si="93"/>
        <v>-0.49999999999999994</v>
      </c>
      <c r="AE211">
        <f t="shared" si="94"/>
        <v>9.6759950463098932E-7</v>
      </c>
      <c r="AF211">
        <f t="shared" si="95"/>
        <v>2.9047064860661442</v>
      </c>
      <c r="AG211">
        <f t="shared" si="96"/>
        <v>4.1041363310952619</v>
      </c>
      <c r="AH211">
        <f t="shared" si="97"/>
        <v>1.5309397155193445</v>
      </c>
      <c r="AI211">
        <f t="shared" si="98"/>
        <v>1.6840336870712791</v>
      </c>
      <c r="AJ211">
        <f t="shared" si="99"/>
        <v>1.4268305996009618</v>
      </c>
      <c r="AK211">
        <f t="shared" si="100"/>
        <v>-18.498556512285351</v>
      </c>
      <c r="AL211" s="73"/>
      <c r="AM211" s="73"/>
      <c r="AR211" s="77"/>
      <c r="AS211" s="77"/>
      <c r="AT211" s="77"/>
      <c r="AU211" s="199"/>
      <c r="AV211" s="77"/>
      <c r="AW211" s="77"/>
      <c r="AX211" s="77"/>
      <c r="AY211" s="77"/>
      <c r="AZ211" s="77"/>
      <c r="BA211" s="77"/>
      <c r="BB211" s="77"/>
      <c r="BC211" s="77"/>
      <c r="BD211" s="77"/>
      <c r="BE211" s="77"/>
    </row>
    <row r="212" spans="1:57" s="17" customFormat="1">
      <c r="A212" s="16" t="s">
        <v>244</v>
      </c>
      <c r="B212" s="6">
        <v>628</v>
      </c>
      <c r="C212" s="17" t="s">
        <v>95</v>
      </c>
      <c r="D212" s="6">
        <v>-30</v>
      </c>
      <c r="E212" s="73">
        <v>0.3</v>
      </c>
      <c r="F212" s="104">
        <v>0.55000000000000004</v>
      </c>
      <c r="G212" s="234">
        <v>0.10428999999999999</v>
      </c>
      <c r="H212" s="247">
        <v>1.3473999999999999</v>
      </c>
      <c r="I212" s="77">
        <v>0.77610000000000001</v>
      </c>
      <c r="J212" s="234">
        <v>0.10428999999999999</v>
      </c>
      <c r="K212" s="247">
        <v>1.3473999999999999</v>
      </c>
      <c r="L212" s="234">
        <v>0.11289</v>
      </c>
      <c r="M212" s="247">
        <v>1.3473999999999999</v>
      </c>
      <c r="N212" s="77">
        <v>0</v>
      </c>
      <c r="O212" s="77">
        <v>0</v>
      </c>
      <c r="P212" s="77">
        <v>0.77610000000000001</v>
      </c>
      <c r="Q212" s="249">
        <v>0.90549999999999997</v>
      </c>
      <c r="R212" s="14">
        <f t="shared" si="101"/>
        <v>2.3425930729291196</v>
      </c>
      <c r="S212">
        <f t="shared" si="102"/>
        <v>4.4519042254999246E-2</v>
      </c>
      <c r="T212">
        <f t="shared" si="103"/>
        <v>0.78990678316289009</v>
      </c>
      <c r="U212">
        <f t="shared" si="108"/>
        <v>0.6069480124925748</v>
      </c>
      <c r="V212">
        <f t="shared" si="104"/>
        <v>0.47943235209511942</v>
      </c>
      <c r="W212">
        <f t="shared" si="105"/>
        <v>7.2552762165270339E-3</v>
      </c>
      <c r="X212">
        <f t="shared" si="106"/>
        <v>5.7500477441583903E-2</v>
      </c>
      <c r="Y212">
        <f t="shared" si="107"/>
        <v>3.7832530124555968E-3</v>
      </c>
      <c r="Z212" s="79"/>
      <c r="AA212" s="230">
        <f t="shared" si="91"/>
        <v>0.23478256055469926</v>
      </c>
      <c r="AB212">
        <f t="shared" si="92"/>
        <v>2.6821496997441594</v>
      </c>
      <c r="AC212">
        <v>3.463328325411819</v>
      </c>
      <c r="AD212">
        <f t="shared" si="93"/>
        <v>-0.49999999999999994</v>
      </c>
      <c r="AE212">
        <f t="shared" si="94"/>
        <v>8.2212894980671081E-7</v>
      </c>
      <c r="AF212">
        <f t="shared" si="95"/>
        <v>1.8142043481922732</v>
      </c>
      <c r="AG212">
        <f t="shared" si="96"/>
        <v>5.6490116027037818</v>
      </c>
      <c r="AH212">
        <f t="shared" si="97"/>
        <v>1.1122627725126764</v>
      </c>
      <c r="AI212">
        <f t="shared" si="98"/>
        <v>1.2234890497639441</v>
      </c>
      <c r="AJ212">
        <f t="shared" si="99"/>
        <v>0.99267759896970065</v>
      </c>
      <c r="AK212">
        <f t="shared" si="100"/>
        <v>-12.864841371681607</v>
      </c>
      <c r="AL212" s="73"/>
      <c r="AM212" s="73"/>
      <c r="AR212" s="77"/>
      <c r="AS212" s="77"/>
      <c r="AT212" s="77"/>
      <c r="AU212" s="199"/>
      <c r="AV212" s="77"/>
      <c r="AW212" s="77"/>
      <c r="AX212" s="77"/>
      <c r="AY212" s="77"/>
      <c r="AZ212" s="77"/>
      <c r="BA212" s="77"/>
      <c r="BB212" s="77"/>
      <c r="BC212" s="77"/>
      <c r="BD212" s="77"/>
      <c r="BE212" s="77"/>
    </row>
    <row r="213" spans="1:57" s="17" customFormat="1">
      <c r="A213" s="16" t="s">
        <v>244</v>
      </c>
      <c r="B213" s="6">
        <v>629</v>
      </c>
      <c r="C213" s="17" t="s">
        <v>96</v>
      </c>
      <c r="D213" s="6">
        <v>-30</v>
      </c>
      <c r="E213" s="73">
        <v>0.3</v>
      </c>
      <c r="F213" s="104">
        <v>0.55000000000000004</v>
      </c>
      <c r="G213" s="234">
        <v>0.14072999999999999</v>
      </c>
      <c r="H213" s="247">
        <v>2.1333000000000002</v>
      </c>
      <c r="I213" s="77">
        <v>6.3696000000000002</v>
      </c>
      <c r="J213" s="234">
        <v>0.14072999999999999</v>
      </c>
      <c r="K213" s="247">
        <v>2.1333000000000002</v>
      </c>
      <c r="L213" s="234">
        <v>0.16084999999999999</v>
      </c>
      <c r="M213" s="247">
        <v>2.1333000000000002</v>
      </c>
      <c r="N213" s="77">
        <v>0.57250000000000001</v>
      </c>
      <c r="O213" s="77">
        <v>0.219</v>
      </c>
      <c r="P213" s="77">
        <v>6.3696000000000002</v>
      </c>
      <c r="Q213" s="249">
        <v>7.5251999999999999</v>
      </c>
      <c r="R213" s="14">
        <f t="shared" si="101"/>
        <v>5.872291900839822</v>
      </c>
      <c r="S213">
        <f t="shared" si="102"/>
        <v>2.3965089334178635E-2</v>
      </c>
      <c r="T213">
        <f t="shared" si="103"/>
        <v>1.0766120181196535</v>
      </c>
      <c r="U213">
        <f t="shared" si="108"/>
        <v>0.33000771510323407</v>
      </c>
      <c r="V213">
        <f t="shared" si="104"/>
        <v>0.35529027215234849</v>
      </c>
      <c r="W213">
        <f t="shared" si="105"/>
        <v>3.6849969736697304E-2</v>
      </c>
      <c r="X213">
        <f t="shared" si="106"/>
        <v>7.9405104845583219E-2</v>
      </c>
      <c r="Y213">
        <f t="shared" si="107"/>
        <v>1.4533173316963266E-2</v>
      </c>
      <c r="Z213" s="79"/>
      <c r="AA213" s="230">
        <f t="shared" si="91"/>
        <v>9.3660194228652391E-2</v>
      </c>
      <c r="AB213">
        <f t="shared" si="92"/>
        <v>1.0699715568091908</v>
      </c>
      <c r="AC213">
        <v>1.7678339892177375</v>
      </c>
      <c r="AD213">
        <f t="shared" si="93"/>
        <v>-0.49999999999999994</v>
      </c>
      <c r="AE213">
        <f t="shared" si="94"/>
        <v>4.1215536478178549E-7</v>
      </c>
      <c r="AF213">
        <f t="shared" si="95"/>
        <v>3.5541715712570281</v>
      </c>
      <c r="AG213">
        <f t="shared" si="96"/>
        <v>3.5049935567094708</v>
      </c>
      <c r="AH213">
        <f t="shared" si="97"/>
        <v>1.7926381904902315</v>
      </c>
      <c r="AI213">
        <f t="shared" si="98"/>
        <v>1.9719020095392548</v>
      </c>
      <c r="AJ213">
        <f t="shared" si="99"/>
        <v>1.6075924803535344</v>
      </c>
      <c r="AK213">
        <f t="shared" si="100"/>
        <v>-19.893490594584375</v>
      </c>
      <c r="AL213" s="73"/>
      <c r="AM213" s="73"/>
      <c r="AR213" s="77"/>
      <c r="AS213" s="77"/>
      <c r="AT213" s="77"/>
      <c r="AU213" s="199"/>
      <c r="AV213" s="77"/>
      <c r="AW213" s="77"/>
      <c r="AX213" s="77"/>
      <c r="AY213" s="77"/>
      <c r="AZ213" s="77"/>
      <c r="BA213" s="77"/>
      <c r="BB213" s="77"/>
      <c r="BC213" s="77"/>
      <c r="BD213" s="77"/>
      <c r="BE213" s="77"/>
    </row>
    <row r="214" spans="1:57" s="17" customFormat="1" ht="13.5" thickBot="1">
      <c r="A214" s="115" t="s">
        <v>244</v>
      </c>
      <c r="B214" s="116">
        <v>630</v>
      </c>
      <c r="C214" s="147" t="s">
        <v>97</v>
      </c>
      <c r="D214" s="6">
        <v>-30</v>
      </c>
      <c r="E214" s="118">
        <v>0.3</v>
      </c>
      <c r="F214" s="120">
        <v>0.55000000000000004</v>
      </c>
      <c r="G214" s="238">
        <v>0.13699</v>
      </c>
      <c r="H214" s="248">
        <v>1.6</v>
      </c>
      <c r="I214" s="126">
        <v>2.3237000000000001</v>
      </c>
      <c r="J214" s="238">
        <v>0.13699</v>
      </c>
      <c r="K214" s="248">
        <v>1.6</v>
      </c>
      <c r="L214" s="238">
        <v>0.13902</v>
      </c>
      <c r="M214" s="248">
        <v>1.5059</v>
      </c>
      <c r="N214" s="151">
        <v>3.85E-2</v>
      </c>
      <c r="O214" s="151">
        <v>0</v>
      </c>
      <c r="P214" s="151">
        <v>2.3237000000000001</v>
      </c>
      <c r="Q214" s="250">
        <v>2.7667000000000002</v>
      </c>
      <c r="R214" s="14">
        <f t="shared" si="101"/>
        <v>3.303267420522829</v>
      </c>
      <c r="S214">
        <f t="shared" si="102"/>
        <v>4.147105957843332E-2</v>
      </c>
      <c r="T214">
        <f t="shared" si="103"/>
        <v>0.81841990569542988</v>
      </c>
      <c r="U214">
        <f t="shared" si="108"/>
        <v>0.44596929122335732</v>
      </c>
      <c r="V214">
        <f t="shared" si="104"/>
        <v>0.36499014526607781</v>
      </c>
      <c r="W214">
        <f t="shared" si="105"/>
        <v>1.614868268340431E-2</v>
      </c>
      <c r="X214">
        <f t="shared" si="106"/>
        <v>7.7427575430373263E-2</v>
      </c>
      <c r="Y214">
        <f t="shared" si="107"/>
        <v>7.2620314141860765E-3</v>
      </c>
      <c r="Z214" s="79"/>
      <c r="AA214" s="230">
        <f t="shared" si="91"/>
        <v>0.16650180865857603</v>
      </c>
      <c r="AB214">
        <f t="shared" si="92"/>
        <v>1.9021122141498028</v>
      </c>
      <c r="AC214">
        <v>2.6195801893560113</v>
      </c>
      <c r="AD214">
        <f t="shared" si="93"/>
        <v>-0.49999999999999994</v>
      </c>
      <c r="AE214">
        <f t="shared" si="94"/>
        <v>2.6076556436382958E-7</v>
      </c>
      <c r="AF214">
        <f t="shared" si="95"/>
        <v>2.3985466574795802</v>
      </c>
      <c r="AG214">
        <f t="shared" si="96"/>
        <v>4.7126271878549311</v>
      </c>
      <c r="AH214">
        <f t="shared" si="97"/>
        <v>1.3332659378132421</v>
      </c>
      <c r="AI214">
        <f t="shared" si="98"/>
        <v>1.4665925315945665</v>
      </c>
      <c r="AJ214">
        <f t="shared" si="99"/>
        <v>1.2445677597849918</v>
      </c>
      <c r="AK214">
        <f t="shared" si="100"/>
        <v>-16.647324474974482</v>
      </c>
      <c r="AL214" s="73"/>
      <c r="AM214" s="73"/>
      <c r="AR214" s="77"/>
      <c r="AS214" s="77"/>
      <c r="AT214" s="77"/>
      <c r="AU214" s="199"/>
      <c r="AV214" s="77"/>
      <c r="AW214" s="77"/>
      <c r="AX214" s="77"/>
      <c r="AY214" s="77"/>
      <c r="AZ214" s="77"/>
      <c r="BA214" s="77"/>
      <c r="BB214" s="77"/>
      <c r="BC214" s="77"/>
      <c r="BD214" s="77"/>
      <c r="BE214" s="77"/>
    </row>
    <row r="215" spans="1:57">
      <c r="D215" s="6">
        <v>-30</v>
      </c>
      <c r="E215" s="73">
        <v>0.3</v>
      </c>
      <c r="F215" s="104">
        <v>0.55000000000000004</v>
      </c>
      <c r="G215" s="234">
        <v>8.7176000000000003E-2</v>
      </c>
      <c r="H215" s="247">
        <v>1.7067000000000001</v>
      </c>
      <c r="I215" s="77">
        <v>1.1632</v>
      </c>
      <c r="J215" s="77"/>
      <c r="K215" s="77"/>
      <c r="L215" s="77"/>
      <c r="M215" s="77"/>
      <c r="N215" s="77"/>
      <c r="O215" s="77"/>
      <c r="P215" s="77"/>
      <c r="Q215" s="77"/>
      <c r="R215" s="14">
        <f t="shared" si="101"/>
        <v>3.758531078447263</v>
      </c>
      <c r="S215">
        <f t="shared" si="102"/>
        <v>2.3194167662972855E-2</v>
      </c>
      <c r="T215">
        <f t="shared" si="103"/>
        <v>1.0943578398857956</v>
      </c>
      <c r="U215">
        <f t="shared" si="108"/>
        <v>0.52409946084793868</v>
      </c>
      <c r="V215">
        <f t="shared" si="104"/>
        <v>0.57355235385886028</v>
      </c>
      <c r="W215">
        <f t="shared" si="105"/>
        <v>1.4898606105743128E-2</v>
      </c>
      <c r="X215">
        <f t="shared" si="106"/>
        <v>4.5018847999598668E-2</v>
      </c>
      <c r="Y215">
        <f t="shared" si="107"/>
        <v>5.3553416300472197E-3</v>
      </c>
      <c r="AA215" s="230">
        <f t="shared" si="91"/>
        <v>0.14633376404784657</v>
      </c>
      <c r="AB215">
        <f t="shared" si="92"/>
        <v>1.6717130112903886</v>
      </c>
      <c r="AC215">
        <v>2.382508454072652</v>
      </c>
      <c r="AD215">
        <f t="shared" si="93"/>
        <v>-0.49999999999999994</v>
      </c>
      <c r="AE215">
        <f t="shared" si="94"/>
        <v>4.8668445862265486E-7</v>
      </c>
      <c r="AF215">
        <f t="shared" si="95"/>
        <v>2.6372142757517314</v>
      </c>
      <c r="AG215">
        <f t="shared" si="96"/>
        <v>4.4070069404738845</v>
      </c>
      <c r="AH215">
        <f t="shared" si="97"/>
        <v>1.4257262110197531</v>
      </c>
      <c r="AI215">
        <f t="shared" si="98"/>
        <v>1.5682988321217284</v>
      </c>
      <c r="AJ215">
        <f t="shared" si="99"/>
        <v>1.3352134818226253</v>
      </c>
      <c r="AK215">
        <f t="shared" si="100"/>
        <v>-17.635902251326179</v>
      </c>
    </row>
    <row r="216" spans="1:57">
      <c r="D216" s="6">
        <v>-30</v>
      </c>
      <c r="E216" s="118">
        <v>0.3</v>
      </c>
      <c r="F216" s="120">
        <v>0.55000000000000004</v>
      </c>
      <c r="G216" s="234">
        <v>7.5332999999999997E-2</v>
      </c>
      <c r="H216" s="247">
        <v>1.1636</v>
      </c>
      <c r="I216" s="77">
        <v>0.248</v>
      </c>
      <c r="J216" s="77"/>
      <c r="K216" s="77"/>
      <c r="L216" s="77"/>
      <c r="M216" s="77"/>
      <c r="N216" s="77"/>
      <c r="O216" s="77"/>
      <c r="P216" s="77"/>
      <c r="Q216" s="77"/>
      <c r="R216" s="14">
        <f t="shared" si="101"/>
        <v>1.747073570663084</v>
      </c>
      <c r="S216">
        <f t="shared" si="102"/>
        <v>4.3119535012717369E-2</v>
      </c>
      <c r="T216">
        <f t="shared" si="103"/>
        <v>0.80262321146589044</v>
      </c>
      <c r="U216">
        <f t="shared" si="108"/>
        <v>0.82693814668049381</v>
      </c>
      <c r="V216">
        <f t="shared" si="104"/>
        <v>0.66371975097234948</v>
      </c>
      <c r="W216">
        <f t="shared" si="105"/>
        <v>2.592820439644625E-3</v>
      </c>
      <c r="X216">
        <f t="shared" si="106"/>
        <v>3.5610694997545926E-2</v>
      </c>
      <c r="Y216">
        <f t="shared" si="107"/>
        <v>1.9379814648731336E-3</v>
      </c>
      <c r="AA216" s="230">
        <f t="shared" si="91"/>
        <v>0.31481215744752705</v>
      </c>
      <c r="AB216">
        <f t="shared" si="92"/>
        <v>3.5964056767196513</v>
      </c>
      <c r="AC216">
        <v>4.5678405893184113</v>
      </c>
      <c r="AD216">
        <f t="shared" si="93"/>
        <v>-0.49999999999999994</v>
      </c>
      <c r="AE216">
        <f t="shared" si="94"/>
        <v>6.0891402120510918E-7</v>
      </c>
      <c r="AF216">
        <f t="shared" si="95"/>
        <v>1.3755263968432685</v>
      </c>
      <c r="AG216">
        <f t="shared" si="96"/>
        <v>6.624935925480866</v>
      </c>
      <c r="AH216">
        <f t="shared" si="97"/>
        <v>0.94841450209550915</v>
      </c>
      <c r="AI216">
        <f t="shared" si="98"/>
        <v>1.0432559523050602</v>
      </c>
      <c r="AJ216">
        <f t="shared" si="99"/>
        <v>0.7939481038949846</v>
      </c>
      <c r="AK216">
        <f t="shared" si="100"/>
        <v>-8.0278707757773748</v>
      </c>
    </row>
    <row r="217" spans="1:57">
      <c r="D217" s="6">
        <v>-30</v>
      </c>
      <c r="E217" s="73">
        <v>0.3</v>
      </c>
      <c r="F217" s="104">
        <v>0.55000000000000004</v>
      </c>
      <c r="G217" s="234">
        <v>0.11342000000000001</v>
      </c>
      <c r="H217" s="247">
        <v>1.8286</v>
      </c>
      <c r="I217" s="77">
        <v>3.4672999999999998</v>
      </c>
      <c r="J217" s="77"/>
      <c r="K217" s="77"/>
      <c r="L217" s="77"/>
      <c r="M217" s="77"/>
      <c r="N217" s="77"/>
      <c r="O217" s="77"/>
      <c r="P217" s="77"/>
      <c r="Q217" s="77"/>
      <c r="R217" s="14">
        <f t="shared" si="101"/>
        <v>4.3146065612227682</v>
      </c>
      <c r="S217">
        <f t="shared" si="102"/>
        <v>2.6287449015480236E-2</v>
      </c>
      <c r="T217">
        <f t="shared" si="103"/>
        <v>1.0279560050753882</v>
      </c>
      <c r="U217">
        <f t="shared" si="108"/>
        <v>0.42885041379330652</v>
      </c>
      <c r="V217">
        <f t="shared" si="104"/>
        <v>0.44083935813789454</v>
      </c>
      <c r="W217">
        <f t="shared" si="105"/>
        <v>2.2001381745169708E-2</v>
      </c>
      <c r="X217">
        <f t="shared" si="106"/>
        <v>6.3569578814621983E-2</v>
      </c>
      <c r="Y217">
        <f t="shared" si="107"/>
        <v>1.1451700330004325E-2</v>
      </c>
      <c r="AA217" s="230">
        <f t="shared" si="91"/>
        <v>0.12747396366173627</v>
      </c>
      <c r="AB217">
        <f t="shared" si="92"/>
        <v>1.4562591555043014</v>
      </c>
      <c r="AC217">
        <v>2.1631050632206663</v>
      </c>
      <c r="AD217">
        <f t="shared" si="93"/>
        <v>-0.49999999999999994</v>
      </c>
      <c r="AE217">
        <f t="shared" si="94"/>
        <v>9.6759950463098932E-7</v>
      </c>
      <c r="AF217">
        <f t="shared" si="95"/>
        <v>2.9047064860661442</v>
      </c>
      <c r="AG217">
        <f t="shared" si="96"/>
        <v>4.1041363310952619</v>
      </c>
      <c r="AH217">
        <f t="shared" si="97"/>
        <v>1.5309397155193445</v>
      </c>
      <c r="AI217">
        <f t="shared" si="98"/>
        <v>1.6840336870712791</v>
      </c>
      <c r="AJ217">
        <f t="shared" si="99"/>
        <v>1.4268305996009618</v>
      </c>
      <c r="AK217">
        <f t="shared" si="100"/>
        <v>-18.498556512285351</v>
      </c>
    </row>
    <row r="218" spans="1:57">
      <c r="D218" s="6">
        <v>-30</v>
      </c>
      <c r="E218" s="118">
        <v>0.3</v>
      </c>
      <c r="F218" s="120">
        <v>0.55000000000000004</v>
      </c>
      <c r="G218" s="234">
        <v>0.10428999999999999</v>
      </c>
      <c r="H218" s="247">
        <v>1.3473999999999999</v>
      </c>
      <c r="I218" s="77">
        <v>0.90549999999999997</v>
      </c>
      <c r="J218" s="77"/>
      <c r="K218" s="77"/>
      <c r="L218" s="77"/>
      <c r="M218" s="77"/>
      <c r="N218" s="77"/>
      <c r="O218" s="77"/>
      <c r="P218" s="77"/>
      <c r="Q218" s="77"/>
      <c r="R218" s="14">
        <f t="shared" si="101"/>
        <v>2.3425930729291196</v>
      </c>
      <c r="S218">
        <f t="shared" si="102"/>
        <v>4.4519042254999246E-2</v>
      </c>
      <c r="T218">
        <f t="shared" si="103"/>
        <v>0.78990678316289009</v>
      </c>
      <c r="U218">
        <f t="shared" si="108"/>
        <v>0.6069480124925748</v>
      </c>
      <c r="V218">
        <f t="shared" si="104"/>
        <v>0.47943235209511942</v>
      </c>
      <c r="W218">
        <f t="shared" si="105"/>
        <v>7.2552762165270339E-3</v>
      </c>
      <c r="X218">
        <f t="shared" si="106"/>
        <v>5.7500477441583903E-2</v>
      </c>
      <c r="Y218">
        <f t="shared" si="107"/>
        <v>4.4140389160914088E-3</v>
      </c>
      <c r="AA218" s="230">
        <f t="shared" si="91"/>
        <v>0.23478256055469926</v>
      </c>
      <c r="AB218">
        <f t="shared" si="92"/>
        <v>2.6821496997441594</v>
      </c>
      <c r="AC218">
        <v>3.463328325411819</v>
      </c>
      <c r="AD218">
        <f t="shared" si="93"/>
        <v>-0.49999999999999994</v>
      </c>
      <c r="AE218">
        <f t="shared" si="94"/>
        <v>8.2212894980671081E-7</v>
      </c>
      <c r="AF218">
        <f t="shared" si="95"/>
        <v>1.8142043481922732</v>
      </c>
      <c r="AG218">
        <f t="shared" si="96"/>
        <v>5.6490116027037818</v>
      </c>
      <c r="AH218">
        <f t="shared" si="97"/>
        <v>1.1122627725126764</v>
      </c>
      <c r="AI218">
        <f t="shared" si="98"/>
        <v>1.2234890497639441</v>
      </c>
      <c r="AJ218">
        <f t="shared" si="99"/>
        <v>0.99267759896970065</v>
      </c>
      <c r="AK218">
        <f t="shared" si="100"/>
        <v>-12.864841371681607</v>
      </c>
    </row>
    <row r="219" spans="1:57">
      <c r="D219" s="6">
        <v>-30</v>
      </c>
      <c r="E219" s="73">
        <v>0.3</v>
      </c>
      <c r="F219" s="104">
        <v>0.55000000000000004</v>
      </c>
      <c r="G219" s="234">
        <v>0.14072999999999999</v>
      </c>
      <c r="H219" s="247">
        <v>2.1333000000000002</v>
      </c>
      <c r="I219" s="77">
        <v>7.5251999999999999</v>
      </c>
      <c r="J219" s="77"/>
      <c r="K219" s="77"/>
      <c r="L219" s="77"/>
      <c r="M219" s="77"/>
      <c r="N219" s="77"/>
      <c r="O219" s="77"/>
      <c r="P219" s="77"/>
      <c r="Q219" s="77"/>
      <c r="R219" s="14">
        <f t="shared" si="101"/>
        <v>5.872291900839822</v>
      </c>
      <c r="S219">
        <f t="shared" si="102"/>
        <v>2.3965089334178635E-2</v>
      </c>
      <c r="T219">
        <f t="shared" si="103"/>
        <v>1.0766120181196535</v>
      </c>
      <c r="U219">
        <f t="shared" si="108"/>
        <v>0.33000771510323407</v>
      </c>
      <c r="V219">
        <f t="shared" si="104"/>
        <v>0.35529027215234849</v>
      </c>
      <c r="W219">
        <f t="shared" si="105"/>
        <v>3.6849969736697304E-2</v>
      </c>
      <c r="X219">
        <f t="shared" si="106"/>
        <v>7.9405104845583219E-2</v>
      </c>
      <c r="Y219">
        <f t="shared" si="107"/>
        <v>1.7169843607889347E-2</v>
      </c>
      <c r="AA219" s="230">
        <f t="shared" si="91"/>
        <v>9.3660194228652391E-2</v>
      </c>
      <c r="AB219">
        <f t="shared" si="92"/>
        <v>1.0699715568091908</v>
      </c>
      <c r="AC219">
        <v>1.7678339892177375</v>
      </c>
      <c r="AD219">
        <f t="shared" si="93"/>
        <v>-0.49999999999999994</v>
      </c>
      <c r="AE219">
        <f t="shared" si="94"/>
        <v>4.1215536478178549E-7</v>
      </c>
      <c r="AF219">
        <f t="shared" si="95"/>
        <v>3.5541715712570281</v>
      </c>
      <c r="AG219">
        <f t="shared" si="96"/>
        <v>3.5049935567094708</v>
      </c>
      <c r="AH219">
        <f t="shared" si="97"/>
        <v>1.7926381904902315</v>
      </c>
      <c r="AI219">
        <f t="shared" si="98"/>
        <v>1.9719020095392548</v>
      </c>
      <c r="AJ219">
        <f t="shared" si="99"/>
        <v>1.6075924803535344</v>
      </c>
      <c r="AK219">
        <f t="shared" si="100"/>
        <v>-19.893490594584375</v>
      </c>
    </row>
    <row r="220" spans="1:57" ht="13.5" thickBot="1">
      <c r="D220" s="6">
        <v>-30</v>
      </c>
      <c r="E220" s="118">
        <v>0.3</v>
      </c>
      <c r="F220" s="120">
        <v>0.55000000000000004</v>
      </c>
      <c r="G220" s="238">
        <v>0.13699</v>
      </c>
      <c r="H220" s="248">
        <v>1.6</v>
      </c>
      <c r="I220" s="126">
        <v>2.7667000000000002</v>
      </c>
      <c r="J220" s="77"/>
      <c r="K220" s="77"/>
      <c r="L220" s="77"/>
      <c r="M220" s="77"/>
      <c r="N220" s="77"/>
      <c r="O220" s="77"/>
      <c r="P220" s="77"/>
      <c r="Q220" s="77"/>
      <c r="R220" s="14">
        <f t="shared" si="101"/>
        <v>3.303267420522829</v>
      </c>
      <c r="S220">
        <f t="shared" si="102"/>
        <v>4.147105957843332E-2</v>
      </c>
      <c r="T220">
        <f t="shared" si="103"/>
        <v>0.81841990569542988</v>
      </c>
      <c r="U220">
        <f t="shared" si="108"/>
        <v>0.44596929122335732</v>
      </c>
      <c r="V220">
        <f t="shared" si="104"/>
        <v>0.36499014526607781</v>
      </c>
      <c r="W220">
        <f t="shared" si="105"/>
        <v>1.614868268340431E-2</v>
      </c>
      <c r="X220">
        <f t="shared" si="106"/>
        <v>7.7427575430373263E-2</v>
      </c>
      <c r="Y220">
        <f t="shared" si="107"/>
        <v>8.6464958099705721E-3</v>
      </c>
      <c r="AA220" s="230">
        <f t="shared" si="91"/>
        <v>0.16650180865857603</v>
      </c>
      <c r="AB220">
        <f t="shared" si="92"/>
        <v>1.9021122141498028</v>
      </c>
      <c r="AC220">
        <v>2.6195801893560113</v>
      </c>
      <c r="AD220">
        <f t="shared" si="93"/>
        <v>-0.49999999999999994</v>
      </c>
      <c r="AE220">
        <f t="shared" si="94"/>
        <v>2.6076556436382958E-7</v>
      </c>
      <c r="AF220">
        <f t="shared" si="95"/>
        <v>2.3985466574795802</v>
      </c>
      <c r="AG220">
        <f t="shared" si="96"/>
        <v>4.7126271878549311</v>
      </c>
      <c r="AH220">
        <f t="shared" si="97"/>
        <v>1.3332659378132421</v>
      </c>
      <c r="AI220">
        <f t="shared" si="98"/>
        <v>1.4665925315945665</v>
      </c>
      <c r="AJ220">
        <f t="shared" si="99"/>
        <v>1.2445677597849918</v>
      </c>
      <c r="AK220">
        <f t="shared" si="100"/>
        <v>-16.647324474974482</v>
      </c>
    </row>
    <row r="221" spans="1:57">
      <c r="D221" s="6">
        <v>-30</v>
      </c>
      <c r="E221" s="73">
        <v>0.3</v>
      </c>
      <c r="F221" s="104">
        <v>0.55000000000000004</v>
      </c>
      <c r="G221" s="234">
        <v>0.11995</v>
      </c>
      <c r="H221" s="247">
        <v>1.9692000000000001</v>
      </c>
      <c r="I221" s="77">
        <v>0.1157</v>
      </c>
      <c r="J221" s="77"/>
      <c r="K221" s="77"/>
      <c r="L221" s="77"/>
      <c r="M221" s="77"/>
      <c r="N221" s="77"/>
      <c r="O221" s="77"/>
      <c r="P221" s="77"/>
      <c r="Q221" s="77"/>
      <c r="R221" s="14">
        <f t="shared" si="101"/>
        <v>5.0036096669877761</v>
      </c>
      <c r="S221">
        <f t="shared" si="102"/>
        <v>2.3972693312068666E-2</v>
      </c>
      <c r="T221">
        <f t="shared" si="103"/>
        <v>1.0764412575138931</v>
      </c>
      <c r="U221">
        <f>0.15/G221/T221</f>
        <v>1.1617178751823738</v>
      </c>
      <c r="V221">
        <f t="shared" si="104"/>
        <v>0.41684035014589416</v>
      </c>
      <c r="W221">
        <f t="shared" si="105"/>
        <v>2.8074064724376794E-2</v>
      </c>
      <c r="X221">
        <f t="shared" si="106"/>
        <v>6.7662523278990486E-2</v>
      </c>
      <c r="Y221">
        <f t="shared" si="107"/>
        <v>3.3552910093700636E-4</v>
      </c>
      <c r="AA221" s="230">
        <f t="shared" si="91"/>
        <v>0.10992064461557123</v>
      </c>
      <c r="AB221">
        <f t="shared" si="92"/>
        <v>1.2557305076441201</v>
      </c>
      <c r="AC221">
        <v>1.9589692861062937</v>
      </c>
      <c r="AD221">
        <f t="shared" si="93"/>
        <v>-0.49999999999999994</v>
      </c>
      <c r="AE221">
        <f t="shared" si="94"/>
        <v>8.3328419048234181E-7</v>
      </c>
      <c r="AF221">
        <f t="shared" si="95"/>
        <v>3.2073934756109597</v>
      </c>
      <c r="AG221">
        <f t="shared" si="96"/>
        <v>3.8036491095525342</v>
      </c>
      <c r="AH221">
        <f t="shared" si="97"/>
        <v>1.6518835271634054</v>
      </c>
      <c r="AI221">
        <f t="shared" si="98"/>
        <v>1.8170718798797461</v>
      </c>
      <c r="AJ221">
        <f t="shared" si="99"/>
        <v>1.5180373213448373</v>
      </c>
      <c r="AK221">
        <f t="shared" si="100"/>
        <v>-19.246862260046417</v>
      </c>
    </row>
    <row r="222" spans="1:57">
      <c r="D222" s="6">
        <v>-30</v>
      </c>
      <c r="E222" s="118">
        <v>0.3</v>
      </c>
      <c r="F222" s="120">
        <v>0.55000000000000004</v>
      </c>
      <c r="G222" s="234">
        <v>0.16084999999999999</v>
      </c>
      <c r="H222" s="247">
        <v>2.1333000000000002</v>
      </c>
      <c r="I222" s="77">
        <v>0.57250000000000001</v>
      </c>
      <c r="J222" s="77"/>
      <c r="K222" s="77"/>
      <c r="L222" s="77"/>
      <c r="M222" s="77"/>
      <c r="N222" s="77"/>
      <c r="O222" s="77"/>
      <c r="P222" s="77"/>
      <c r="Q222" s="77"/>
      <c r="R222" s="14">
        <f t="shared" si="101"/>
        <v>5.872291900839822</v>
      </c>
      <c r="S222">
        <f t="shared" si="102"/>
        <v>2.7391349530324974E-2</v>
      </c>
      <c r="T222">
        <f t="shared" si="103"/>
        <v>1.0070291329708347</v>
      </c>
      <c r="U222">
        <f>0.15/G222/T222</f>
        <v>0.9260366156636054</v>
      </c>
      <c r="V222">
        <f t="shared" si="104"/>
        <v>0.3108486167236556</v>
      </c>
      <c r="W222">
        <f t="shared" si="105"/>
        <v>3.8143381495107792E-2</v>
      </c>
      <c r="X222">
        <f t="shared" si="106"/>
        <v>8.9131335616274787E-2</v>
      </c>
      <c r="Y222">
        <f t="shared" si="107"/>
        <v>1.1428504562559412E-3</v>
      </c>
      <c r="AA222" s="230">
        <f t="shared" si="91"/>
        <v>9.3660194228652391E-2</v>
      </c>
      <c r="AB222">
        <f t="shared" si="92"/>
        <v>1.0699715568091908</v>
      </c>
      <c r="AC222">
        <v>1.7678339892177375</v>
      </c>
      <c r="AD222">
        <f t="shared" si="93"/>
        <v>-0.49999999999999994</v>
      </c>
      <c r="AE222">
        <f t="shared" si="94"/>
        <v>4.1215536478178549E-7</v>
      </c>
      <c r="AF222">
        <f t="shared" si="95"/>
        <v>3.5541715712570281</v>
      </c>
      <c r="AG222">
        <f t="shared" si="96"/>
        <v>3.5049935567094708</v>
      </c>
      <c r="AH222">
        <f t="shared" si="97"/>
        <v>1.7926381904902315</v>
      </c>
      <c r="AI222">
        <f t="shared" si="98"/>
        <v>1.9719020095392548</v>
      </c>
      <c r="AJ222">
        <f t="shared" si="99"/>
        <v>1.6075924803535344</v>
      </c>
      <c r="AK222">
        <f t="shared" si="100"/>
        <v>-19.893490594584375</v>
      </c>
    </row>
    <row r="223" spans="1:57" ht="13.5" thickBot="1">
      <c r="D223" s="6">
        <v>-30</v>
      </c>
      <c r="E223" s="73">
        <v>0.3</v>
      </c>
      <c r="F223" s="104">
        <v>0.55000000000000004</v>
      </c>
      <c r="G223" s="238">
        <v>0.13902</v>
      </c>
      <c r="H223" s="248">
        <v>1.5059</v>
      </c>
      <c r="I223" s="126">
        <v>3.85E-2</v>
      </c>
      <c r="J223" s="77"/>
      <c r="K223" s="77"/>
      <c r="L223" s="77"/>
      <c r="M223" s="77"/>
      <c r="N223" s="77"/>
      <c r="O223" s="77"/>
      <c r="P223" s="77"/>
      <c r="Q223" s="77"/>
      <c r="R223" s="14">
        <f t="shared" si="101"/>
        <v>2.9261462954134876</v>
      </c>
      <c r="S223">
        <f t="shared" si="102"/>
        <v>4.7509586317643557E-2</v>
      </c>
      <c r="T223">
        <f t="shared" si="103"/>
        <v>0.76464195783983424</v>
      </c>
      <c r="U223">
        <f>0.15/G223/T223</f>
        <v>1.4110936896104971</v>
      </c>
      <c r="V223">
        <f t="shared" si="104"/>
        <v>0.35966048050640198</v>
      </c>
      <c r="W223">
        <f t="shared" si="105"/>
        <v>1.3436744688840149E-2</v>
      </c>
      <c r="X223">
        <f t="shared" si="106"/>
        <v>7.8507967561094558E-2</v>
      </c>
      <c r="Y223">
        <f t="shared" si="107"/>
        <v>1.2597205834043079E-4</v>
      </c>
      <c r="AA223" s="230">
        <f t="shared" si="91"/>
        <v>0.18796052708030467</v>
      </c>
      <c r="AB223">
        <f t="shared" si="92"/>
        <v>2.1472560401467291</v>
      </c>
      <c r="AC223">
        <v>2.8767520178263024</v>
      </c>
      <c r="AD223">
        <f t="shared" si="93"/>
        <v>-0.49999999999999994</v>
      </c>
      <c r="AE223">
        <f t="shared" si="94"/>
        <v>6.3895358726195894E-7</v>
      </c>
      <c r="AF223">
        <f t="shared" si="95"/>
        <v>2.1841247588407753</v>
      </c>
      <c r="AG223">
        <f t="shared" si="96"/>
        <v>5.0211301744102839</v>
      </c>
      <c r="AH223">
        <f t="shared" si="97"/>
        <v>1.2513488176827694</v>
      </c>
      <c r="AI223">
        <f t="shared" si="98"/>
        <v>1.3764836994510465</v>
      </c>
      <c r="AJ223">
        <f t="shared" si="99"/>
        <v>1.1563848424315195</v>
      </c>
      <c r="AK223">
        <f t="shared" si="100"/>
        <v>-15.524613605849446</v>
      </c>
    </row>
    <row r="224" spans="1:57">
      <c r="D224" s="6">
        <v>-30</v>
      </c>
      <c r="E224" s="118">
        <v>0.3</v>
      </c>
      <c r="F224" s="120">
        <v>0.55000000000000004</v>
      </c>
      <c r="G224" s="234">
        <v>0.11995</v>
      </c>
      <c r="H224" s="247">
        <v>1.9692000000000001</v>
      </c>
      <c r="I224" s="77">
        <v>4.1700000000000001E-2</v>
      </c>
      <c r="J224" s="77"/>
      <c r="K224" s="77"/>
      <c r="L224" s="77"/>
      <c r="M224" s="77"/>
      <c r="N224" s="77"/>
      <c r="O224" s="77"/>
      <c r="P224" s="77"/>
      <c r="Q224" s="77"/>
      <c r="R224" s="14">
        <f t="shared" si="101"/>
        <v>5.0036096669877761</v>
      </c>
      <c r="S224">
        <f t="shared" si="102"/>
        <v>2.3972693312068666E-2</v>
      </c>
      <c r="T224">
        <f t="shared" si="103"/>
        <v>1.0764412575138931</v>
      </c>
      <c r="U224">
        <f>0.15/G224/T224</f>
        <v>1.1617178751823738</v>
      </c>
      <c r="V224">
        <f t="shared" si="104"/>
        <v>0.41684035014589416</v>
      </c>
      <c r="W224">
        <f t="shared" si="105"/>
        <v>2.8074064724376794E-2</v>
      </c>
      <c r="X224">
        <f t="shared" si="106"/>
        <v>6.7662523278990486E-2</v>
      </c>
      <c r="Y224">
        <f t="shared" si="107"/>
        <v>1.2092967596433159E-4</v>
      </c>
      <c r="AA224" s="230">
        <f t="shared" si="91"/>
        <v>0.10992064461557123</v>
      </c>
      <c r="AB224">
        <f t="shared" si="92"/>
        <v>1.2557305076441201</v>
      </c>
      <c r="AC224">
        <v>1.9589692861062937</v>
      </c>
      <c r="AD224">
        <f t="shared" si="93"/>
        <v>-0.49999999999999994</v>
      </c>
      <c r="AE224">
        <f t="shared" si="94"/>
        <v>8.3328419048234181E-7</v>
      </c>
      <c r="AF224">
        <f t="shared" si="95"/>
        <v>3.2073934756109597</v>
      </c>
      <c r="AG224">
        <f t="shared" si="96"/>
        <v>3.8036491095525342</v>
      </c>
      <c r="AH224">
        <f t="shared" si="97"/>
        <v>1.6518835271634054</v>
      </c>
      <c r="AI224">
        <f t="shared" si="98"/>
        <v>1.8170718798797461</v>
      </c>
      <c r="AJ224">
        <f t="shared" si="99"/>
        <v>1.5180373213448373</v>
      </c>
      <c r="AK224">
        <f t="shared" si="100"/>
        <v>-19.246862260046417</v>
      </c>
    </row>
    <row r="225" spans="1:57">
      <c r="D225" s="6">
        <v>-30</v>
      </c>
      <c r="E225" s="73">
        <v>0.3</v>
      </c>
      <c r="F225" s="104">
        <v>0.55000000000000004</v>
      </c>
      <c r="G225" s="234">
        <v>0.16084999999999999</v>
      </c>
      <c r="H225" s="247">
        <v>2.1333000000000002</v>
      </c>
      <c r="I225" s="77">
        <v>0.219</v>
      </c>
      <c r="J225" s="77"/>
      <c r="K225" s="77"/>
      <c r="L225" s="77"/>
      <c r="M225" s="77"/>
      <c r="N225" s="77"/>
      <c r="O225" s="77"/>
      <c r="P225" s="77"/>
      <c r="Q225" s="77"/>
      <c r="R225" s="14">
        <f t="shared" si="101"/>
        <v>5.872291900839822</v>
      </c>
      <c r="S225">
        <f t="shared" si="102"/>
        <v>2.7391349530324974E-2</v>
      </c>
      <c r="T225">
        <f t="shared" si="103"/>
        <v>1.0070291329708347</v>
      </c>
      <c r="U225">
        <f>0.15/G225/T225</f>
        <v>0.9260366156636054</v>
      </c>
      <c r="V225">
        <f t="shared" si="104"/>
        <v>0.3108486167236556</v>
      </c>
      <c r="W225">
        <f t="shared" si="105"/>
        <v>3.8143381495107792E-2</v>
      </c>
      <c r="X225">
        <f t="shared" si="106"/>
        <v>8.9131335616274787E-2</v>
      </c>
      <c r="Y225">
        <f t="shared" si="107"/>
        <v>4.3717772911799321E-4</v>
      </c>
      <c r="AA225" s="230">
        <f t="shared" si="91"/>
        <v>9.3660194228652391E-2</v>
      </c>
      <c r="AB225">
        <f t="shared" si="92"/>
        <v>1.0699715568091908</v>
      </c>
      <c r="AC225">
        <v>1.7678339892177375</v>
      </c>
      <c r="AD225">
        <f t="shared" si="93"/>
        <v>-0.49999999999999994</v>
      </c>
      <c r="AE225">
        <f t="shared" si="94"/>
        <v>4.1215536478178549E-7</v>
      </c>
      <c r="AF225">
        <f t="shared" si="95"/>
        <v>3.5541715712570281</v>
      </c>
      <c r="AG225">
        <f t="shared" si="96"/>
        <v>3.5049935567094708</v>
      </c>
      <c r="AH225">
        <f t="shared" si="97"/>
        <v>1.7926381904902315</v>
      </c>
      <c r="AI225">
        <f t="shared" si="98"/>
        <v>1.9719020095392548</v>
      </c>
      <c r="AJ225">
        <f t="shared" si="99"/>
        <v>1.6075924803535344</v>
      </c>
      <c r="AK225">
        <f t="shared" si="100"/>
        <v>-19.893490594584375</v>
      </c>
      <c r="AL225" s="14">
        <f>AVERAGE(AK209:AK225)</f>
        <v>-16.525958310374694</v>
      </c>
    </row>
    <row r="226" spans="1:57" s="17" customFormat="1">
      <c r="A226" s="16" t="s">
        <v>246</v>
      </c>
      <c r="B226" s="6">
        <v>637</v>
      </c>
      <c r="C226" s="17" t="s">
        <v>147</v>
      </c>
      <c r="D226" s="6">
        <v>-30</v>
      </c>
      <c r="E226" s="73">
        <v>0.4</v>
      </c>
      <c r="F226" s="104">
        <v>0.55000000000000004</v>
      </c>
      <c r="G226" s="234">
        <v>8.4654999999999994E-2</v>
      </c>
      <c r="H226" s="247">
        <v>1.6</v>
      </c>
      <c r="I226" s="77">
        <v>0.85119999999999996</v>
      </c>
      <c r="J226" s="234">
        <v>8.4654999999999994E-2</v>
      </c>
      <c r="K226" s="247">
        <v>1.6</v>
      </c>
      <c r="L226" s="234">
        <v>8.6576E-2</v>
      </c>
      <c r="M226" s="247">
        <v>1.7067000000000001</v>
      </c>
      <c r="N226" s="77">
        <v>0</v>
      </c>
      <c r="O226" s="77">
        <v>0</v>
      </c>
      <c r="P226" s="77">
        <v>0.85119999999999996</v>
      </c>
      <c r="Q226" s="249">
        <v>0.84660000000000002</v>
      </c>
      <c r="R226" s="14">
        <f t="shared" si="101"/>
        <v>3.303267420522829</v>
      </c>
      <c r="S226">
        <f t="shared" si="102"/>
        <v>2.5627655658166815E-2</v>
      </c>
      <c r="T226">
        <f t="shared" si="103"/>
        <v>1.0411044663282885</v>
      </c>
      <c r="U226">
        <f t="shared" si="108"/>
        <v>0.56731345084204876</v>
      </c>
      <c r="V226">
        <f t="shared" si="104"/>
        <v>0.59063256747977089</v>
      </c>
      <c r="W226">
        <f t="shared" si="105"/>
        <v>1.1543420246387649E-2</v>
      </c>
      <c r="X226">
        <f t="shared" si="106"/>
        <v>4.3063367387681468E-2</v>
      </c>
      <c r="Y226">
        <f t="shared" si="107"/>
        <v>4.3047301475750682E-3</v>
      </c>
      <c r="Z226" s="79"/>
      <c r="AA226" s="230">
        <f t="shared" si="91"/>
        <v>0.16650180865857603</v>
      </c>
      <c r="AB226">
        <f t="shared" si="92"/>
        <v>1.9021122141498028</v>
      </c>
      <c r="AC226">
        <v>2.7477763866388938</v>
      </c>
      <c r="AD226">
        <f t="shared" si="93"/>
        <v>-0.49999999999999994</v>
      </c>
      <c r="AE226">
        <f t="shared" si="94"/>
        <v>7.2786146410042107E-7</v>
      </c>
      <c r="AF226">
        <f t="shared" si="95"/>
        <v>2.2866436067111118</v>
      </c>
      <c r="AG226">
        <f t="shared" si="96"/>
        <v>4.8692459038752078</v>
      </c>
      <c r="AH226">
        <f t="shared" si="97"/>
        <v>1.2903815973186092</v>
      </c>
      <c r="AI226">
        <f t="shared" si="98"/>
        <v>1.4194197570504703</v>
      </c>
      <c r="AJ226">
        <f t="shared" si="99"/>
        <v>1.199293211555073</v>
      </c>
      <c r="AK226">
        <f t="shared" si="100"/>
        <v>-10.8808615400524</v>
      </c>
      <c r="AL226" s="73"/>
      <c r="AM226" s="73"/>
      <c r="AR226" s="77"/>
      <c r="AS226" s="77"/>
      <c r="AT226" s="77"/>
      <c r="AU226" s="199"/>
      <c r="AV226" s="77"/>
      <c r="AW226" s="77"/>
      <c r="AX226" s="77"/>
      <c r="AY226" s="77"/>
      <c r="AZ226" s="77"/>
      <c r="BA226" s="77"/>
      <c r="BB226" s="77"/>
      <c r="BC226" s="77"/>
      <c r="BD226" s="77"/>
      <c r="BE226" s="77"/>
    </row>
    <row r="227" spans="1:57" s="17" customFormat="1">
      <c r="A227" s="16" t="s">
        <v>246</v>
      </c>
      <c r="B227" s="6">
        <v>638</v>
      </c>
      <c r="C227" s="17" t="s">
        <v>148</v>
      </c>
      <c r="D227" s="6">
        <v>-30</v>
      </c>
      <c r="E227" s="73">
        <v>0.4</v>
      </c>
      <c r="F227" s="104">
        <v>0.55000000000000004</v>
      </c>
      <c r="G227" s="234">
        <v>7.4331999999999995E-2</v>
      </c>
      <c r="H227" s="247">
        <v>1.1636</v>
      </c>
      <c r="I227" s="77">
        <v>0.1268</v>
      </c>
      <c r="J227" s="234">
        <v>7.4331999999999995E-2</v>
      </c>
      <c r="K227" s="247">
        <v>1.1636</v>
      </c>
      <c r="L227" s="234">
        <v>8.0627000000000004E-2</v>
      </c>
      <c r="M227" s="247">
        <v>1.1636</v>
      </c>
      <c r="N227" s="77">
        <v>0</v>
      </c>
      <c r="O227" s="77">
        <v>0</v>
      </c>
      <c r="P227" s="77">
        <v>0.1268</v>
      </c>
      <c r="Q227" s="249">
        <v>0.1822</v>
      </c>
      <c r="R227" s="14">
        <f t="shared" si="101"/>
        <v>1.747073570663084</v>
      </c>
      <c r="S227">
        <f t="shared" si="102"/>
        <v>4.2546576886162875E-2</v>
      </c>
      <c r="T227">
        <f t="shared" si="103"/>
        <v>0.80800944512021977</v>
      </c>
      <c r="U227">
        <f t="shared" si="108"/>
        <v>0.8324875526932658</v>
      </c>
      <c r="V227">
        <f t="shared" si="104"/>
        <v>0.67265780552117538</v>
      </c>
      <c r="W227">
        <f t="shared" si="105"/>
        <v>2.5423146553209255E-3</v>
      </c>
      <c r="X227">
        <f t="shared" si="106"/>
        <v>3.4792681821943588E-2</v>
      </c>
      <c r="Y227">
        <f t="shared" si="107"/>
        <v>1.0042148431876736E-3</v>
      </c>
      <c r="Z227" s="79"/>
      <c r="AA227" s="230">
        <f t="shared" si="91"/>
        <v>0.31481215744752705</v>
      </c>
      <c r="AB227">
        <f t="shared" si="92"/>
        <v>3.5964056767196513</v>
      </c>
      <c r="AC227">
        <v>4.9691663175493943</v>
      </c>
      <c r="AD227">
        <f t="shared" si="93"/>
        <v>-0.49999999999999994</v>
      </c>
      <c r="AE227">
        <f t="shared" si="94"/>
        <v>3.584940828638139E-7</v>
      </c>
      <c r="AF227">
        <f t="shared" si="95"/>
        <v>1.2644344957804143</v>
      </c>
      <c r="AG227">
        <f t="shared" si="96"/>
        <v>6.9335928501730448</v>
      </c>
      <c r="AH227">
        <f t="shared" si="97"/>
        <v>0.90619473092118097</v>
      </c>
      <c r="AI227">
        <f t="shared" si="98"/>
        <v>0.99681420401329912</v>
      </c>
      <c r="AJ227">
        <f t="shared" si="99"/>
        <v>0.74584501939172343</v>
      </c>
      <c r="AK227">
        <f t="shared" si="100"/>
        <v>2.4004773183744508</v>
      </c>
      <c r="AL227" s="73"/>
      <c r="AM227" s="73"/>
      <c r="AR227" s="77"/>
      <c r="AS227" s="77"/>
      <c r="AT227" s="77"/>
      <c r="AU227" s="199"/>
      <c r="AV227" s="77"/>
      <c r="AW227" s="77"/>
      <c r="AX227" s="77"/>
      <c r="AY227" s="77"/>
      <c r="AZ227" s="77"/>
      <c r="BA227" s="77"/>
      <c r="BB227" s="77"/>
      <c r="BC227" s="77"/>
      <c r="BD227" s="77"/>
      <c r="BE227" s="77"/>
    </row>
    <row r="228" spans="1:57" s="17" customFormat="1">
      <c r="A228" s="16" t="s">
        <v>246</v>
      </c>
      <c r="B228" s="6">
        <v>639</v>
      </c>
      <c r="C228" s="17" t="s">
        <v>149</v>
      </c>
      <c r="D228" s="6">
        <v>-30</v>
      </c>
      <c r="E228" s="73">
        <v>0.4</v>
      </c>
      <c r="F228" s="104">
        <v>0.55000000000000004</v>
      </c>
      <c r="G228" s="234">
        <v>0.11854000000000001</v>
      </c>
      <c r="H228" s="247">
        <v>1.8286</v>
      </c>
      <c r="I228" s="77">
        <v>2.8761000000000001</v>
      </c>
      <c r="J228" s="234">
        <v>0.11854000000000001</v>
      </c>
      <c r="K228" s="247">
        <v>1.8286</v>
      </c>
      <c r="L228" s="234">
        <v>0.1236</v>
      </c>
      <c r="M228" s="247">
        <v>1.8286</v>
      </c>
      <c r="N228" s="77">
        <v>0.1472</v>
      </c>
      <c r="O228" s="77">
        <v>3.9199999999999999E-2</v>
      </c>
      <c r="P228" s="77">
        <v>2.8761000000000001</v>
      </c>
      <c r="Q228" s="249">
        <v>3.2906</v>
      </c>
      <c r="R228" s="14">
        <f t="shared" si="101"/>
        <v>4.3146065612227682</v>
      </c>
      <c r="S228">
        <f t="shared" si="102"/>
        <v>2.7474115731749491E-2</v>
      </c>
      <c r="T228">
        <f t="shared" si="103"/>
        <v>1.005511143395265</v>
      </c>
      <c r="U228">
        <f t="shared" si="108"/>
        <v>0.41948669766972735</v>
      </c>
      <c r="V228">
        <f t="shared" si="104"/>
        <v>0.42179854901299141</v>
      </c>
      <c r="W228">
        <f t="shared" si="105"/>
        <v>2.2499802979036816E-2</v>
      </c>
      <c r="X228">
        <f t="shared" si="106"/>
        <v>6.679586244073131E-2</v>
      </c>
      <c r="Y228">
        <f t="shared" si="107"/>
        <v>9.0888148695894618E-3</v>
      </c>
      <c r="Z228" s="79"/>
      <c r="AA228" s="230">
        <f t="shared" si="91"/>
        <v>0.12747396366173627</v>
      </c>
      <c r="AB228">
        <f t="shared" si="92"/>
        <v>1.4562591555043014</v>
      </c>
      <c r="AC228">
        <v>2.2526665049294352</v>
      </c>
      <c r="AD228">
        <f t="shared" si="93"/>
        <v>-0.49999999999999994</v>
      </c>
      <c r="AE228">
        <f t="shared" si="94"/>
        <v>7.1226887804476391E-7</v>
      </c>
      <c r="AF228">
        <f t="shared" si="95"/>
        <v>2.7892212599735915</v>
      </c>
      <c r="AG228">
        <f t="shared" si="96"/>
        <v>4.2302036172674224</v>
      </c>
      <c r="AH228">
        <f t="shared" si="97"/>
        <v>1.4853150996164872</v>
      </c>
      <c r="AI228">
        <f t="shared" si="98"/>
        <v>1.6338466095781361</v>
      </c>
      <c r="AJ228">
        <f t="shared" si="99"/>
        <v>1.3885738798204863</v>
      </c>
      <c r="AK228">
        <f t="shared" si="100"/>
        <v>-13.751223261344835</v>
      </c>
      <c r="AL228" s="73"/>
      <c r="AM228" s="73"/>
      <c r="AR228" s="77"/>
      <c r="AS228" s="77"/>
      <c r="AT228" s="77"/>
      <c r="AU228" s="199"/>
      <c r="AV228" s="77"/>
      <c r="AW228" s="77"/>
      <c r="AX228" s="77"/>
      <c r="AY228" s="77"/>
      <c r="AZ228" s="77"/>
      <c r="BA228" s="77"/>
      <c r="BB228" s="77"/>
      <c r="BC228" s="77"/>
      <c r="BD228" s="77"/>
      <c r="BE228" s="77"/>
    </row>
    <row r="229" spans="1:57" s="17" customFormat="1">
      <c r="A229" s="16" t="s">
        <v>246</v>
      </c>
      <c r="B229" s="6">
        <v>640</v>
      </c>
      <c r="C229" s="17" t="s">
        <v>150</v>
      </c>
      <c r="D229" s="6">
        <v>-30</v>
      </c>
      <c r="E229" s="73">
        <v>0.4</v>
      </c>
      <c r="F229" s="104">
        <v>0.55000000000000004</v>
      </c>
      <c r="G229" s="234">
        <v>0.10591</v>
      </c>
      <c r="H229" s="247">
        <v>1.4221999999999999</v>
      </c>
      <c r="I229" s="77">
        <v>0.65190000000000003</v>
      </c>
      <c r="J229" s="234">
        <v>0.10591</v>
      </c>
      <c r="K229" s="247">
        <v>1.4221999999999999</v>
      </c>
      <c r="L229" s="234">
        <v>0.10854999999999999</v>
      </c>
      <c r="M229" s="247">
        <v>1.3473999999999999</v>
      </c>
      <c r="N229" s="77">
        <v>0</v>
      </c>
      <c r="O229" s="77">
        <v>0</v>
      </c>
      <c r="P229" s="77">
        <v>0.65190000000000003</v>
      </c>
      <c r="Q229" s="249">
        <v>0.92079999999999995</v>
      </c>
      <c r="R229" s="14">
        <f t="shared" si="101"/>
        <v>2.6099075114843648</v>
      </c>
      <c r="S229">
        <f t="shared" si="102"/>
        <v>4.0579982062185993E-2</v>
      </c>
      <c r="T229">
        <f t="shared" si="103"/>
        <v>0.82735676868263719</v>
      </c>
      <c r="U229">
        <f t="shared" si="108"/>
        <v>0.57061109524978992</v>
      </c>
      <c r="V229">
        <f t="shared" si="104"/>
        <v>0.47209895194032669</v>
      </c>
      <c r="W229">
        <f t="shared" si="105"/>
        <v>9.0308850576130695E-3</v>
      </c>
      <c r="X229">
        <f t="shared" si="106"/>
        <v>5.8607348603054034E-2</v>
      </c>
      <c r="Y229">
        <f t="shared" si="107"/>
        <v>2.9646283155440449E-3</v>
      </c>
      <c r="Z229" s="79"/>
      <c r="AA229" s="230">
        <f t="shared" si="91"/>
        <v>0.2107354370144679</v>
      </c>
      <c r="AB229">
        <f t="shared" si="92"/>
        <v>2.4074360028206798</v>
      </c>
      <c r="AC229">
        <v>3.3436416347375331</v>
      </c>
      <c r="AD229">
        <f t="shared" si="93"/>
        <v>-0.49999999999999994</v>
      </c>
      <c r="AE229">
        <f t="shared" si="94"/>
        <v>5.9595211310270457E-7</v>
      </c>
      <c r="AF229">
        <f t="shared" si="95"/>
        <v>1.8791443562320636</v>
      </c>
      <c r="AG229">
        <f t="shared" si="96"/>
        <v>5.5284559921567888</v>
      </c>
      <c r="AH229">
        <f t="shared" si="97"/>
        <v>1.1365171968617513</v>
      </c>
      <c r="AI229">
        <f t="shared" si="98"/>
        <v>1.2501689165479266</v>
      </c>
      <c r="AJ229">
        <f t="shared" si="99"/>
        <v>1.0221549726821431</v>
      </c>
      <c r="AK229">
        <f t="shared" si="100"/>
        <v>-7.1521613430883031</v>
      </c>
      <c r="AL229" s="73"/>
      <c r="AM229" s="73"/>
      <c r="AR229" s="77"/>
      <c r="AS229" s="77"/>
      <c r="AT229" s="77"/>
      <c r="AU229" s="199"/>
      <c r="AV229" s="77"/>
      <c r="AW229" s="77"/>
      <c r="AX229" s="77"/>
      <c r="AY229" s="77"/>
      <c r="AZ229" s="77"/>
      <c r="BA229" s="77"/>
      <c r="BB229" s="77"/>
      <c r="BC229" s="77"/>
      <c r="BD229" s="77"/>
      <c r="BE229" s="77"/>
    </row>
    <row r="230" spans="1:57" s="17" customFormat="1">
      <c r="A230" s="16" t="s">
        <v>246</v>
      </c>
      <c r="B230" s="6">
        <v>641</v>
      </c>
      <c r="C230" s="17" t="s">
        <v>151</v>
      </c>
      <c r="D230" s="6">
        <v>-30</v>
      </c>
      <c r="E230" s="73">
        <v>0.4</v>
      </c>
      <c r="F230" s="104">
        <v>0.55000000000000004</v>
      </c>
      <c r="G230" s="234">
        <v>0.1487</v>
      </c>
      <c r="H230" s="247">
        <v>2.1333000000000002</v>
      </c>
      <c r="I230" s="77">
        <v>5.1933999999999996</v>
      </c>
      <c r="J230" s="234">
        <v>0.1487</v>
      </c>
      <c r="K230" s="247">
        <v>2.1333000000000002</v>
      </c>
      <c r="L230" s="234">
        <v>0.16431000000000001</v>
      </c>
      <c r="M230" s="247">
        <v>2.1333000000000002</v>
      </c>
      <c r="N230" s="77">
        <v>1.0241</v>
      </c>
      <c r="O230" s="77">
        <v>0.25490000000000002</v>
      </c>
      <c r="P230" s="77">
        <v>5.1933999999999996</v>
      </c>
      <c r="Q230" s="249">
        <v>7.3840000000000003</v>
      </c>
      <c r="R230" s="14">
        <f t="shared" si="101"/>
        <v>5.872291900839822</v>
      </c>
      <c r="S230">
        <f t="shared" si="102"/>
        <v>2.5322310694182924E-2</v>
      </c>
      <c r="T230">
        <f t="shared" si="103"/>
        <v>1.0473626514521341</v>
      </c>
      <c r="U230">
        <f t="shared" si="108"/>
        <v>0.32104207427839609</v>
      </c>
      <c r="V230">
        <f t="shared" si="104"/>
        <v>0.33624747814391392</v>
      </c>
      <c r="W230">
        <f t="shared" si="105"/>
        <v>3.7408492284214452E-2</v>
      </c>
      <c r="X230">
        <f t="shared" si="106"/>
        <v>8.3435503763277463E-2</v>
      </c>
      <c r="Y230">
        <f t="shared" si="107"/>
        <v>1.1214393355499962E-2</v>
      </c>
      <c r="Z230" s="79"/>
      <c r="AA230" s="230">
        <f t="shared" si="91"/>
        <v>9.3660194228652391E-2</v>
      </c>
      <c r="AB230">
        <f t="shared" si="92"/>
        <v>1.0699715568091908</v>
      </c>
      <c r="AC230">
        <v>1.8313104864833274</v>
      </c>
      <c r="AD230">
        <f t="shared" si="93"/>
        <v>-0.49999999999999994</v>
      </c>
      <c r="AE230">
        <f t="shared" si="94"/>
        <v>5.9164420279644858E-7</v>
      </c>
      <c r="AF230">
        <f t="shared" si="95"/>
        <v>3.430977626980781</v>
      </c>
      <c r="AG230">
        <f t="shared" si="96"/>
        <v>3.6060807351123136</v>
      </c>
      <c r="AH230">
        <f t="shared" si="97"/>
        <v>1.7423861995102814</v>
      </c>
      <c r="AI230">
        <f t="shared" si="98"/>
        <v>1.9166248194613096</v>
      </c>
      <c r="AJ230">
        <f t="shared" si="99"/>
        <v>1.5774870980396998</v>
      </c>
      <c r="AK230">
        <f t="shared" si="100"/>
        <v>-15.88398621350229</v>
      </c>
      <c r="AL230" s="73"/>
      <c r="AM230" s="73"/>
      <c r="AR230" s="77"/>
      <c r="AS230" s="77"/>
      <c r="AT230" s="77"/>
      <c r="AU230" s="199"/>
      <c r="AV230" s="77"/>
      <c r="AW230" s="77"/>
      <c r="AX230" s="77"/>
      <c r="AY230" s="77"/>
      <c r="AZ230" s="77"/>
      <c r="BA230" s="77"/>
      <c r="BB230" s="77"/>
      <c r="BC230" s="77"/>
      <c r="BD230" s="77"/>
      <c r="BE230" s="77"/>
    </row>
    <row r="231" spans="1:57" s="17" customFormat="1" ht="13.5" thickBot="1">
      <c r="A231" s="115" t="s">
        <v>246</v>
      </c>
      <c r="B231" s="116">
        <v>642</v>
      </c>
      <c r="C231" s="147" t="s">
        <v>152</v>
      </c>
      <c r="D231" s="6">
        <v>-30</v>
      </c>
      <c r="E231" s="118">
        <v>0.4</v>
      </c>
      <c r="F231" s="120">
        <v>0.55000000000000004</v>
      </c>
      <c r="G231" s="238">
        <v>0.13619999999999999</v>
      </c>
      <c r="H231" s="248">
        <v>1.5059</v>
      </c>
      <c r="I231" s="126">
        <v>2.3978999999999999</v>
      </c>
      <c r="J231" s="238">
        <v>0.13619999999999999</v>
      </c>
      <c r="K231" s="248">
        <v>1.5059</v>
      </c>
      <c r="L231" s="238">
        <v>0.13600000000000001</v>
      </c>
      <c r="M231" s="248">
        <v>1.5059</v>
      </c>
      <c r="N231" s="151">
        <v>5.9499999999999997E-2</v>
      </c>
      <c r="O231" s="151">
        <v>0</v>
      </c>
      <c r="P231" s="151">
        <v>2.3978999999999999</v>
      </c>
      <c r="Q231" s="250">
        <v>2.5194999999999999</v>
      </c>
      <c r="R231" s="14">
        <f t="shared" si="101"/>
        <v>2.9261462954134876</v>
      </c>
      <c r="S231">
        <f t="shared" si="102"/>
        <v>4.6545861433340899E-2</v>
      </c>
      <c r="T231">
        <f t="shared" si="103"/>
        <v>0.77251729917693912</v>
      </c>
      <c r="U231">
        <f t="shared" si="108"/>
        <v>0.47520902857729391</v>
      </c>
      <c r="V231">
        <f t="shared" si="104"/>
        <v>0.36710719530102798</v>
      </c>
      <c r="W231">
        <f t="shared" si="105"/>
        <v>1.3266321312448056E-2</v>
      </c>
      <c r="X231">
        <f t="shared" si="106"/>
        <v>7.7002559284730501E-2</v>
      </c>
      <c r="Y231">
        <f t="shared" si="107"/>
        <v>8.0083812549367889E-3</v>
      </c>
      <c r="Z231" s="79"/>
      <c r="AA231" s="230">
        <f t="shared" si="91"/>
        <v>0.18796052708030467</v>
      </c>
      <c r="AB231">
        <f t="shared" si="92"/>
        <v>2.1472560401467291</v>
      </c>
      <c r="AC231">
        <v>3.0310647794559777</v>
      </c>
      <c r="AD231">
        <f t="shared" si="93"/>
        <v>-0.49999999999999994</v>
      </c>
      <c r="AE231">
        <f t="shared" si="94"/>
        <v>2.7222108500701836E-7</v>
      </c>
      <c r="AF231">
        <f t="shared" si="95"/>
        <v>2.072930063971548</v>
      </c>
      <c r="AG231">
        <f t="shared" si="96"/>
        <v>5.1958299608950318</v>
      </c>
      <c r="AH231">
        <f t="shared" si="97"/>
        <v>1.2092746210842602</v>
      </c>
      <c r="AI231">
        <f t="shared" si="98"/>
        <v>1.3302020831926864</v>
      </c>
      <c r="AJ231">
        <f t="shared" si="99"/>
        <v>1.1084546919422837</v>
      </c>
      <c r="AK231">
        <f t="shared" si="100"/>
        <v>-9.1272486645640782</v>
      </c>
      <c r="AL231" s="73"/>
      <c r="AM231" s="73"/>
      <c r="AR231" s="77"/>
      <c r="AS231" s="77"/>
      <c r="AT231" s="77"/>
      <c r="AU231" s="199"/>
      <c r="AV231" s="77"/>
      <c r="AW231" s="77"/>
      <c r="AX231" s="77"/>
      <c r="AY231" s="77"/>
      <c r="AZ231" s="77"/>
      <c r="BA231" s="77"/>
      <c r="BB231" s="77"/>
      <c r="BC231" s="77"/>
      <c r="BD231" s="77"/>
      <c r="BE231" s="77"/>
    </row>
    <row r="232" spans="1:57">
      <c r="D232" s="6">
        <v>-30</v>
      </c>
      <c r="E232" s="73">
        <v>0.4</v>
      </c>
      <c r="F232" s="104">
        <v>0.55000000000000004</v>
      </c>
      <c r="G232" s="234">
        <v>8.4654999999999994E-2</v>
      </c>
      <c r="H232" s="247">
        <v>1.6</v>
      </c>
      <c r="I232" s="77">
        <v>0.84660000000000002</v>
      </c>
      <c r="R232" s="14">
        <f t="shared" si="101"/>
        <v>3.303267420522829</v>
      </c>
      <c r="S232">
        <f t="shared" si="102"/>
        <v>2.5627655658166815E-2</v>
      </c>
      <c r="T232">
        <f t="shared" si="103"/>
        <v>1.0411044663282885</v>
      </c>
      <c r="U232">
        <f t="shared" si="108"/>
        <v>0.56731345084204876</v>
      </c>
      <c r="V232">
        <f t="shared" si="104"/>
        <v>0.59063256747977089</v>
      </c>
      <c r="W232">
        <f t="shared" si="105"/>
        <v>1.1543420246387649E-2</v>
      </c>
      <c r="X232">
        <f t="shared" si="106"/>
        <v>4.3063367387681468E-2</v>
      </c>
      <c r="Y232">
        <f t="shared" si="107"/>
        <v>4.2814668032625149E-3</v>
      </c>
      <c r="AA232" s="230">
        <f t="shared" si="91"/>
        <v>0.16650180865857603</v>
      </c>
      <c r="AB232">
        <f t="shared" si="92"/>
        <v>1.9021122141498028</v>
      </c>
      <c r="AC232">
        <v>2.7477763866388938</v>
      </c>
      <c r="AD232">
        <f t="shared" si="93"/>
        <v>-0.49999999999999994</v>
      </c>
      <c r="AE232">
        <f t="shared" si="94"/>
        <v>7.2786146410042107E-7</v>
      </c>
      <c r="AF232">
        <f t="shared" si="95"/>
        <v>2.2866436067111118</v>
      </c>
      <c r="AG232">
        <f t="shared" si="96"/>
        <v>4.8692459038752078</v>
      </c>
      <c r="AH232">
        <f t="shared" si="97"/>
        <v>1.2903815973186092</v>
      </c>
      <c r="AI232">
        <f t="shared" si="98"/>
        <v>1.4194197570504703</v>
      </c>
      <c r="AJ232">
        <f t="shared" si="99"/>
        <v>1.199293211555073</v>
      </c>
      <c r="AK232">
        <f t="shared" si="100"/>
        <v>-10.8808615400524</v>
      </c>
    </row>
    <row r="233" spans="1:57">
      <c r="D233" s="6">
        <v>-30</v>
      </c>
      <c r="E233" s="118">
        <v>0.4</v>
      </c>
      <c r="F233" s="120">
        <v>0.55000000000000004</v>
      </c>
      <c r="G233" s="234">
        <v>7.4331999999999995E-2</v>
      </c>
      <c r="H233" s="247">
        <v>1.1636</v>
      </c>
      <c r="I233" s="77">
        <v>0.1822</v>
      </c>
      <c r="R233" s="14">
        <f t="shared" si="101"/>
        <v>1.747073570663084</v>
      </c>
      <c r="S233">
        <f t="shared" si="102"/>
        <v>4.2546576886162875E-2</v>
      </c>
      <c r="T233">
        <f t="shared" si="103"/>
        <v>0.80800944512021977</v>
      </c>
      <c r="U233">
        <f t="shared" si="108"/>
        <v>0.8324875526932658</v>
      </c>
      <c r="V233">
        <f t="shared" si="104"/>
        <v>0.67265780552117538</v>
      </c>
      <c r="W233">
        <f t="shared" si="105"/>
        <v>2.5423146553209255E-3</v>
      </c>
      <c r="X233">
        <f t="shared" si="106"/>
        <v>3.4792681821943588E-2</v>
      </c>
      <c r="Y233">
        <f t="shared" si="107"/>
        <v>1.4429648614258214E-3</v>
      </c>
      <c r="AA233" s="230">
        <f t="shared" si="91"/>
        <v>0.31481215744752705</v>
      </c>
      <c r="AB233">
        <f t="shared" si="92"/>
        <v>3.5964056767196513</v>
      </c>
      <c r="AC233">
        <v>4.9691663175493943</v>
      </c>
      <c r="AD233">
        <f t="shared" si="93"/>
        <v>-0.49999999999999994</v>
      </c>
      <c r="AE233">
        <f t="shared" si="94"/>
        <v>3.584940828638139E-7</v>
      </c>
      <c r="AF233">
        <f t="shared" si="95"/>
        <v>1.2644344957804143</v>
      </c>
      <c r="AG233">
        <f t="shared" si="96"/>
        <v>6.9335928501730448</v>
      </c>
      <c r="AH233">
        <f t="shared" si="97"/>
        <v>0.90619473092118097</v>
      </c>
      <c r="AI233">
        <f t="shared" si="98"/>
        <v>0.99681420401329912</v>
      </c>
      <c r="AJ233">
        <f t="shared" si="99"/>
        <v>0.74584501939172343</v>
      </c>
      <c r="AK233">
        <f t="shared" si="100"/>
        <v>2.4004773183744508</v>
      </c>
    </row>
    <row r="234" spans="1:57">
      <c r="D234" s="6">
        <v>-30</v>
      </c>
      <c r="E234" s="73">
        <v>0.4</v>
      </c>
      <c r="F234" s="104">
        <v>0.55000000000000004</v>
      </c>
      <c r="G234" s="234">
        <v>0.11854000000000001</v>
      </c>
      <c r="H234" s="247">
        <v>1.8286</v>
      </c>
      <c r="I234" s="77">
        <v>3.2906</v>
      </c>
      <c r="R234" s="14">
        <f t="shared" si="101"/>
        <v>4.3146065612227682</v>
      </c>
      <c r="S234">
        <f t="shared" si="102"/>
        <v>2.7474115731749491E-2</v>
      </c>
      <c r="T234">
        <f t="shared" si="103"/>
        <v>1.005511143395265</v>
      </c>
      <c r="U234">
        <f t="shared" si="108"/>
        <v>0.41948669766972735</v>
      </c>
      <c r="V234">
        <f t="shared" si="104"/>
        <v>0.42179854901299141</v>
      </c>
      <c r="W234">
        <f t="shared" si="105"/>
        <v>2.2499802979036816E-2</v>
      </c>
      <c r="X234">
        <f t="shared" si="106"/>
        <v>6.679586244073131E-2</v>
      </c>
      <c r="Y234">
        <f t="shared" si="107"/>
        <v>1.0398683707058546E-2</v>
      </c>
      <c r="AA234" s="230">
        <f t="shared" si="91"/>
        <v>0.12747396366173627</v>
      </c>
      <c r="AB234">
        <f t="shared" si="92"/>
        <v>1.4562591555043014</v>
      </c>
      <c r="AC234">
        <v>2.2526665049294352</v>
      </c>
      <c r="AD234">
        <f t="shared" si="93"/>
        <v>-0.49999999999999994</v>
      </c>
      <c r="AE234">
        <f t="shared" si="94"/>
        <v>7.1226887804476391E-7</v>
      </c>
      <c r="AF234">
        <f t="shared" si="95"/>
        <v>2.7892212599735915</v>
      </c>
      <c r="AG234">
        <f t="shared" si="96"/>
        <v>4.2302036172674224</v>
      </c>
      <c r="AH234">
        <f t="shared" si="97"/>
        <v>1.4853150996164872</v>
      </c>
      <c r="AI234">
        <f t="shared" si="98"/>
        <v>1.6338466095781361</v>
      </c>
      <c r="AJ234">
        <f t="shared" si="99"/>
        <v>1.3885738798204863</v>
      </c>
      <c r="AK234">
        <f t="shared" si="100"/>
        <v>-13.751223261344835</v>
      </c>
    </row>
    <row r="235" spans="1:57">
      <c r="D235" s="6">
        <v>-30</v>
      </c>
      <c r="E235" s="118">
        <v>0.4</v>
      </c>
      <c r="F235" s="120">
        <v>0.55000000000000004</v>
      </c>
      <c r="G235" s="234">
        <v>0.10591</v>
      </c>
      <c r="H235" s="247">
        <v>1.4221999999999999</v>
      </c>
      <c r="I235" s="77">
        <v>0.92079999999999995</v>
      </c>
      <c r="R235" s="14">
        <f t="shared" si="101"/>
        <v>2.6099075114843648</v>
      </c>
      <c r="S235">
        <f t="shared" si="102"/>
        <v>4.0579982062185993E-2</v>
      </c>
      <c r="T235">
        <f t="shared" si="103"/>
        <v>0.82735676868263719</v>
      </c>
      <c r="U235">
        <f t="shared" si="108"/>
        <v>0.57061109524978992</v>
      </c>
      <c r="V235">
        <f t="shared" si="104"/>
        <v>0.47209895194032669</v>
      </c>
      <c r="W235">
        <f t="shared" si="105"/>
        <v>9.0308850576130695E-3</v>
      </c>
      <c r="X235">
        <f t="shared" si="106"/>
        <v>5.8607348603054034E-2</v>
      </c>
      <c r="Y235">
        <f t="shared" si="107"/>
        <v>4.187497703563363E-3</v>
      </c>
      <c r="AA235" s="230">
        <f t="shared" si="91"/>
        <v>0.2107354370144679</v>
      </c>
      <c r="AB235">
        <f t="shared" si="92"/>
        <v>2.4074360028206798</v>
      </c>
      <c r="AC235">
        <v>3.3436416347375331</v>
      </c>
      <c r="AD235">
        <f t="shared" si="93"/>
        <v>-0.49999999999999994</v>
      </c>
      <c r="AE235">
        <f t="shared" si="94"/>
        <v>5.9595211310270457E-7</v>
      </c>
      <c r="AF235">
        <f t="shared" si="95"/>
        <v>1.8791443562320636</v>
      </c>
      <c r="AG235">
        <f t="shared" si="96"/>
        <v>5.5284559921567888</v>
      </c>
      <c r="AH235">
        <f t="shared" si="97"/>
        <v>1.1365171968617513</v>
      </c>
      <c r="AI235">
        <f t="shared" si="98"/>
        <v>1.2501689165479266</v>
      </c>
      <c r="AJ235">
        <f t="shared" si="99"/>
        <v>1.0221549726821431</v>
      </c>
      <c r="AK235">
        <f t="shared" si="100"/>
        <v>-7.1521613430883031</v>
      </c>
    </row>
    <row r="236" spans="1:57">
      <c r="D236" s="6">
        <v>-30</v>
      </c>
      <c r="E236" s="73">
        <v>0.4</v>
      </c>
      <c r="F236" s="104">
        <v>0.55000000000000004</v>
      </c>
      <c r="G236" s="234">
        <v>0.1487</v>
      </c>
      <c r="H236" s="247">
        <v>2.1333000000000002</v>
      </c>
      <c r="I236" s="77">
        <v>7.3840000000000003</v>
      </c>
      <c r="R236" s="14">
        <f t="shared" si="101"/>
        <v>5.872291900839822</v>
      </c>
      <c r="S236">
        <f t="shared" si="102"/>
        <v>2.5322310694182924E-2</v>
      </c>
      <c r="T236">
        <f t="shared" si="103"/>
        <v>1.0473626514521341</v>
      </c>
      <c r="U236">
        <f t="shared" si="108"/>
        <v>0.32104207427839609</v>
      </c>
      <c r="V236">
        <f t="shared" si="104"/>
        <v>0.33624747814391392</v>
      </c>
      <c r="W236">
        <f t="shared" si="105"/>
        <v>3.7408492284214452E-2</v>
      </c>
      <c r="X236">
        <f t="shared" si="106"/>
        <v>8.3435503763277463E-2</v>
      </c>
      <c r="Y236">
        <f t="shared" si="107"/>
        <v>1.5944676038243105E-2</v>
      </c>
      <c r="AA236" s="230">
        <f t="shared" si="91"/>
        <v>9.3660194228652391E-2</v>
      </c>
      <c r="AB236">
        <f t="shared" si="92"/>
        <v>1.0699715568091908</v>
      </c>
      <c r="AC236">
        <v>1.8313104864833274</v>
      </c>
      <c r="AD236">
        <f t="shared" si="93"/>
        <v>-0.49999999999999994</v>
      </c>
      <c r="AE236">
        <f t="shared" si="94"/>
        <v>5.9164420279644858E-7</v>
      </c>
      <c r="AF236">
        <f t="shared" si="95"/>
        <v>3.430977626980781</v>
      </c>
      <c r="AG236">
        <f t="shared" si="96"/>
        <v>3.6060807351123136</v>
      </c>
      <c r="AH236">
        <f t="shared" si="97"/>
        <v>1.7423861995102814</v>
      </c>
      <c r="AI236">
        <f t="shared" si="98"/>
        <v>1.9166248194613096</v>
      </c>
      <c r="AJ236">
        <f t="shared" si="99"/>
        <v>1.5774870980396998</v>
      </c>
      <c r="AK236">
        <f t="shared" si="100"/>
        <v>-15.88398621350229</v>
      </c>
    </row>
    <row r="237" spans="1:57" ht="13.5" thickBot="1">
      <c r="D237" s="6">
        <v>-30</v>
      </c>
      <c r="E237" s="118">
        <v>0.4</v>
      </c>
      <c r="F237" s="120">
        <v>0.55000000000000004</v>
      </c>
      <c r="G237" s="238">
        <v>0.13619999999999999</v>
      </c>
      <c r="H237" s="248">
        <v>1.5059</v>
      </c>
      <c r="I237" s="126">
        <v>2.5194999999999999</v>
      </c>
      <c r="R237" s="14">
        <f t="shared" si="101"/>
        <v>2.9261462954134876</v>
      </c>
      <c r="S237">
        <f t="shared" si="102"/>
        <v>4.6545861433340899E-2</v>
      </c>
      <c r="T237">
        <f t="shared" si="103"/>
        <v>0.77251729917693912</v>
      </c>
      <c r="U237">
        <f t="shared" si="108"/>
        <v>0.47520902857729391</v>
      </c>
      <c r="V237">
        <f t="shared" si="104"/>
        <v>0.36710719530102798</v>
      </c>
      <c r="W237">
        <f t="shared" si="105"/>
        <v>1.3266321312448056E-2</v>
      </c>
      <c r="X237">
        <f t="shared" si="106"/>
        <v>7.7002559284730501E-2</v>
      </c>
      <c r="Y237">
        <f t="shared" si="107"/>
        <v>8.4144945876864097E-3</v>
      </c>
      <c r="AA237" s="230">
        <f t="shared" si="91"/>
        <v>0.18796052708030467</v>
      </c>
      <c r="AB237">
        <f t="shared" si="92"/>
        <v>2.1472560401467291</v>
      </c>
      <c r="AC237">
        <v>3.0310647794559777</v>
      </c>
      <c r="AD237">
        <f t="shared" si="93"/>
        <v>-0.49999999999999994</v>
      </c>
      <c r="AE237">
        <f t="shared" si="94"/>
        <v>2.7222108500701836E-7</v>
      </c>
      <c r="AF237">
        <f t="shared" si="95"/>
        <v>2.072930063971548</v>
      </c>
      <c r="AG237">
        <f t="shared" si="96"/>
        <v>5.1958299608950318</v>
      </c>
      <c r="AH237">
        <f t="shared" si="97"/>
        <v>1.2092746210842602</v>
      </c>
      <c r="AI237">
        <f t="shared" si="98"/>
        <v>1.3302020831926864</v>
      </c>
      <c r="AJ237">
        <f t="shared" si="99"/>
        <v>1.1084546919422837</v>
      </c>
      <c r="AK237">
        <f t="shared" si="100"/>
        <v>-9.1272486645640782</v>
      </c>
    </row>
    <row r="238" spans="1:57">
      <c r="D238" s="6">
        <v>-30</v>
      </c>
      <c r="E238" s="73">
        <v>0.4</v>
      </c>
      <c r="F238" s="104">
        <v>0.55000000000000004</v>
      </c>
      <c r="G238" s="234">
        <v>0.1236</v>
      </c>
      <c r="H238" s="247">
        <v>1.8286</v>
      </c>
      <c r="I238" s="77">
        <v>0.1472</v>
      </c>
      <c r="J238" s="77"/>
      <c r="K238" s="77"/>
      <c r="L238" s="77"/>
      <c r="M238" s="77"/>
      <c r="N238" s="77"/>
      <c r="O238" s="77"/>
      <c r="P238" s="77"/>
      <c r="Q238" s="77"/>
      <c r="R238" s="14">
        <f t="shared" si="101"/>
        <v>4.3146065612227682</v>
      </c>
      <c r="S238">
        <f t="shared" si="102"/>
        <v>2.864687619743746E-2</v>
      </c>
      <c r="T238">
        <f t="shared" si="103"/>
        <v>0.98471400352558458</v>
      </c>
      <c r="U238">
        <f>0.15/G238/T238</f>
        <v>1.2324311715530278</v>
      </c>
      <c r="V238">
        <f t="shared" si="104"/>
        <v>0.4045307443365696</v>
      </c>
      <c r="W238">
        <f t="shared" si="105"/>
        <v>2.2961501538357108E-2</v>
      </c>
      <c r="X238">
        <f t="shared" si="106"/>
        <v>6.9863087313950314E-2</v>
      </c>
      <c r="Y238">
        <f t="shared" si="107"/>
        <v>4.4612600304995182E-4</v>
      </c>
      <c r="AA238" s="230">
        <f t="shared" si="91"/>
        <v>0.12747396366173627</v>
      </c>
      <c r="AB238">
        <f t="shared" si="92"/>
        <v>1.4562591555043014</v>
      </c>
      <c r="AC238">
        <v>2.2526665049294352</v>
      </c>
      <c r="AD238">
        <f t="shared" si="93"/>
        <v>-0.49999999999999994</v>
      </c>
      <c r="AE238">
        <f t="shared" si="94"/>
        <v>7.1226887804476391E-7</v>
      </c>
      <c r="AF238">
        <f t="shared" si="95"/>
        <v>2.7892212599735915</v>
      </c>
      <c r="AG238">
        <f t="shared" si="96"/>
        <v>4.2302036172674224</v>
      </c>
      <c r="AH238">
        <f t="shared" si="97"/>
        <v>1.4853150996164872</v>
      </c>
      <c r="AI238">
        <f t="shared" si="98"/>
        <v>1.6338466095781361</v>
      </c>
      <c r="AJ238">
        <f t="shared" si="99"/>
        <v>1.3885738798204863</v>
      </c>
      <c r="AK238">
        <f t="shared" si="100"/>
        <v>-13.751223261344835</v>
      </c>
    </row>
    <row r="239" spans="1:57">
      <c r="D239" s="6">
        <v>-30</v>
      </c>
      <c r="E239" s="118">
        <v>0.4</v>
      </c>
      <c r="F239" s="120">
        <v>0.55000000000000004</v>
      </c>
      <c r="G239" s="234">
        <v>0.16431000000000001</v>
      </c>
      <c r="H239" s="247">
        <v>2.1333000000000002</v>
      </c>
      <c r="I239" s="77">
        <v>1.0241</v>
      </c>
      <c r="J239" s="77"/>
      <c r="K239" s="77"/>
      <c r="L239" s="77"/>
      <c r="M239" s="77"/>
      <c r="N239" s="77"/>
      <c r="O239" s="77"/>
      <c r="P239" s="77"/>
      <c r="Q239" s="77"/>
      <c r="R239" s="14">
        <f t="shared" si="101"/>
        <v>5.872291900839822</v>
      </c>
      <c r="S239">
        <f t="shared" si="102"/>
        <v>2.7980557297654318E-2</v>
      </c>
      <c r="T239">
        <f t="shared" si="103"/>
        <v>0.99636983193611872</v>
      </c>
      <c r="U239">
        <f>0.15/G239/T239</f>
        <v>0.91623461219384683</v>
      </c>
      <c r="V239">
        <f t="shared" si="104"/>
        <v>0.30430284218854603</v>
      </c>
      <c r="W239">
        <f t="shared" si="105"/>
        <v>3.8329919463330878E-2</v>
      </c>
      <c r="X239">
        <f t="shared" si="106"/>
        <v>9.0661244892295031E-2</v>
      </c>
      <c r="Y239">
        <f t="shared" si="107"/>
        <v>2.0013053240738889E-3</v>
      </c>
      <c r="AA239" s="230">
        <f t="shared" si="91"/>
        <v>9.3660194228652391E-2</v>
      </c>
      <c r="AB239">
        <f t="shared" si="92"/>
        <v>1.0699715568091908</v>
      </c>
      <c r="AC239">
        <v>1.8313104864833274</v>
      </c>
      <c r="AD239">
        <f t="shared" si="93"/>
        <v>-0.49999999999999994</v>
      </c>
      <c r="AE239">
        <f t="shared" si="94"/>
        <v>5.9164420279644858E-7</v>
      </c>
      <c r="AF239">
        <f t="shared" si="95"/>
        <v>3.430977626980781</v>
      </c>
      <c r="AG239">
        <f t="shared" si="96"/>
        <v>3.6060807351123136</v>
      </c>
      <c r="AH239">
        <f t="shared" si="97"/>
        <v>1.7423861995102814</v>
      </c>
      <c r="AI239">
        <f t="shared" si="98"/>
        <v>1.9166248194613096</v>
      </c>
      <c r="AJ239">
        <f t="shared" si="99"/>
        <v>1.5774870980396998</v>
      </c>
      <c r="AK239">
        <f t="shared" si="100"/>
        <v>-15.88398621350229</v>
      </c>
    </row>
    <row r="240" spans="1:57">
      <c r="D240" s="6">
        <v>-30</v>
      </c>
      <c r="E240" s="73">
        <v>0.4</v>
      </c>
      <c r="F240" s="104">
        <v>0.55000000000000004</v>
      </c>
      <c r="G240" s="122">
        <v>0.13572000000000001</v>
      </c>
      <c r="H240" s="118">
        <v>1.5059</v>
      </c>
      <c r="I240" s="126">
        <v>5.9499999999999997E-2</v>
      </c>
      <c r="J240" s="77"/>
      <c r="K240" s="77"/>
      <c r="L240" s="77"/>
      <c r="M240" s="77"/>
      <c r="N240" s="77"/>
      <c r="O240" s="77"/>
      <c r="P240" s="77"/>
      <c r="Q240" s="77"/>
      <c r="R240" s="14">
        <f t="shared" si="101"/>
        <v>2.9261462954134876</v>
      </c>
      <c r="S240">
        <f t="shared" si="102"/>
        <v>4.6381823155161733E-2</v>
      </c>
      <c r="T240">
        <f t="shared" si="103"/>
        <v>0.77388217179443763</v>
      </c>
      <c r="U240">
        <f>0.15/G240/T240</f>
        <v>1.4281458634656008</v>
      </c>
      <c r="V240">
        <f t="shared" si="104"/>
        <v>0.36840554081933391</v>
      </c>
      <c r="W240">
        <f t="shared" si="105"/>
        <v>1.3236865181595777E-2</v>
      </c>
      <c r="X240">
        <f t="shared" si="106"/>
        <v>7.6743060114475903E-2</v>
      </c>
      <c r="Y240">
        <f t="shared" si="107"/>
        <v>1.9941778819914912E-4</v>
      </c>
      <c r="AA240" s="230">
        <f t="shared" si="91"/>
        <v>0.18796052708030467</v>
      </c>
      <c r="AB240">
        <f t="shared" si="92"/>
        <v>2.1472560401467291</v>
      </c>
      <c r="AC240">
        <v>3.0310647794559777</v>
      </c>
      <c r="AD240">
        <f t="shared" si="93"/>
        <v>-0.49999999999999994</v>
      </c>
      <c r="AE240">
        <f t="shared" si="94"/>
        <v>2.7222108500701836E-7</v>
      </c>
      <c r="AF240">
        <f t="shared" si="95"/>
        <v>2.072930063971548</v>
      </c>
      <c r="AG240">
        <f t="shared" si="96"/>
        <v>5.1958299608950318</v>
      </c>
      <c r="AH240">
        <f t="shared" si="97"/>
        <v>1.2092746210842602</v>
      </c>
      <c r="AI240">
        <f t="shared" si="98"/>
        <v>1.3302020831926864</v>
      </c>
      <c r="AJ240">
        <f t="shared" si="99"/>
        <v>1.1084546919422837</v>
      </c>
      <c r="AK240">
        <f t="shared" si="100"/>
        <v>-9.1272486645640782</v>
      </c>
    </row>
    <row r="241" spans="1:57">
      <c r="D241" s="6">
        <v>-30</v>
      </c>
      <c r="E241" s="118">
        <v>0.4</v>
      </c>
      <c r="F241" s="120">
        <v>0.55000000000000004</v>
      </c>
      <c r="G241" s="234">
        <v>0.1236</v>
      </c>
      <c r="H241" s="247">
        <v>1.8286</v>
      </c>
      <c r="I241" s="77">
        <v>3.9199999999999999E-2</v>
      </c>
      <c r="J241" s="77"/>
      <c r="K241" s="77"/>
      <c r="L241" s="77"/>
      <c r="M241" s="77"/>
      <c r="N241" s="77"/>
      <c r="O241" s="77"/>
      <c r="P241" s="77"/>
      <c r="Q241" s="77"/>
      <c r="R241" s="14">
        <f t="shared" si="101"/>
        <v>4.3146065612227682</v>
      </c>
      <c r="S241">
        <f t="shared" si="102"/>
        <v>2.864687619743746E-2</v>
      </c>
      <c r="T241">
        <f t="shared" si="103"/>
        <v>0.98471400352558458</v>
      </c>
      <c r="U241">
        <f>0.15/G241/T241</f>
        <v>1.2324311715530278</v>
      </c>
      <c r="V241">
        <f t="shared" si="104"/>
        <v>0.4045307443365696</v>
      </c>
      <c r="W241">
        <f t="shared" si="105"/>
        <v>2.2961501538357108E-2</v>
      </c>
      <c r="X241">
        <f t="shared" si="106"/>
        <v>6.9863087313950314E-2</v>
      </c>
      <c r="Y241">
        <f t="shared" si="107"/>
        <v>1.1880529429047629E-4</v>
      </c>
      <c r="AA241" s="230">
        <f t="shared" si="91"/>
        <v>0.12747396366173627</v>
      </c>
      <c r="AB241">
        <f t="shared" si="92"/>
        <v>1.4562591555043014</v>
      </c>
      <c r="AC241">
        <v>2.2526665049294352</v>
      </c>
      <c r="AD241">
        <f t="shared" si="93"/>
        <v>-0.49999999999999994</v>
      </c>
      <c r="AE241">
        <f t="shared" si="94"/>
        <v>7.1226887804476391E-7</v>
      </c>
      <c r="AF241">
        <f t="shared" si="95"/>
        <v>2.7892212599735915</v>
      </c>
      <c r="AG241">
        <f t="shared" si="96"/>
        <v>4.2302036172674224</v>
      </c>
      <c r="AH241">
        <f t="shared" si="97"/>
        <v>1.4853150996164872</v>
      </c>
      <c r="AI241">
        <f t="shared" si="98"/>
        <v>1.6338466095781361</v>
      </c>
      <c r="AJ241">
        <f t="shared" si="99"/>
        <v>1.3885738798204863</v>
      </c>
      <c r="AK241">
        <f t="shared" si="100"/>
        <v>-13.751223261344835</v>
      </c>
    </row>
    <row r="242" spans="1:57">
      <c r="D242" s="6">
        <v>-30</v>
      </c>
      <c r="E242" s="73">
        <v>0.4</v>
      </c>
      <c r="F242" s="104">
        <v>0.55000000000000004</v>
      </c>
      <c r="G242" s="234">
        <v>0.16431000000000001</v>
      </c>
      <c r="H242" s="247">
        <v>2.1333000000000002</v>
      </c>
      <c r="I242" s="77">
        <v>0.25490000000000002</v>
      </c>
      <c r="J242" s="77"/>
      <c r="K242" s="77"/>
      <c r="L242" s="77"/>
      <c r="M242" s="77"/>
      <c r="N242" s="77"/>
      <c r="O242" s="77"/>
      <c r="P242" s="77"/>
      <c r="Q242" s="77"/>
      <c r="R242" s="14">
        <f t="shared" si="101"/>
        <v>5.872291900839822</v>
      </c>
      <c r="S242">
        <f t="shared" si="102"/>
        <v>2.7980557297654318E-2</v>
      </c>
      <c r="T242">
        <f t="shared" si="103"/>
        <v>0.99636983193611872</v>
      </c>
      <c r="U242">
        <f>0.15/G242/T242</f>
        <v>0.91623461219384683</v>
      </c>
      <c r="V242">
        <f t="shared" si="104"/>
        <v>0.30430284218854603</v>
      </c>
      <c r="W242">
        <f t="shared" si="105"/>
        <v>3.8329919463330878E-2</v>
      </c>
      <c r="X242">
        <f t="shared" si="106"/>
        <v>9.0661244892295031E-2</v>
      </c>
      <c r="Y242">
        <f t="shared" si="107"/>
        <v>4.9812784601741466E-4</v>
      </c>
      <c r="AA242" s="230">
        <f t="shared" si="91"/>
        <v>9.3660194228652391E-2</v>
      </c>
      <c r="AB242">
        <f t="shared" si="92"/>
        <v>1.0699715568091908</v>
      </c>
      <c r="AC242">
        <v>1.8313104864833274</v>
      </c>
      <c r="AD242">
        <f t="shared" si="93"/>
        <v>-0.49999999999999994</v>
      </c>
      <c r="AE242">
        <f t="shared" si="94"/>
        <v>5.9164420279644858E-7</v>
      </c>
      <c r="AF242">
        <f t="shared" si="95"/>
        <v>3.430977626980781</v>
      </c>
      <c r="AG242">
        <f t="shared" si="96"/>
        <v>3.6060807351123136</v>
      </c>
      <c r="AH242">
        <f t="shared" si="97"/>
        <v>1.7423861995102814</v>
      </c>
      <c r="AI242">
        <f t="shared" si="98"/>
        <v>1.9166248194613096</v>
      </c>
      <c r="AJ242">
        <f t="shared" si="99"/>
        <v>1.5774870980396998</v>
      </c>
      <c r="AK242">
        <f t="shared" si="100"/>
        <v>-15.88398621350229</v>
      </c>
      <c r="AL242" s="14">
        <f>AVERAGE(AK226:AK242)</f>
        <v>-10.422804413094898</v>
      </c>
    </row>
    <row r="243" spans="1:57" s="17" customFormat="1">
      <c r="A243" s="16" t="s">
        <v>243</v>
      </c>
      <c r="B243" s="6">
        <v>601</v>
      </c>
      <c r="C243" s="17" t="s">
        <v>80</v>
      </c>
      <c r="D243" s="6">
        <v>-45</v>
      </c>
      <c r="E243" s="73">
        <v>0.15</v>
      </c>
      <c r="F243" s="104">
        <v>0.55000000000000004</v>
      </c>
      <c r="G243" s="234">
        <v>8.2053000000000001E-2</v>
      </c>
      <c r="H243" s="247">
        <v>1.7067000000000001</v>
      </c>
      <c r="I243" s="77">
        <v>0.495</v>
      </c>
      <c r="J243" s="234">
        <v>8.2053000000000001E-2</v>
      </c>
      <c r="K243" s="247">
        <v>1.7067000000000001</v>
      </c>
      <c r="L243" s="234">
        <v>8.8366E-2</v>
      </c>
      <c r="M243" s="247">
        <v>1.7067000000000001</v>
      </c>
      <c r="N243" s="77">
        <v>0</v>
      </c>
      <c r="O243" s="77">
        <v>0</v>
      </c>
      <c r="P243" s="77">
        <v>0.495</v>
      </c>
      <c r="Q243" s="249">
        <v>0.622</v>
      </c>
      <c r="R243" s="14">
        <f t="shared" si="101"/>
        <v>3.758531078447263</v>
      </c>
      <c r="S243">
        <f t="shared" si="102"/>
        <v>2.183113516621446E-2</v>
      </c>
      <c r="T243">
        <f t="shared" si="103"/>
        <v>1.1280038717988141</v>
      </c>
      <c r="U243">
        <f t="shared" si="108"/>
        <v>0.54021289883192203</v>
      </c>
      <c r="V243">
        <f t="shared" si="104"/>
        <v>0.60936224147806906</v>
      </c>
      <c r="W243">
        <f t="shared" si="105"/>
        <v>1.4225137841724444E-2</v>
      </c>
      <c r="X243">
        <f t="shared" si="106"/>
        <v>4.1016545689667533E-2</v>
      </c>
      <c r="Y243">
        <f t="shared" si="107"/>
        <v>2.4212546054918575E-3</v>
      </c>
      <c r="Z243" s="79"/>
      <c r="AA243" s="230">
        <f t="shared" si="91"/>
        <v>0.14633376404784657</v>
      </c>
      <c r="AB243">
        <f t="shared" si="92"/>
        <v>1.6717130112903886</v>
      </c>
      <c r="AC243">
        <v>2.2985127824091167</v>
      </c>
      <c r="AD243">
        <f t="shared" si="93"/>
        <v>-0.70710678118654746</v>
      </c>
      <c r="AE243">
        <f t="shared" si="94"/>
        <v>5.2421748614195351E-7</v>
      </c>
      <c r="AF243">
        <f t="shared" si="95"/>
        <v>2.7335872809869932</v>
      </c>
      <c r="AG243">
        <f t="shared" si="96"/>
        <v>4.2934248061588312</v>
      </c>
      <c r="AH243">
        <f t="shared" si="97"/>
        <v>1.4634436588167292</v>
      </c>
      <c r="AI243">
        <f t="shared" si="98"/>
        <v>1.6097880246984022</v>
      </c>
      <c r="AJ243">
        <f t="shared" si="99"/>
        <v>1.3694420547737873</v>
      </c>
      <c r="AK243">
        <f t="shared" si="100"/>
        <v>-40.201019241700116</v>
      </c>
      <c r="AL243" s="73"/>
      <c r="AM243" s="73"/>
      <c r="AR243" s="77"/>
      <c r="AS243" s="77"/>
      <c r="AT243" s="77"/>
      <c r="AU243" s="77"/>
      <c r="AV243" s="77"/>
      <c r="AW243" s="77"/>
      <c r="AX243" s="77"/>
      <c r="AY243" s="77"/>
      <c r="AZ243" s="77"/>
      <c r="BA243" s="77"/>
      <c r="BB243" s="77"/>
      <c r="BC243" s="77"/>
      <c r="BD243" s="77"/>
      <c r="BE243" s="77"/>
    </row>
    <row r="244" spans="1:57" s="17" customFormat="1">
      <c r="A244" s="16" t="s">
        <v>243</v>
      </c>
      <c r="B244" s="6">
        <v>602</v>
      </c>
      <c r="C244" s="17" t="s">
        <v>81</v>
      </c>
      <c r="D244" s="6">
        <v>-45</v>
      </c>
      <c r="E244" s="73">
        <v>0.15</v>
      </c>
      <c r="F244" s="104">
        <v>0.55000000000000004</v>
      </c>
      <c r="G244" s="234">
        <v>6.6927E-2</v>
      </c>
      <c r="H244" s="247">
        <v>1.1636</v>
      </c>
      <c r="I244" s="77">
        <v>2.4799999999999999E-2</v>
      </c>
      <c r="J244" s="234">
        <v>6.6927E-2</v>
      </c>
      <c r="K244" s="247">
        <v>1.1636</v>
      </c>
      <c r="L244" s="234">
        <v>7.3192999999999994E-2</v>
      </c>
      <c r="M244" s="247">
        <v>1.1636</v>
      </c>
      <c r="N244" s="77">
        <v>0</v>
      </c>
      <c r="O244" s="77">
        <v>0</v>
      </c>
      <c r="P244" s="77">
        <v>2.4799999999999999E-2</v>
      </c>
      <c r="Q244" s="249">
        <v>5.2900000000000003E-2</v>
      </c>
      <c r="R244" s="14">
        <f t="shared" si="101"/>
        <v>1.747073570663084</v>
      </c>
      <c r="S244">
        <f t="shared" si="102"/>
        <v>3.8308060475437535E-2</v>
      </c>
      <c r="T244">
        <f t="shared" si="103"/>
        <v>0.85153728287656028</v>
      </c>
      <c r="U244">
        <f t="shared" si="108"/>
        <v>0.87733403728159154</v>
      </c>
      <c r="V244">
        <f t="shared" si="104"/>
        <v>0.74708264228188925</v>
      </c>
      <c r="W244">
        <f t="shared" si="105"/>
        <v>2.1652237005799603E-3</v>
      </c>
      <c r="X244">
        <f t="shared" si="106"/>
        <v>2.8671468420961521E-2</v>
      </c>
      <c r="Y244">
        <f t="shared" si="107"/>
        <v>2.1813910334138353E-4</v>
      </c>
      <c r="Z244" s="79"/>
      <c r="AA244" s="230">
        <f t="shared" si="91"/>
        <v>0.31481215744752705</v>
      </c>
      <c r="AB244">
        <f t="shared" si="92"/>
        <v>3.5964056767196513</v>
      </c>
      <c r="AC244">
        <v>4.2842327859308007</v>
      </c>
      <c r="AD244">
        <f t="shared" si="93"/>
        <v>-0.70710678118654746</v>
      </c>
      <c r="AE244">
        <f t="shared" si="94"/>
        <v>4.00771521413823E-7</v>
      </c>
      <c r="AF244">
        <f t="shared" si="95"/>
        <v>1.4665835450896232</v>
      </c>
      <c r="AG244">
        <f t="shared" si="96"/>
        <v>6.3941711372076151</v>
      </c>
      <c r="AH244">
        <f t="shared" si="97"/>
        <v>0.98264265568648868</v>
      </c>
      <c r="AI244">
        <f t="shared" si="98"/>
        <v>1.0809069212551377</v>
      </c>
      <c r="AJ244">
        <f t="shared" si="99"/>
        <v>0.83439983514312022</v>
      </c>
      <c r="AK244">
        <f t="shared" si="100"/>
        <v>-36.714358164399933</v>
      </c>
      <c r="AL244" s="73"/>
      <c r="AM244" s="73"/>
      <c r="AR244" s="77"/>
      <c r="AS244" s="77"/>
      <c r="AT244" s="77"/>
      <c r="AU244" s="77"/>
      <c r="AV244" s="77"/>
      <c r="AW244" s="77"/>
      <c r="AX244" s="77"/>
      <c r="AY244" s="77"/>
      <c r="AZ244" s="77"/>
      <c r="BA244" s="77"/>
      <c r="BB244" s="77"/>
      <c r="BC244" s="77"/>
      <c r="BD244" s="77"/>
      <c r="BE244" s="77"/>
    </row>
    <row r="245" spans="1:57" s="17" customFormat="1">
      <c r="A245" s="16" t="s">
        <v>243</v>
      </c>
      <c r="B245" s="6">
        <v>603</v>
      </c>
      <c r="C245" s="17" t="s">
        <v>82</v>
      </c>
      <c r="D245" s="6">
        <v>-45</v>
      </c>
      <c r="E245" s="73">
        <v>0.15</v>
      </c>
      <c r="F245" s="104">
        <v>0.55000000000000004</v>
      </c>
      <c r="G245" s="234">
        <v>0.12094000000000001</v>
      </c>
      <c r="H245" s="247">
        <v>1.9692000000000001</v>
      </c>
      <c r="I245" s="77">
        <v>2.0554000000000001</v>
      </c>
      <c r="J245" s="234">
        <v>0.12094000000000001</v>
      </c>
      <c r="K245" s="247">
        <v>1.9692000000000001</v>
      </c>
      <c r="L245" s="234">
        <v>0.12453</v>
      </c>
      <c r="M245" s="247">
        <v>1.9692000000000001</v>
      </c>
      <c r="N245" s="77">
        <v>0</v>
      </c>
      <c r="O245" s="77">
        <v>0</v>
      </c>
      <c r="P245" s="77">
        <v>2.0554000000000001</v>
      </c>
      <c r="Q245" s="249">
        <v>1.7551000000000001</v>
      </c>
      <c r="R245" s="14">
        <f t="shared" si="101"/>
        <v>5.0036096669877761</v>
      </c>
      <c r="S245">
        <f t="shared" si="102"/>
        <v>2.4170550472376699E-2</v>
      </c>
      <c r="T245">
        <f t="shared" si="103"/>
        <v>1.0720263960452745</v>
      </c>
      <c r="U245">
        <f t="shared" si="108"/>
        <v>0.38565108817594113</v>
      </c>
      <c r="V245">
        <f t="shared" si="104"/>
        <v>0.41342814618819251</v>
      </c>
      <c r="W245">
        <f t="shared" si="105"/>
        <v>2.8170641967895864E-2</v>
      </c>
      <c r="X245">
        <f t="shared" si="106"/>
        <v>6.8265477605593525E-2</v>
      </c>
      <c r="Y245">
        <f t="shared" si="107"/>
        <v>5.9118509276160896E-3</v>
      </c>
      <c r="Z245" s="79"/>
      <c r="AA245" s="230">
        <f t="shared" si="91"/>
        <v>0.10992064461557123</v>
      </c>
      <c r="AB245">
        <f t="shared" si="92"/>
        <v>1.2557305076441201</v>
      </c>
      <c r="AC245">
        <v>1.8986100844479401</v>
      </c>
      <c r="AD245">
        <f t="shared" si="93"/>
        <v>-0.70710678118654746</v>
      </c>
      <c r="AE245">
        <f t="shared" si="94"/>
        <v>3.6550993370854101E-7</v>
      </c>
      <c r="AF245">
        <f t="shared" si="95"/>
        <v>3.3093605467741689</v>
      </c>
      <c r="AG245">
        <f t="shared" si="96"/>
        <v>3.7111812586936788</v>
      </c>
      <c r="AH245">
        <f t="shared" si="97"/>
        <v>1.6930418832173244</v>
      </c>
      <c r="AI245">
        <f t="shared" si="98"/>
        <v>1.862346071539057</v>
      </c>
      <c r="AJ245">
        <f t="shared" si="99"/>
        <v>1.5459454234259253</v>
      </c>
      <c r="AK245">
        <f t="shared" si="100"/>
        <v>-40.787023047515838</v>
      </c>
      <c r="AL245" s="73"/>
      <c r="AM245" s="73"/>
      <c r="AR245" s="77"/>
      <c r="AS245" s="77"/>
      <c r="AT245" s="77"/>
      <c r="AU245" s="77"/>
      <c r="AV245" s="77"/>
      <c r="AW245" s="77"/>
      <c r="AX245" s="77"/>
      <c r="AY245" s="77"/>
      <c r="AZ245" s="77"/>
      <c r="BA245" s="77"/>
      <c r="BB245" s="77"/>
      <c r="BC245" s="77"/>
      <c r="BD245" s="77"/>
      <c r="BE245" s="77"/>
    </row>
    <row r="246" spans="1:57" s="17" customFormat="1">
      <c r="A246" s="16" t="s">
        <v>243</v>
      </c>
      <c r="B246" s="6">
        <v>604</v>
      </c>
      <c r="C246" s="17" t="s">
        <v>83</v>
      </c>
      <c r="D246" s="6">
        <v>-45</v>
      </c>
      <c r="E246" s="73">
        <v>0.15</v>
      </c>
      <c r="F246" s="104">
        <v>0.55000000000000004</v>
      </c>
      <c r="G246" s="234">
        <v>9.3765000000000001E-2</v>
      </c>
      <c r="H246" s="247">
        <v>1.3473999999999999</v>
      </c>
      <c r="I246" s="77">
        <v>0.28789999999999999</v>
      </c>
      <c r="J246" s="234">
        <v>9.3765000000000001E-2</v>
      </c>
      <c r="K246" s="247">
        <v>1.3473999999999999</v>
      </c>
      <c r="L246" s="234">
        <v>0.10629</v>
      </c>
      <c r="M246" s="247">
        <v>1.4221999999999999</v>
      </c>
      <c r="N246" s="77">
        <v>0</v>
      </c>
      <c r="O246" s="77">
        <v>0</v>
      </c>
      <c r="P246" s="77">
        <v>0.28789999999999999</v>
      </c>
      <c r="Q246" s="249">
        <v>0.38850000000000001</v>
      </c>
      <c r="R246" s="14">
        <f t="shared" si="101"/>
        <v>2.3425930729291196</v>
      </c>
      <c r="S246">
        <f t="shared" si="102"/>
        <v>4.0026157800747947E-2</v>
      </c>
      <c r="T246">
        <f t="shared" si="103"/>
        <v>0.83306098980820076</v>
      </c>
      <c r="U246">
        <f t="shared" si="108"/>
        <v>0.64010681111585976</v>
      </c>
      <c r="V246">
        <f t="shared" si="104"/>
        <v>0.53324801365114916</v>
      </c>
      <c r="W246">
        <f t="shared" si="105"/>
        <v>6.5365962490109347E-3</v>
      </c>
      <c r="X246">
        <f t="shared" si="106"/>
        <v>4.9992476847380174E-2</v>
      </c>
      <c r="Y246">
        <f t="shared" si="107"/>
        <v>1.5609582143875013E-3</v>
      </c>
      <c r="Z246" s="79"/>
      <c r="AA246" s="230">
        <f t="shared" si="91"/>
        <v>0.23478256055469926</v>
      </c>
      <c r="AB246">
        <f t="shared" si="92"/>
        <v>2.6821496997441594</v>
      </c>
      <c r="AC246">
        <v>3.2956098557106182</v>
      </c>
      <c r="AD246">
        <f t="shared" si="93"/>
        <v>-0.70710678118654746</v>
      </c>
      <c r="AE246">
        <f t="shared" si="94"/>
        <v>6.1266865275522164E-7</v>
      </c>
      <c r="AF246">
        <f t="shared" si="95"/>
        <v>1.9065318961503015</v>
      </c>
      <c r="AG246">
        <f t="shared" si="96"/>
        <v>5.4790643559994416</v>
      </c>
      <c r="AH246">
        <f t="shared" si="97"/>
        <v>1.146762457772494</v>
      </c>
      <c r="AI246">
        <f t="shared" si="98"/>
        <v>1.2614387035497434</v>
      </c>
      <c r="AJ246">
        <f t="shared" si="99"/>
        <v>1.0345204588798027</v>
      </c>
      <c r="AK246">
        <f t="shared" si="100"/>
        <v>-38.482821388740483</v>
      </c>
      <c r="AL246" s="73"/>
      <c r="AM246" s="73"/>
      <c r="AR246" s="77"/>
      <c r="AS246" s="77"/>
      <c r="AT246" s="77"/>
      <c r="AU246" s="77"/>
      <c r="AV246" s="77"/>
      <c r="AW246" s="77"/>
      <c r="AX246" s="77"/>
      <c r="AY246" s="77"/>
      <c r="AZ246" s="77"/>
      <c r="BA246" s="77"/>
      <c r="BB246" s="77"/>
      <c r="BC246" s="77"/>
      <c r="BD246" s="77"/>
      <c r="BE246" s="77"/>
    </row>
    <row r="247" spans="1:57" s="17" customFormat="1">
      <c r="A247" s="16" t="s">
        <v>243</v>
      </c>
      <c r="B247" s="6">
        <v>605</v>
      </c>
      <c r="C247" s="17" t="s">
        <v>84</v>
      </c>
      <c r="D247" s="6">
        <v>-45</v>
      </c>
      <c r="E247" s="73">
        <v>0.15</v>
      </c>
      <c r="F247" s="104">
        <v>0.55000000000000004</v>
      </c>
      <c r="G247" s="234">
        <v>0.15462000000000001</v>
      </c>
      <c r="H247" s="247">
        <v>2.1333000000000002</v>
      </c>
      <c r="I247" s="77">
        <v>3.4241000000000001</v>
      </c>
      <c r="J247" s="234">
        <v>0.15462000000000001</v>
      </c>
      <c r="K247" s="247">
        <v>2.1333000000000002</v>
      </c>
      <c r="L247" s="234">
        <v>0.15146000000000001</v>
      </c>
      <c r="M247" s="247">
        <v>2.1333000000000002</v>
      </c>
      <c r="N247" s="77">
        <v>7.7799999999999994E-2</v>
      </c>
      <c r="O247" s="77">
        <v>0.1016</v>
      </c>
      <c r="P247" s="77">
        <v>3.4241000000000001</v>
      </c>
      <c r="Q247" s="249">
        <v>3.2686000000000002</v>
      </c>
      <c r="R247" s="14">
        <f t="shared" si="101"/>
        <v>5.872291900839822</v>
      </c>
      <c r="S247">
        <f t="shared" si="102"/>
        <v>2.6330434966607696E-2</v>
      </c>
      <c r="T247">
        <f t="shared" si="103"/>
        <v>1.0271165636435375</v>
      </c>
      <c r="U247">
        <f t="shared" si="108"/>
        <v>0.31483615695159195</v>
      </c>
      <c r="V247">
        <f t="shared" si="104"/>
        <v>0.32337343163885657</v>
      </c>
      <c r="W247">
        <f t="shared" si="105"/>
        <v>3.778287781535497E-2</v>
      </c>
      <c r="X247">
        <f t="shared" si="106"/>
        <v>8.6275567286126412E-2</v>
      </c>
      <c r="Y247">
        <f t="shared" si="107"/>
        <v>7.110755583037847E-3</v>
      </c>
      <c r="Z247" s="79"/>
      <c r="AA247" s="230">
        <f t="shared" si="91"/>
        <v>9.3660194228652391E-2</v>
      </c>
      <c r="AB247">
        <f t="shared" si="92"/>
        <v>1.0699715568091908</v>
      </c>
      <c r="AC247">
        <v>1.7165267261111001</v>
      </c>
      <c r="AD247">
        <f t="shared" si="93"/>
        <v>-0.70710678118654746</v>
      </c>
      <c r="AE247">
        <f t="shared" si="94"/>
        <v>2.4594360642504753E-7</v>
      </c>
      <c r="AF247">
        <f t="shared" si="95"/>
        <v>3.6604063377530625</v>
      </c>
      <c r="AG247">
        <f t="shared" si="96"/>
        <v>3.4218834453332172</v>
      </c>
      <c r="AH247">
        <f t="shared" si="97"/>
        <v>1.8361774758133937</v>
      </c>
      <c r="AI247">
        <f t="shared" si="98"/>
        <v>2.0197952233947332</v>
      </c>
      <c r="AJ247">
        <f t="shared" si="99"/>
        <v>1.6321373809935193</v>
      </c>
      <c r="AK247">
        <f t="shared" si="100"/>
        <v>-41.024184648473678</v>
      </c>
      <c r="AL247" s="73"/>
      <c r="AM247" s="73"/>
      <c r="AR247" s="77"/>
      <c r="AS247" s="77"/>
      <c r="AT247" s="77"/>
      <c r="AU247" s="77"/>
      <c r="AV247" s="77"/>
      <c r="AW247" s="77"/>
      <c r="AX247" s="77"/>
      <c r="AY247" s="77"/>
      <c r="AZ247" s="77"/>
      <c r="BA247" s="77"/>
      <c r="BB247" s="77"/>
      <c r="BC247" s="77"/>
      <c r="BD247" s="77"/>
      <c r="BE247" s="77"/>
    </row>
    <row r="248" spans="1:57" s="17" customFormat="1" ht="13.5" thickBot="1">
      <c r="A248" s="115" t="s">
        <v>243</v>
      </c>
      <c r="B248" s="116">
        <v>606</v>
      </c>
      <c r="C248" s="147" t="s">
        <v>85</v>
      </c>
      <c r="D248" s="6">
        <v>-45</v>
      </c>
      <c r="E248" s="118">
        <v>0.15</v>
      </c>
      <c r="F248" s="120">
        <v>0.55000000000000004</v>
      </c>
      <c r="G248" s="238">
        <v>0.12956999999999999</v>
      </c>
      <c r="H248" s="248">
        <v>1.5059</v>
      </c>
      <c r="I248" s="126">
        <v>1.3132999999999999</v>
      </c>
      <c r="J248" s="238">
        <v>0.12956999999999999</v>
      </c>
      <c r="K248" s="248">
        <v>1.5059</v>
      </c>
      <c r="L248" s="238">
        <v>0.1401</v>
      </c>
      <c r="M248" s="248">
        <v>1.5059</v>
      </c>
      <c r="N248" s="151">
        <v>0</v>
      </c>
      <c r="O248" s="151">
        <v>0</v>
      </c>
      <c r="P248" s="151">
        <v>1.3132999999999999</v>
      </c>
      <c r="Q248" s="250">
        <v>1.5854999999999999</v>
      </c>
      <c r="R248" s="14">
        <f t="shared" si="101"/>
        <v>2.9261462954134876</v>
      </c>
      <c r="S248">
        <f t="shared" si="102"/>
        <v>4.4280082715991043E-2</v>
      </c>
      <c r="T248">
        <f t="shared" si="103"/>
        <v>0.79203529983114895</v>
      </c>
      <c r="U248">
        <f t="shared" si="108"/>
        <v>0.48721540065535612</v>
      </c>
      <c r="V248">
        <f t="shared" si="104"/>
        <v>0.38589179594041834</v>
      </c>
      <c r="W248">
        <f t="shared" si="105"/>
        <v>1.284750826532273E-2</v>
      </c>
      <c r="X248">
        <f t="shared" si="106"/>
        <v>7.3332118900760343E-2</v>
      </c>
      <c r="Y248">
        <f t="shared" si="107"/>
        <v>4.6105237741328534E-3</v>
      </c>
      <c r="Z248" s="79"/>
      <c r="AA248" s="230">
        <f t="shared" si="91"/>
        <v>0.18796052708030467</v>
      </c>
      <c r="AB248">
        <f t="shared" si="92"/>
        <v>2.1472560401467291</v>
      </c>
      <c r="AC248">
        <v>2.7586038250070892</v>
      </c>
      <c r="AD248">
        <f t="shared" si="93"/>
        <v>-0.70710678118654746</v>
      </c>
      <c r="AE248">
        <f t="shared" si="94"/>
        <v>2.571291649600127E-7</v>
      </c>
      <c r="AF248">
        <f t="shared" si="95"/>
        <v>2.2776685982313678</v>
      </c>
      <c r="AG248">
        <f t="shared" si="96"/>
        <v>4.8822111106023653</v>
      </c>
      <c r="AH248">
        <f t="shared" si="97"/>
        <v>1.2869548581245946</v>
      </c>
      <c r="AI248">
        <f t="shared" si="98"/>
        <v>1.4156503439370542</v>
      </c>
      <c r="AJ248">
        <f t="shared" si="99"/>
        <v>1.1955897040218779</v>
      </c>
      <c r="AK248">
        <f t="shared" si="100"/>
        <v>-39.439730312162581</v>
      </c>
      <c r="AL248" s="73"/>
      <c r="AM248" s="73"/>
      <c r="AR248" s="77"/>
      <c r="AS248" s="77"/>
      <c r="AT248" s="77"/>
      <c r="AU248" s="77"/>
      <c r="AV248" s="77"/>
      <c r="AW248" s="77"/>
      <c r="AX248" s="77"/>
      <c r="AY248" s="77"/>
      <c r="AZ248" s="77"/>
      <c r="BA248" s="77"/>
      <c r="BB248" s="77"/>
      <c r="BC248" s="77"/>
      <c r="BD248" s="77"/>
      <c r="BE248" s="77"/>
    </row>
    <row r="249" spans="1:57">
      <c r="D249" s="6">
        <v>-45</v>
      </c>
      <c r="E249" s="73">
        <v>0.15</v>
      </c>
      <c r="F249" s="104">
        <v>0.55000000000000004</v>
      </c>
      <c r="G249" s="234">
        <v>8.2053000000000001E-2</v>
      </c>
      <c r="H249" s="247">
        <v>1.7067000000000001</v>
      </c>
      <c r="I249" s="77">
        <v>0.622</v>
      </c>
      <c r="J249" s="77"/>
      <c r="K249" s="77"/>
      <c r="L249" s="77"/>
      <c r="M249" s="77"/>
      <c r="N249" s="77"/>
      <c r="O249" s="77"/>
      <c r="P249" s="77"/>
      <c r="Q249" s="77"/>
      <c r="R249" s="14">
        <f t="shared" si="101"/>
        <v>3.758531078447263</v>
      </c>
      <c r="S249">
        <f t="shared" si="102"/>
        <v>2.183113516621446E-2</v>
      </c>
      <c r="T249">
        <f t="shared" si="103"/>
        <v>1.1280038717988141</v>
      </c>
      <c r="U249">
        <f t="shared" si="108"/>
        <v>0.54021289883192203</v>
      </c>
      <c r="V249">
        <f t="shared" si="104"/>
        <v>0.60936224147806906</v>
      </c>
      <c r="W249">
        <f t="shared" si="105"/>
        <v>1.4225137841724444E-2</v>
      </c>
      <c r="X249">
        <f t="shared" si="106"/>
        <v>4.1016545689667533E-2</v>
      </c>
      <c r="Y249">
        <f t="shared" si="107"/>
        <v>3.0424653830624961E-3</v>
      </c>
      <c r="AA249" s="230">
        <f t="shared" si="91"/>
        <v>0.14633376404784657</v>
      </c>
      <c r="AB249">
        <f t="shared" si="92"/>
        <v>1.6717130112903886</v>
      </c>
      <c r="AC249">
        <v>2.2985127824091167</v>
      </c>
      <c r="AD249">
        <f t="shared" si="93"/>
        <v>-0.70710678118654746</v>
      </c>
      <c r="AE249">
        <f t="shared" si="94"/>
        <v>5.2421748614195351E-7</v>
      </c>
      <c r="AF249">
        <f t="shared" si="95"/>
        <v>2.7335872809869932</v>
      </c>
      <c r="AG249">
        <f t="shared" si="96"/>
        <v>4.2934248061588312</v>
      </c>
      <c r="AH249">
        <f t="shared" si="97"/>
        <v>1.4634436588167292</v>
      </c>
      <c r="AI249">
        <f t="shared" si="98"/>
        <v>1.6097880246984022</v>
      </c>
      <c r="AJ249">
        <f t="shared" si="99"/>
        <v>1.3694420547737873</v>
      </c>
      <c r="AK249">
        <f t="shared" si="100"/>
        <v>-40.201019241700116</v>
      </c>
    </row>
    <row r="250" spans="1:57">
      <c r="D250" s="6">
        <v>-45</v>
      </c>
      <c r="E250" s="118">
        <v>0.15</v>
      </c>
      <c r="F250" s="120">
        <v>0.55000000000000004</v>
      </c>
      <c r="G250" s="234">
        <v>6.6927E-2</v>
      </c>
      <c r="H250" s="247">
        <v>1.1636</v>
      </c>
      <c r="I250" s="77">
        <v>5.2900000000000003E-2</v>
      </c>
      <c r="J250" s="77"/>
      <c r="K250" s="77"/>
      <c r="L250" s="77"/>
      <c r="M250" s="77"/>
      <c r="N250" s="77"/>
      <c r="O250" s="77"/>
      <c r="P250" s="77"/>
      <c r="Q250" s="77"/>
      <c r="R250" s="14">
        <f t="shared" si="101"/>
        <v>1.747073570663084</v>
      </c>
      <c r="S250">
        <f t="shared" si="102"/>
        <v>3.8308060475437535E-2</v>
      </c>
      <c r="T250">
        <f t="shared" si="103"/>
        <v>0.85153728287656028</v>
      </c>
      <c r="U250">
        <f t="shared" si="108"/>
        <v>0.87733403728159154</v>
      </c>
      <c r="V250">
        <f t="shared" si="104"/>
        <v>0.74708264228188925</v>
      </c>
      <c r="W250">
        <f t="shared" si="105"/>
        <v>2.1652237005799603E-3</v>
      </c>
      <c r="X250">
        <f t="shared" si="106"/>
        <v>2.8671468420961521E-2</v>
      </c>
      <c r="Y250">
        <f t="shared" si="107"/>
        <v>4.6530478091770928E-4</v>
      </c>
      <c r="AA250" s="230">
        <f t="shared" si="91"/>
        <v>0.31481215744752705</v>
      </c>
      <c r="AB250">
        <f t="shared" si="92"/>
        <v>3.5964056767196513</v>
      </c>
      <c r="AC250">
        <v>4.2842327859308007</v>
      </c>
      <c r="AD250">
        <f t="shared" si="93"/>
        <v>-0.70710678118654746</v>
      </c>
      <c r="AE250">
        <f t="shared" si="94"/>
        <v>4.00771521413823E-7</v>
      </c>
      <c r="AF250">
        <f t="shared" si="95"/>
        <v>1.4665835450896232</v>
      </c>
      <c r="AG250">
        <f t="shared" si="96"/>
        <v>6.3941711372076151</v>
      </c>
      <c r="AH250">
        <f t="shared" si="97"/>
        <v>0.98264265568648868</v>
      </c>
      <c r="AI250">
        <f t="shared" si="98"/>
        <v>1.0809069212551377</v>
      </c>
      <c r="AJ250">
        <f t="shared" si="99"/>
        <v>0.83439983514312022</v>
      </c>
      <c r="AK250">
        <f t="shared" si="100"/>
        <v>-36.714358164399933</v>
      </c>
    </row>
    <row r="251" spans="1:57">
      <c r="D251" s="6">
        <v>-45</v>
      </c>
      <c r="E251" s="73">
        <v>0.15</v>
      </c>
      <c r="F251" s="104">
        <v>0.55000000000000004</v>
      </c>
      <c r="G251" s="234">
        <v>0.12094000000000001</v>
      </c>
      <c r="H251" s="247">
        <v>1.9692000000000001</v>
      </c>
      <c r="I251" s="77">
        <v>1.7551000000000001</v>
      </c>
      <c r="J251" s="77"/>
      <c r="K251" s="77"/>
      <c r="L251" s="77"/>
      <c r="M251" s="77"/>
      <c r="N251" s="77"/>
      <c r="O251" s="77"/>
      <c r="P251" s="77"/>
      <c r="Q251" s="77"/>
      <c r="R251" s="14">
        <f t="shared" si="101"/>
        <v>5.0036096669877761</v>
      </c>
      <c r="S251">
        <f t="shared" si="102"/>
        <v>2.4170550472376699E-2</v>
      </c>
      <c r="T251">
        <f t="shared" si="103"/>
        <v>1.0720263960452745</v>
      </c>
      <c r="U251">
        <f t="shared" si="108"/>
        <v>0.38565108817594113</v>
      </c>
      <c r="V251">
        <f t="shared" si="104"/>
        <v>0.41342814618819251</v>
      </c>
      <c r="W251">
        <f t="shared" si="105"/>
        <v>2.8170641967895864E-2</v>
      </c>
      <c r="X251">
        <f t="shared" si="106"/>
        <v>6.8265477605593525E-2</v>
      </c>
      <c r="Y251">
        <f t="shared" si="107"/>
        <v>5.0481120769966907E-3</v>
      </c>
      <c r="AA251" s="230">
        <f t="shared" si="91"/>
        <v>0.10992064461557123</v>
      </c>
      <c r="AB251">
        <f t="shared" si="92"/>
        <v>1.2557305076441201</v>
      </c>
      <c r="AC251">
        <v>1.8986100844479401</v>
      </c>
      <c r="AD251">
        <f t="shared" si="93"/>
        <v>-0.70710678118654746</v>
      </c>
      <c r="AE251">
        <f t="shared" si="94"/>
        <v>3.6550993370854101E-7</v>
      </c>
      <c r="AF251">
        <f t="shared" si="95"/>
        <v>3.3093605467741689</v>
      </c>
      <c r="AG251">
        <f t="shared" si="96"/>
        <v>3.7111812586936788</v>
      </c>
      <c r="AH251">
        <f t="shared" si="97"/>
        <v>1.6930418832173244</v>
      </c>
      <c r="AI251">
        <f t="shared" si="98"/>
        <v>1.862346071539057</v>
      </c>
      <c r="AJ251">
        <f t="shared" si="99"/>
        <v>1.5459454234259253</v>
      </c>
      <c r="AK251">
        <f t="shared" si="100"/>
        <v>-40.787023047515838</v>
      </c>
    </row>
    <row r="252" spans="1:57">
      <c r="D252" s="6">
        <v>-45</v>
      </c>
      <c r="E252" s="118">
        <v>0.15</v>
      </c>
      <c r="F252" s="120">
        <v>0.55000000000000004</v>
      </c>
      <c r="G252" s="234">
        <v>9.3765000000000001E-2</v>
      </c>
      <c r="H252" s="247">
        <v>1.3473999999999999</v>
      </c>
      <c r="I252" s="77">
        <v>0.38850000000000001</v>
      </c>
      <c r="J252" s="77"/>
      <c r="K252" s="77"/>
      <c r="L252" s="77"/>
      <c r="M252" s="77"/>
      <c r="N252" s="77"/>
      <c r="O252" s="77"/>
      <c r="P252" s="77"/>
      <c r="Q252" s="77"/>
      <c r="R252" s="14">
        <f t="shared" si="101"/>
        <v>2.3425930729291196</v>
      </c>
      <c r="S252">
        <f t="shared" si="102"/>
        <v>4.0026157800747947E-2</v>
      </c>
      <c r="T252">
        <f t="shared" si="103"/>
        <v>0.83306098980820076</v>
      </c>
      <c r="U252">
        <f t="shared" si="108"/>
        <v>0.64010681111585976</v>
      </c>
      <c r="V252">
        <f t="shared" si="104"/>
        <v>0.53324801365114916</v>
      </c>
      <c r="W252">
        <f t="shared" si="105"/>
        <v>6.5365962490109347E-3</v>
      </c>
      <c r="X252">
        <f t="shared" si="106"/>
        <v>4.9992476847380174E-2</v>
      </c>
      <c r="Y252">
        <f t="shared" si="107"/>
        <v>2.1063989798177987E-3</v>
      </c>
      <c r="AA252" s="230">
        <f t="shared" si="91"/>
        <v>0.23478256055469926</v>
      </c>
      <c r="AB252">
        <f t="shared" si="92"/>
        <v>2.6821496997441594</v>
      </c>
      <c r="AC252">
        <v>3.2956098557106182</v>
      </c>
      <c r="AD252">
        <f t="shared" si="93"/>
        <v>-0.70710678118654746</v>
      </c>
      <c r="AE252">
        <f t="shared" si="94"/>
        <v>6.1266865275522164E-7</v>
      </c>
      <c r="AF252">
        <f t="shared" si="95"/>
        <v>1.9065318961503015</v>
      </c>
      <c r="AG252">
        <f t="shared" si="96"/>
        <v>5.4790643559994416</v>
      </c>
      <c r="AH252">
        <f t="shared" si="97"/>
        <v>1.146762457772494</v>
      </c>
      <c r="AI252">
        <f t="shared" si="98"/>
        <v>1.2614387035497434</v>
      </c>
      <c r="AJ252">
        <f t="shared" si="99"/>
        <v>1.0345204588798027</v>
      </c>
      <c r="AK252">
        <f t="shared" si="100"/>
        <v>-38.482821388740483</v>
      </c>
    </row>
    <row r="253" spans="1:57">
      <c r="D253" s="6">
        <v>-45</v>
      </c>
      <c r="E253" s="73">
        <v>0.15</v>
      </c>
      <c r="F253" s="104">
        <v>0.55000000000000004</v>
      </c>
      <c r="G253" s="234">
        <v>0.15462000000000001</v>
      </c>
      <c r="H253" s="247">
        <v>2.1333000000000002</v>
      </c>
      <c r="I253" s="77">
        <v>3.2686000000000002</v>
      </c>
      <c r="J253" s="77"/>
      <c r="K253" s="77"/>
      <c r="L253" s="77"/>
      <c r="M253" s="77"/>
      <c r="N253" s="77"/>
      <c r="O253" s="77"/>
      <c r="P253" s="77"/>
      <c r="Q253" s="77"/>
      <c r="R253" s="14">
        <f t="shared" si="101"/>
        <v>5.872291900839822</v>
      </c>
      <c r="S253">
        <f t="shared" si="102"/>
        <v>2.6330434966607696E-2</v>
      </c>
      <c r="T253">
        <f t="shared" si="103"/>
        <v>1.0271165636435375</v>
      </c>
      <c r="U253">
        <f t="shared" si="108"/>
        <v>0.31483615695159195</v>
      </c>
      <c r="V253">
        <f t="shared" si="104"/>
        <v>0.32337343163885657</v>
      </c>
      <c r="W253">
        <f t="shared" si="105"/>
        <v>3.778287781535497E-2</v>
      </c>
      <c r="X253">
        <f t="shared" si="106"/>
        <v>8.6275567286126412E-2</v>
      </c>
      <c r="Y253">
        <f t="shared" si="107"/>
        <v>6.7878320430821253E-3</v>
      </c>
      <c r="AA253" s="230">
        <f t="shared" si="91"/>
        <v>9.3660194228652391E-2</v>
      </c>
      <c r="AB253">
        <f t="shared" si="92"/>
        <v>1.0699715568091908</v>
      </c>
      <c r="AC253">
        <v>1.7165267261111001</v>
      </c>
      <c r="AD253">
        <f t="shared" si="93"/>
        <v>-0.70710678118654746</v>
      </c>
      <c r="AE253">
        <f t="shared" si="94"/>
        <v>2.4594360642504753E-7</v>
      </c>
      <c r="AF253">
        <f t="shared" si="95"/>
        <v>3.6604063377530625</v>
      </c>
      <c r="AG253">
        <f t="shared" si="96"/>
        <v>3.4218834453332172</v>
      </c>
      <c r="AH253">
        <f t="shared" si="97"/>
        <v>1.8361774758133937</v>
      </c>
      <c r="AI253">
        <f t="shared" si="98"/>
        <v>2.0197952233947332</v>
      </c>
      <c r="AJ253">
        <f t="shared" si="99"/>
        <v>1.6321373809935193</v>
      </c>
      <c r="AK253">
        <f t="shared" si="100"/>
        <v>-41.024184648473678</v>
      </c>
    </row>
    <row r="254" spans="1:57" ht="13.5" thickBot="1">
      <c r="D254" s="6">
        <v>-45</v>
      </c>
      <c r="E254" s="118">
        <v>0.15</v>
      </c>
      <c r="F254" s="120">
        <v>0.55000000000000004</v>
      </c>
      <c r="G254" s="238">
        <v>0.12956999999999999</v>
      </c>
      <c r="H254" s="248">
        <v>1.5059</v>
      </c>
      <c r="I254" s="126">
        <v>1.5854999999999999</v>
      </c>
      <c r="J254" s="77"/>
      <c r="K254" s="77"/>
      <c r="L254" s="77"/>
      <c r="M254" s="77"/>
      <c r="N254" s="77"/>
      <c r="O254" s="77"/>
      <c r="P254" s="77"/>
      <c r="Q254" s="77"/>
      <c r="R254" s="14">
        <f t="shared" si="101"/>
        <v>2.9261462954134876</v>
      </c>
      <c r="S254">
        <f t="shared" si="102"/>
        <v>4.4280082715991043E-2</v>
      </c>
      <c r="T254">
        <f t="shared" si="103"/>
        <v>0.79203529983114895</v>
      </c>
      <c r="U254">
        <f t="shared" si="108"/>
        <v>0.48721540065535612</v>
      </c>
      <c r="V254">
        <f t="shared" si="104"/>
        <v>0.38589179594041834</v>
      </c>
      <c r="W254">
        <f t="shared" si="105"/>
        <v>1.284750826532273E-2</v>
      </c>
      <c r="X254">
        <f t="shared" si="106"/>
        <v>7.3332118900760343E-2</v>
      </c>
      <c r="Y254">
        <f t="shared" si="107"/>
        <v>5.5661200364635951E-3</v>
      </c>
      <c r="AA254" s="230">
        <f t="shared" si="91"/>
        <v>0.18796052708030467</v>
      </c>
      <c r="AB254">
        <f t="shared" si="92"/>
        <v>2.1472560401467291</v>
      </c>
      <c r="AC254">
        <v>2.7586038250070892</v>
      </c>
      <c r="AD254">
        <f t="shared" si="93"/>
        <v>-0.70710678118654746</v>
      </c>
      <c r="AE254">
        <f t="shared" si="94"/>
        <v>2.571291649600127E-7</v>
      </c>
      <c r="AF254">
        <f t="shared" si="95"/>
        <v>2.2776685982313678</v>
      </c>
      <c r="AG254">
        <f t="shared" si="96"/>
        <v>4.8822111106023653</v>
      </c>
      <c r="AH254">
        <f t="shared" si="97"/>
        <v>1.2869548581245946</v>
      </c>
      <c r="AI254">
        <f t="shared" si="98"/>
        <v>1.4156503439370542</v>
      </c>
      <c r="AJ254">
        <f t="shared" si="99"/>
        <v>1.1955897040218779</v>
      </c>
      <c r="AK254">
        <f t="shared" si="100"/>
        <v>-39.439730312162581</v>
      </c>
    </row>
    <row r="255" spans="1:57">
      <c r="D255" s="6">
        <v>-45</v>
      </c>
      <c r="E255" s="73">
        <v>0.15</v>
      </c>
      <c r="F255" s="104">
        <v>0.55000000000000004</v>
      </c>
      <c r="G255" s="234">
        <v>0.15146000000000001</v>
      </c>
      <c r="H255" s="247">
        <v>2.1333000000000002</v>
      </c>
      <c r="I255" s="77">
        <v>7.7799999999999994E-2</v>
      </c>
      <c r="J255" s="77"/>
      <c r="K255" s="77"/>
      <c r="L255" s="77"/>
      <c r="M255" s="77"/>
      <c r="N255" s="77"/>
      <c r="O255" s="77"/>
      <c r="P255" s="77"/>
      <c r="Q255" s="77"/>
      <c r="R255" s="14">
        <f t="shared" si="101"/>
        <v>5.872291900839822</v>
      </c>
      <c r="S255">
        <f t="shared" si="102"/>
        <v>2.579231457794853E-2</v>
      </c>
      <c r="T255">
        <f t="shared" si="103"/>
        <v>1.0377759241741649</v>
      </c>
      <c r="U255">
        <f>0.15/G255/T255</f>
        <v>0.95431052903535674</v>
      </c>
      <c r="V255">
        <f t="shared" si="104"/>
        <v>0.33012016373960124</v>
      </c>
      <c r="W255">
        <f t="shared" si="105"/>
        <v>3.7587087422805823E-2</v>
      </c>
      <c r="X255">
        <f t="shared" si="106"/>
        <v>8.4775360533020191E-2</v>
      </c>
      <c r="Y255">
        <f t="shared" si="107"/>
        <v>1.6493644313423476E-4</v>
      </c>
      <c r="AA255" s="230">
        <f t="shared" si="91"/>
        <v>9.3660194228652391E-2</v>
      </c>
      <c r="AB255">
        <f t="shared" si="92"/>
        <v>1.0699715568091908</v>
      </c>
      <c r="AC255">
        <v>1.7165267261111001</v>
      </c>
      <c r="AD255">
        <f t="shared" si="93"/>
        <v>-0.70710678118654746</v>
      </c>
      <c r="AE255">
        <f t="shared" si="94"/>
        <v>2.4594360642504753E-7</v>
      </c>
      <c r="AF255">
        <f t="shared" si="95"/>
        <v>3.6604063377530625</v>
      </c>
      <c r="AG255">
        <f t="shared" si="96"/>
        <v>3.4218834453332172</v>
      </c>
      <c r="AH255">
        <f t="shared" si="97"/>
        <v>1.8361774758133937</v>
      </c>
      <c r="AI255">
        <f t="shared" si="98"/>
        <v>2.0197952233947332</v>
      </c>
      <c r="AJ255">
        <f t="shared" si="99"/>
        <v>1.6321373809935193</v>
      </c>
      <c r="AK255">
        <f t="shared" si="100"/>
        <v>-41.024184648473678</v>
      </c>
    </row>
    <row r="256" spans="1:57">
      <c r="D256" s="6">
        <v>-45</v>
      </c>
      <c r="E256" s="118">
        <v>0.15</v>
      </c>
      <c r="F256" s="120">
        <v>0.55000000000000004</v>
      </c>
      <c r="G256" s="234">
        <v>0.15146000000000001</v>
      </c>
      <c r="H256" s="247">
        <v>2.1333000000000002</v>
      </c>
      <c r="I256" s="77">
        <v>0.1016</v>
      </c>
      <c r="J256" s="77"/>
      <c r="K256" s="77"/>
      <c r="L256" s="77"/>
      <c r="M256" s="77"/>
      <c r="N256" s="77"/>
      <c r="O256" s="77"/>
      <c r="P256" s="77"/>
      <c r="Q256" s="77"/>
      <c r="R256" s="14">
        <f t="shared" si="101"/>
        <v>5.872291900839822</v>
      </c>
      <c r="S256">
        <f t="shared" si="102"/>
        <v>2.579231457794853E-2</v>
      </c>
      <c r="T256">
        <f t="shared" si="103"/>
        <v>1.0377759241741649</v>
      </c>
      <c r="U256">
        <f>0.15/G256/T256</f>
        <v>0.95431052903535674</v>
      </c>
      <c r="V256">
        <f t="shared" si="104"/>
        <v>0.33012016373960124</v>
      </c>
      <c r="W256">
        <f t="shared" si="105"/>
        <v>3.7587087422805823E-2</v>
      </c>
      <c r="X256">
        <f t="shared" si="106"/>
        <v>8.4775360533020191E-2</v>
      </c>
      <c r="Y256">
        <f t="shared" si="107"/>
        <v>2.1539257869457906E-4</v>
      </c>
      <c r="AA256" s="230">
        <f t="shared" si="91"/>
        <v>9.3660194228652391E-2</v>
      </c>
      <c r="AB256">
        <f t="shared" si="92"/>
        <v>1.0699715568091908</v>
      </c>
      <c r="AC256">
        <v>1.7165267261111001</v>
      </c>
      <c r="AD256">
        <f t="shared" si="93"/>
        <v>-0.70710678118654746</v>
      </c>
      <c r="AE256">
        <f t="shared" si="94"/>
        <v>2.4594360642504753E-7</v>
      </c>
      <c r="AF256">
        <f t="shared" si="95"/>
        <v>3.6604063377530625</v>
      </c>
      <c r="AG256">
        <f t="shared" si="96"/>
        <v>3.4218834453332172</v>
      </c>
      <c r="AH256">
        <f t="shared" si="97"/>
        <v>1.8361774758133937</v>
      </c>
      <c r="AI256">
        <f t="shared" si="98"/>
        <v>2.0197952233947332</v>
      </c>
      <c r="AJ256">
        <f t="shared" si="99"/>
        <v>1.6321373809935193</v>
      </c>
      <c r="AK256">
        <f t="shared" si="100"/>
        <v>-41.024184648473678</v>
      </c>
      <c r="AL256" s="14">
        <f>AVERAGE(AK243:AK256)</f>
        <v>-39.667617350209476</v>
      </c>
    </row>
    <row r="257" spans="1:57" s="17" customFormat="1">
      <c r="A257" s="16" t="s">
        <v>245</v>
      </c>
      <c r="B257" s="6">
        <v>619</v>
      </c>
      <c r="C257" s="17" t="s">
        <v>98</v>
      </c>
      <c r="D257" s="6">
        <v>-45</v>
      </c>
      <c r="E257" s="73">
        <v>0.3</v>
      </c>
      <c r="F257" s="104">
        <v>0.55000000000000004</v>
      </c>
      <c r="G257" s="234">
        <v>7.6097999999999999E-2</v>
      </c>
      <c r="H257" s="247">
        <v>1.7067000000000001</v>
      </c>
      <c r="I257" s="77">
        <v>0.63300000000000001</v>
      </c>
      <c r="J257" s="234">
        <v>7.6097999999999999E-2</v>
      </c>
      <c r="K257" s="247">
        <v>1.7067000000000001</v>
      </c>
      <c r="L257" s="234">
        <v>9.3571000000000001E-2</v>
      </c>
      <c r="M257" s="247">
        <v>1.7067000000000001</v>
      </c>
      <c r="N257" s="77">
        <v>0</v>
      </c>
      <c r="O257" s="77">
        <v>0</v>
      </c>
      <c r="P257" s="77">
        <v>0.63300000000000001</v>
      </c>
      <c r="Q257" s="249">
        <v>0.75560000000000005</v>
      </c>
      <c r="R257" s="14">
        <f t="shared" si="101"/>
        <v>3.758531078447263</v>
      </c>
      <c r="S257">
        <f t="shared" si="102"/>
        <v>2.0246739593660051E-2</v>
      </c>
      <c r="T257">
        <f t="shared" si="103"/>
        <v>1.1713082468417739</v>
      </c>
      <c r="U257">
        <f t="shared" si="108"/>
        <v>0.56095181875846134</v>
      </c>
      <c r="V257">
        <f t="shared" si="104"/>
        <v>0.65704749139267793</v>
      </c>
      <c r="W257">
        <f t="shared" si="105"/>
        <v>1.338550625381168E-2</v>
      </c>
      <c r="X257">
        <f t="shared" si="106"/>
        <v>3.6233854498072662E-2</v>
      </c>
      <c r="Y257">
        <f t="shared" si="107"/>
        <v>3.3385677379705221E-3</v>
      </c>
      <c r="Z257" s="79"/>
      <c r="AA257" s="230">
        <f t="shared" si="91"/>
        <v>0.14633376404784657</v>
      </c>
      <c r="AB257">
        <f t="shared" si="92"/>
        <v>1.6717130112903886</v>
      </c>
      <c r="AC257">
        <v>2.5175125801073426</v>
      </c>
      <c r="AD257">
        <f t="shared" si="93"/>
        <v>-0.70710678118654746</v>
      </c>
      <c r="AE257">
        <f t="shared" si="94"/>
        <v>3.253947011838676E-7</v>
      </c>
      <c r="AF257">
        <f t="shared" si="95"/>
        <v>2.4957910267569274</v>
      </c>
      <c r="AG257">
        <f t="shared" si="96"/>
        <v>4.5836755762081323</v>
      </c>
      <c r="AH257">
        <f t="shared" si="97"/>
        <v>1.3707744369590358</v>
      </c>
      <c r="AI257">
        <f t="shared" si="98"/>
        <v>1.5078518806549395</v>
      </c>
      <c r="AJ257">
        <f t="shared" si="99"/>
        <v>1.2824984248063684</v>
      </c>
      <c r="AK257">
        <f t="shared" si="100"/>
        <v>-33.790018712231202</v>
      </c>
      <c r="AL257" s="73"/>
      <c r="AM257" s="73"/>
      <c r="AR257" s="77"/>
      <c r="AS257" s="77"/>
      <c r="AT257" s="77"/>
      <c r="AU257" s="199"/>
      <c r="AV257" s="77"/>
      <c r="AW257" s="77"/>
      <c r="AX257" s="77"/>
      <c r="AY257" s="77"/>
      <c r="AZ257" s="77"/>
      <c r="BA257" s="77"/>
      <c r="BB257" s="77"/>
      <c r="BC257" s="77"/>
      <c r="BD257" s="77"/>
      <c r="BE257" s="77"/>
    </row>
    <row r="258" spans="1:57" s="17" customFormat="1">
      <c r="A258" s="16" t="s">
        <v>245</v>
      </c>
      <c r="B258" s="6">
        <v>620</v>
      </c>
      <c r="C258" s="17" t="s">
        <v>99</v>
      </c>
      <c r="D258" s="6">
        <v>-45</v>
      </c>
      <c r="E258" s="73">
        <v>0.3</v>
      </c>
      <c r="F258" s="104">
        <v>0.55000000000000004</v>
      </c>
      <c r="G258" s="234">
        <v>6.3805000000000001E-2</v>
      </c>
      <c r="H258" s="247">
        <v>1.1636</v>
      </c>
      <c r="I258" s="77">
        <v>3.6900000000000002E-2</v>
      </c>
      <c r="J258" s="234">
        <v>6.3805000000000001E-2</v>
      </c>
      <c r="K258" s="247">
        <v>1.1636</v>
      </c>
      <c r="L258" s="234">
        <v>6.7058999999999994E-2</v>
      </c>
      <c r="M258" s="247">
        <v>1.2190000000000001</v>
      </c>
      <c r="N258" s="77">
        <v>0</v>
      </c>
      <c r="O258" s="77">
        <v>0</v>
      </c>
      <c r="P258" s="77">
        <v>3.6900000000000002E-2</v>
      </c>
      <c r="Q258" s="249">
        <v>8.3500000000000005E-2</v>
      </c>
      <c r="R258" s="14">
        <f t="shared" si="101"/>
        <v>1.747073570663084</v>
      </c>
      <c r="S258">
        <f t="shared" si="102"/>
        <v>3.6521072192617202E-2</v>
      </c>
      <c r="T258">
        <f t="shared" si="103"/>
        <v>0.87212149390000182</v>
      </c>
      <c r="U258">
        <f t="shared" si="108"/>
        <v>0.89854183325788339</v>
      </c>
      <c r="V258">
        <f t="shared" si="104"/>
        <v>0.78363764595251162</v>
      </c>
      <c r="W258">
        <f t="shared" si="105"/>
        <v>2.005056237750697E-3</v>
      </c>
      <c r="X258">
        <f t="shared" si="106"/>
        <v>2.6071936007299547E-2</v>
      </c>
      <c r="Y258">
        <f t="shared" si="107"/>
        <v>3.4045118815154531E-4</v>
      </c>
      <c r="Z258" s="79"/>
      <c r="AA258" s="230">
        <f t="shared" si="91"/>
        <v>0.31481215744752705</v>
      </c>
      <c r="AB258">
        <f t="shared" si="92"/>
        <v>3.5964056767196513</v>
      </c>
      <c r="AC258">
        <v>5.083424348110416</v>
      </c>
      <c r="AD258">
        <f t="shared" si="93"/>
        <v>-0.70710678118654746</v>
      </c>
      <c r="AE258">
        <f t="shared" si="94"/>
        <v>7.7801531084276121E-7</v>
      </c>
      <c r="AF258">
        <f t="shared" si="95"/>
        <v>1.2360143235956957</v>
      </c>
      <c r="AG258">
        <f t="shared" si="96"/>
        <v>7.018117154643698</v>
      </c>
      <c r="AH258">
        <f t="shared" si="97"/>
        <v>0.89528076672561285</v>
      </c>
      <c r="AI258">
        <f t="shared" si="98"/>
        <v>0.98480884339817421</v>
      </c>
      <c r="AJ258">
        <f t="shared" si="99"/>
        <v>0.73379874354538976</v>
      </c>
      <c r="AK258">
        <f t="shared" si="100"/>
        <v>-22.871234508527504</v>
      </c>
      <c r="AL258" s="73"/>
      <c r="AM258" s="73"/>
      <c r="AR258" s="77"/>
      <c r="AS258" s="77"/>
      <c r="AT258" s="77"/>
      <c r="AU258" s="199"/>
      <c r="AV258" s="77"/>
      <c r="AW258" s="77"/>
      <c r="AX258" s="77"/>
      <c r="AY258" s="77"/>
      <c r="AZ258" s="77"/>
      <c r="BA258" s="77"/>
      <c r="BB258" s="77"/>
      <c r="BC258" s="77"/>
      <c r="BD258" s="77"/>
      <c r="BE258" s="77"/>
    </row>
    <row r="259" spans="1:57" s="17" customFormat="1">
      <c r="A259" s="16" t="s">
        <v>245</v>
      </c>
      <c r="B259" s="6">
        <v>621</v>
      </c>
      <c r="C259" s="17" t="s">
        <v>100</v>
      </c>
      <c r="D259" s="6">
        <v>-45</v>
      </c>
      <c r="E259" s="73">
        <v>0.3</v>
      </c>
      <c r="F259" s="104">
        <v>0.55000000000000004</v>
      </c>
      <c r="G259" s="234">
        <v>0.1169</v>
      </c>
      <c r="H259" s="247">
        <v>1.9692000000000001</v>
      </c>
      <c r="I259" s="77">
        <v>2.2713999999999999</v>
      </c>
      <c r="J259" s="234">
        <v>0.1169</v>
      </c>
      <c r="K259" s="247">
        <v>1.9692000000000001</v>
      </c>
      <c r="L259" s="234">
        <v>0.12095</v>
      </c>
      <c r="M259" s="247">
        <v>1.9692000000000001</v>
      </c>
      <c r="N259" s="77">
        <v>0</v>
      </c>
      <c r="O259" s="77">
        <v>2.8400000000000002E-2</v>
      </c>
      <c r="P259" s="77">
        <v>2.2713999999999999</v>
      </c>
      <c r="Q259" s="249">
        <v>2.7330999999999999</v>
      </c>
      <c r="R259" s="14">
        <f t="shared" si="101"/>
        <v>5.0036096669877761</v>
      </c>
      <c r="S259">
        <f t="shared" si="102"/>
        <v>2.3363133373745952E-2</v>
      </c>
      <c r="T259">
        <f t="shared" si="103"/>
        <v>1.0903933783538735</v>
      </c>
      <c r="U259">
        <f t="shared" si="108"/>
        <v>0.3922584317450451</v>
      </c>
      <c r="V259">
        <f t="shared" si="104"/>
        <v>0.42771599657827203</v>
      </c>
      <c r="W259">
        <f t="shared" si="105"/>
        <v>2.7767973713771044E-2</v>
      </c>
      <c r="X259">
        <f t="shared" si="106"/>
        <v>6.5776049022147995E-2</v>
      </c>
      <c r="Y259">
        <f t="shared" si="107"/>
        <v>6.7589027361405971E-3</v>
      </c>
      <c r="Z259" s="79"/>
      <c r="AA259" s="230">
        <f t="shared" si="91"/>
        <v>0.10992064461557123</v>
      </c>
      <c r="AB259">
        <f t="shared" si="92"/>
        <v>1.2557305076441201</v>
      </c>
      <c r="AC259">
        <v>2.0537387941154797</v>
      </c>
      <c r="AD259">
        <f t="shared" si="93"/>
        <v>-0.70710678118654746</v>
      </c>
      <c r="AE259">
        <f t="shared" si="94"/>
        <v>4.7912338796418652E-7</v>
      </c>
      <c r="AF259">
        <f t="shared" si="95"/>
        <v>3.0593887232313191</v>
      </c>
      <c r="AG259">
        <f t="shared" si="96"/>
        <v>3.9454671509072692</v>
      </c>
      <c r="AH259">
        <f t="shared" si="97"/>
        <v>1.5925073170954556</v>
      </c>
      <c r="AI259">
        <f t="shared" si="98"/>
        <v>1.7517580488050013</v>
      </c>
      <c r="AJ259">
        <f t="shared" si="99"/>
        <v>1.4750439711432402</v>
      </c>
      <c r="AK259">
        <f t="shared" si="100"/>
        <v>-35.465004334426823</v>
      </c>
      <c r="AL259" s="73"/>
      <c r="AM259" s="73"/>
      <c r="AR259" s="77"/>
      <c r="AS259" s="77"/>
      <c r="AT259" s="77"/>
      <c r="AU259" s="199"/>
      <c r="AV259" s="77"/>
      <c r="AW259" s="77"/>
      <c r="AX259" s="77"/>
      <c r="AY259" s="77"/>
      <c r="AZ259" s="77"/>
      <c r="BA259" s="77"/>
      <c r="BB259" s="77"/>
      <c r="BC259" s="77"/>
      <c r="BD259" s="77"/>
      <c r="BE259" s="77"/>
    </row>
    <row r="260" spans="1:57" s="17" customFormat="1">
      <c r="A260" s="16" t="s">
        <v>245</v>
      </c>
      <c r="B260" s="6">
        <v>622</v>
      </c>
      <c r="C260" s="17" t="s">
        <v>101</v>
      </c>
      <c r="D260" s="6">
        <v>-45</v>
      </c>
      <c r="E260" s="73">
        <v>0.3</v>
      </c>
      <c r="F260" s="104">
        <v>0.55000000000000004</v>
      </c>
      <c r="G260" s="234">
        <v>9.6351999999999993E-2</v>
      </c>
      <c r="H260" s="247">
        <v>1.3473999999999999</v>
      </c>
      <c r="I260" s="77">
        <v>0.30280000000000001</v>
      </c>
      <c r="J260" s="234">
        <v>9.6351999999999993E-2</v>
      </c>
      <c r="K260" s="247">
        <v>1.3473999999999999</v>
      </c>
      <c r="L260" s="234">
        <v>0.10602</v>
      </c>
      <c r="M260" s="247">
        <v>1.3473999999999999</v>
      </c>
      <c r="N260" s="77">
        <v>0</v>
      </c>
      <c r="O260" s="77">
        <v>0</v>
      </c>
      <c r="P260" s="77">
        <v>0.30280000000000001</v>
      </c>
      <c r="Q260" s="249">
        <v>0.50829999999999997</v>
      </c>
      <c r="R260" s="14">
        <f t="shared" si="101"/>
        <v>2.3425930729291196</v>
      </c>
      <c r="S260">
        <f t="shared" si="102"/>
        <v>4.1130489590120695E-2</v>
      </c>
      <c r="T260">
        <f t="shared" si="103"/>
        <v>0.82180127376653034</v>
      </c>
      <c r="U260">
        <f t="shared" si="108"/>
        <v>0.63145507850842741</v>
      </c>
      <c r="V260">
        <f t="shared" si="104"/>
        <v>0.51893058784457002</v>
      </c>
      <c r="W260">
        <f t="shared" si="105"/>
        <v>6.7187629886962894E-3</v>
      </c>
      <c r="X260">
        <f t="shared" si="106"/>
        <v>5.1888533856958567E-2</v>
      </c>
      <c r="Y260">
        <f t="shared" si="107"/>
        <v>1.5976642140482784E-3</v>
      </c>
      <c r="Z260" s="79"/>
      <c r="AA260" s="230">
        <f t="shared" si="91"/>
        <v>0.23478256055469926</v>
      </c>
      <c r="AB260">
        <f t="shared" si="92"/>
        <v>2.6821496997441594</v>
      </c>
      <c r="AC260">
        <v>3.751032080620023</v>
      </c>
      <c r="AD260">
        <f t="shared" si="93"/>
        <v>-0.70710678118654746</v>
      </c>
      <c r="AE260">
        <f t="shared" si="94"/>
        <v>4.5466100195845627E-7</v>
      </c>
      <c r="AF260">
        <f t="shared" si="95"/>
        <v>1.6750550707476257</v>
      </c>
      <c r="AG260">
        <f t="shared" si="96"/>
        <v>5.9252260526204719</v>
      </c>
      <c r="AH260">
        <f t="shared" si="97"/>
        <v>1.0604127591724208</v>
      </c>
      <c r="AI260">
        <f t="shared" si="98"/>
        <v>1.1664540350896631</v>
      </c>
      <c r="AJ260">
        <f t="shared" si="99"/>
        <v>0.92909385854991822</v>
      </c>
      <c r="AK260">
        <f t="shared" si="100"/>
        <v>-28.517761390002175</v>
      </c>
      <c r="AL260" s="73"/>
      <c r="AM260" s="73"/>
      <c r="AR260" s="77"/>
      <c r="AS260" s="77"/>
      <c r="AT260" s="77"/>
      <c r="AU260" s="199"/>
      <c r="AV260" s="77"/>
      <c r="AW260" s="77"/>
      <c r="AX260" s="77"/>
      <c r="AY260" s="77"/>
      <c r="AZ260" s="77"/>
      <c r="BA260" s="77"/>
      <c r="BB260" s="77"/>
      <c r="BC260" s="77"/>
      <c r="BD260" s="77"/>
      <c r="BE260" s="77"/>
    </row>
    <row r="261" spans="1:57" s="17" customFormat="1">
      <c r="A261" s="16" t="s">
        <v>245</v>
      </c>
      <c r="B261" s="6">
        <v>623</v>
      </c>
      <c r="C261" s="17" t="s">
        <v>102</v>
      </c>
      <c r="D261" s="6">
        <v>-45</v>
      </c>
      <c r="E261" s="73">
        <v>0.3</v>
      </c>
      <c r="F261" s="104">
        <v>0.55000000000000004</v>
      </c>
      <c r="G261" s="234">
        <v>0.15484999999999999</v>
      </c>
      <c r="H261" s="247">
        <v>2.1333000000000002</v>
      </c>
      <c r="I261" s="77">
        <v>4.0121000000000002</v>
      </c>
      <c r="J261" s="234">
        <v>0.15484999999999999</v>
      </c>
      <c r="K261" s="247">
        <v>2.1333000000000002</v>
      </c>
      <c r="L261" s="234">
        <v>0.14585000000000001</v>
      </c>
      <c r="M261" s="247">
        <v>2.1333000000000002</v>
      </c>
      <c r="N261" s="77">
        <v>7.1999999999999995E-2</v>
      </c>
      <c r="O261" s="77">
        <v>0.1484</v>
      </c>
      <c r="P261" s="77">
        <v>4.0121000000000002</v>
      </c>
      <c r="Q261" s="249">
        <v>4.9922000000000004</v>
      </c>
      <c r="R261" s="14">
        <f t="shared" si="101"/>
        <v>5.872291900839822</v>
      </c>
      <c r="S261">
        <f t="shared" si="102"/>
        <v>2.6369601956921493E-2</v>
      </c>
      <c r="T261">
        <f t="shared" si="103"/>
        <v>1.0263534877766591</v>
      </c>
      <c r="U261">
        <f t="shared" si="108"/>
        <v>0.31460225567700023</v>
      </c>
      <c r="V261">
        <f t="shared" si="104"/>
        <v>0.32289312237649342</v>
      </c>
      <c r="W261">
        <f t="shared" si="105"/>
        <v>3.7796777850717944E-2</v>
      </c>
      <c r="X261">
        <f t="shared" si="106"/>
        <v>8.638337586863086E-2</v>
      </c>
      <c r="Y261">
        <f t="shared" si="107"/>
        <v>8.319467311008983E-3</v>
      </c>
      <c r="Z261" s="79"/>
      <c r="AA261" s="230">
        <f t="shared" si="91"/>
        <v>9.3660194228652391E-2</v>
      </c>
      <c r="AB261">
        <f t="shared" si="92"/>
        <v>1.0699715568091908</v>
      </c>
      <c r="AC261">
        <v>1.8476287883940405</v>
      </c>
      <c r="AD261">
        <f t="shared" si="93"/>
        <v>-0.70710678118654746</v>
      </c>
      <c r="AE261">
        <f t="shared" si="94"/>
        <v>6.0303226628866113E-7</v>
      </c>
      <c r="AF261">
        <f t="shared" si="95"/>
        <v>3.4006751500342949</v>
      </c>
      <c r="AG261">
        <f t="shared" si="96"/>
        <v>3.6317599028203849</v>
      </c>
      <c r="AH261">
        <f t="shared" si="97"/>
        <v>1.7300662696066811</v>
      </c>
      <c r="AI261">
        <f t="shared" si="98"/>
        <v>1.9030728965673493</v>
      </c>
      <c r="AJ261">
        <f t="shared" si="99"/>
        <v>1.5698010762252095</v>
      </c>
      <c r="AK261">
        <f t="shared" si="100"/>
        <v>-36.119495475435173</v>
      </c>
      <c r="AL261" s="73"/>
      <c r="AM261" s="73"/>
      <c r="AR261" s="77"/>
      <c r="AS261" s="77"/>
      <c r="AT261" s="77"/>
      <c r="AU261" s="199"/>
      <c r="AV261" s="77"/>
      <c r="AW261" s="77"/>
      <c r="AX261" s="77"/>
      <c r="AY261" s="77"/>
      <c r="AZ261" s="77"/>
      <c r="BA261" s="77"/>
      <c r="BB261" s="77"/>
      <c r="BC261" s="77"/>
      <c r="BD261" s="77"/>
      <c r="BE261" s="77"/>
    </row>
    <row r="262" spans="1:57" s="17" customFormat="1" ht="13.5" thickBot="1">
      <c r="A262" s="115" t="s">
        <v>245</v>
      </c>
      <c r="B262" s="116">
        <v>624</v>
      </c>
      <c r="C262" s="147" t="s">
        <v>103</v>
      </c>
      <c r="D262" s="6">
        <v>-45</v>
      </c>
      <c r="E262" s="118">
        <v>0.3</v>
      </c>
      <c r="F262" s="120">
        <v>0.55000000000000004</v>
      </c>
      <c r="G262" s="238">
        <v>0.12445000000000001</v>
      </c>
      <c r="H262" s="248">
        <v>1.5059</v>
      </c>
      <c r="I262" s="126">
        <v>1.2336</v>
      </c>
      <c r="J262" s="238">
        <v>0.12445000000000001</v>
      </c>
      <c r="K262" s="248">
        <v>1.5059</v>
      </c>
      <c r="L262" s="238">
        <v>0.14568999999999999</v>
      </c>
      <c r="M262" s="248">
        <v>1.5059</v>
      </c>
      <c r="N262" s="151">
        <v>0</v>
      </c>
      <c r="O262" s="151">
        <v>0</v>
      </c>
      <c r="P262" s="151">
        <v>1.2336</v>
      </c>
      <c r="Q262" s="250">
        <v>1.6796</v>
      </c>
      <c r="R262" s="14">
        <f t="shared" si="101"/>
        <v>2.9261462954134876</v>
      </c>
      <c r="S262">
        <f t="shared" si="102"/>
        <v>4.2530341082079849E-2</v>
      </c>
      <c r="T262">
        <f t="shared" si="103"/>
        <v>0.80816365774761612</v>
      </c>
      <c r="U262">
        <f t="shared" si="108"/>
        <v>0.49713665588963629</v>
      </c>
      <c r="V262">
        <f t="shared" si="104"/>
        <v>0.40176777822418641</v>
      </c>
      <c r="W262">
        <f t="shared" si="105"/>
        <v>1.2505675037445393E-2</v>
      </c>
      <c r="X262">
        <f t="shared" si="106"/>
        <v>7.0366770596831454E-2</v>
      </c>
      <c r="Y262">
        <f t="shared" si="107"/>
        <v>4.5088962270520942E-3</v>
      </c>
      <c r="Z262" s="79"/>
      <c r="AA262" s="230">
        <f t="shared" si="91"/>
        <v>0.18796052708030467</v>
      </c>
      <c r="AB262">
        <f t="shared" si="92"/>
        <v>2.1472560401467291</v>
      </c>
      <c r="AC262">
        <v>3.072374525734038</v>
      </c>
      <c r="AD262">
        <f t="shared" si="93"/>
        <v>-0.70710678118654746</v>
      </c>
      <c r="AE262">
        <f t="shared" si="94"/>
        <v>9.3857311334044624E-7</v>
      </c>
      <c r="AF262">
        <f t="shared" si="95"/>
        <v>2.0450583919870367</v>
      </c>
      <c r="AG262">
        <f t="shared" si="96"/>
        <v>5.2413667298032669</v>
      </c>
      <c r="AH262">
        <f t="shared" si="97"/>
        <v>1.1987684951431405</v>
      </c>
      <c r="AI262">
        <f t="shared" si="98"/>
        <v>1.3186453446574546</v>
      </c>
      <c r="AJ262">
        <f t="shared" si="99"/>
        <v>1.0962379883893356</v>
      </c>
      <c r="AK262">
        <f t="shared" si="100"/>
        <v>-31.507538621013577</v>
      </c>
      <c r="AL262" s="73"/>
      <c r="AM262" s="73"/>
      <c r="AR262" s="77"/>
      <c r="AS262" s="77"/>
      <c r="AT262" s="77"/>
      <c r="AU262" s="199"/>
      <c r="AV262" s="77"/>
      <c r="AW262" s="77"/>
      <c r="AX262" s="77"/>
      <c r="AY262" s="77"/>
      <c r="AZ262" s="77"/>
      <c r="BA262" s="77"/>
      <c r="BB262" s="77"/>
      <c r="BC262" s="77"/>
      <c r="BD262" s="77"/>
      <c r="BE262" s="77"/>
    </row>
    <row r="263" spans="1:57">
      <c r="D263" s="6">
        <v>-45</v>
      </c>
      <c r="E263" s="73">
        <v>0.3</v>
      </c>
      <c r="F263" s="104">
        <v>0.55000000000000004</v>
      </c>
      <c r="G263" s="234">
        <v>7.6097999999999999E-2</v>
      </c>
      <c r="H263" s="247">
        <v>1.7067000000000001</v>
      </c>
      <c r="I263" s="77">
        <v>0.75560000000000005</v>
      </c>
      <c r="J263" s="77"/>
      <c r="K263" s="77"/>
      <c r="L263" s="77"/>
      <c r="M263" s="77"/>
      <c r="N263" s="77"/>
      <c r="O263" s="77"/>
      <c r="P263" s="77"/>
      <c r="Q263" s="77"/>
      <c r="R263" s="14">
        <f t="shared" si="101"/>
        <v>3.758531078447263</v>
      </c>
      <c r="S263">
        <f t="shared" si="102"/>
        <v>2.0246739593660051E-2</v>
      </c>
      <c r="T263">
        <f t="shared" si="103"/>
        <v>1.1713082468417739</v>
      </c>
      <c r="U263">
        <f t="shared" si="108"/>
        <v>0.56095181875846134</v>
      </c>
      <c r="V263">
        <f t="shared" si="104"/>
        <v>0.65704749139267793</v>
      </c>
      <c r="W263">
        <f t="shared" si="105"/>
        <v>1.338550625381168E-2</v>
      </c>
      <c r="X263">
        <f t="shared" si="106"/>
        <v>3.6233854498072662E-2</v>
      </c>
      <c r="Y263">
        <f t="shared" si="107"/>
        <v>3.9851844910118901E-3</v>
      </c>
      <c r="AA263" s="230">
        <f t="shared" si="91"/>
        <v>0.14633376404784657</v>
      </c>
      <c r="AB263">
        <f t="shared" si="92"/>
        <v>1.6717130112903886</v>
      </c>
      <c r="AC263">
        <v>2.5175125801073426</v>
      </c>
      <c r="AD263">
        <f t="shared" si="93"/>
        <v>-0.70710678118654746</v>
      </c>
      <c r="AE263">
        <f t="shared" si="94"/>
        <v>3.253947011838676E-7</v>
      </c>
      <c r="AF263">
        <f t="shared" si="95"/>
        <v>2.4957910267569274</v>
      </c>
      <c r="AG263">
        <f t="shared" si="96"/>
        <v>4.5836755762081323</v>
      </c>
      <c r="AH263">
        <f t="shared" si="97"/>
        <v>1.3707744369590358</v>
      </c>
      <c r="AI263">
        <f t="shared" si="98"/>
        <v>1.5078518806549395</v>
      </c>
      <c r="AJ263">
        <f t="shared" si="99"/>
        <v>1.2824984248063684</v>
      </c>
      <c r="AK263">
        <f t="shared" si="100"/>
        <v>-33.790018712231202</v>
      </c>
    </row>
    <row r="264" spans="1:57">
      <c r="D264" s="6">
        <v>-45</v>
      </c>
      <c r="E264" s="118">
        <v>0.3</v>
      </c>
      <c r="F264" s="120">
        <v>0.55000000000000004</v>
      </c>
      <c r="G264" s="234">
        <v>6.3805000000000001E-2</v>
      </c>
      <c r="H264" s="247">
        <v>1.1636</v>
      </c>
      <c r="I264" s="77">
        <v>8.3500000000000005E-2</v>
      </c>
      <c r="J264" s="77"/>
      <c r="K264" s="77"/>
      <c r="L264" s="77"/>
      <c r="M264" s="77"/>
      <c r="N264" s="77"/>
      <c r="O264" s="77"/>
      <c r="P264" s="77"/>
      <c r="Q264" s="77"/>
      <c r="R264" s="14">
        <f t="shared" si="101"/>
        <v>1.747073570663084</v>
      </c>
      <c r="S264">
        <f t="shared" si="102"/>
        <v>3.6521072192617202E-2</v>
      </c>
      <c r="T264">
        <f t="shared" si="103"/>
        <v>0.87212149390000182</v>
      </c>
      <c r="U264">
        <f t="shared" si="108"/>
        <v>0.89854183325788339</v>
      </c>
      <c r="V264">
        <f t="shared" si="104"/>
        <v>0.78363764595251162</v>
      </c>
      <c r="W264">
        <f t="shared" si="105"/>
        <v>2.005056237750697E-3</v>
      </c>
      <c r="X264">
        <f t="shared" si="106"/>
        <v>2.6071936007299547E-2</v>
      </c>
      <c r="Y264">
        <f t="shared" si="107"/>
        <v>7.7039767508547518E-4</v>
      </c>
      <c r="AA264" s="230">
        <f t="shared" ref="AA264:AA284" si="109">F264/R264</f>
        <v>0.31481215744752705</v>
      </c>
      <c r="AB264">
        <f t="shared" ref="AB264:AB283" si="110">2*PI()/R264</f>
        <v>3.5964056767196513</v>
      </c>
      <c r="AC264">
        <v>5.083424348110416</v>
      </c>
      <c r="AD264">
        <f t="shared" ref="AD264:AD283" si="111">SIN(D264*PI()/180)</f>
        <v>-0.70710678118654746</v>
      </c>
      <c r="AE264">
        <f t="shared" ref="AE264:AE283" si="112">(9.81*AC264*TANH(AC264*0.5))^0.5-2*PI()/(H264/1.1)+AC264*E264*AD264</f>
        <v>7.7801531084276121E-7</v>
      </c>
      <c r="AF264">
        <f t="shared" ref="AF264:AF283" si="113">2*PI()/AC264</f>
        <v>1.2360143235956957</v>
      </c>
      <c r="AG264">
        <f t="shared" ref="AG264:AG283" si="114">(9.81*AC264*TANH(AC264*0.5))^0.5</f>
        <v>7.018117154643698</v>
      </c>
      <c r="AH264">
        <f t="shared" ref="AH264:AH283" si="115">2*PI()/AG264</f>
        <v>0.89528076672561285</v>
      </c>
      <c r="AI264">
        <f t="shared" ref="AI264:AI283" si="116">AH264*1.1</f>
        <v>0.98480884339817421</v>
      </c>
      <c r="AJ264">
        <f t="shared" ref="AJ264:AJ283" si="117">0.5*AG264/AC264*(1+2*AC264*0.5/SINH(2*AC264*0.5))</f>
        <v>0.73379874354538976</v>
      </c>
      <c r="AK264">
        <f t="shared" ref="AK264:AK283" si="118">ATAN((AJ264*SIN(D264*PI()/180)+E264)/(AJ264*COS(D264*PI()/180)))*180/PI()</f>
        <v>-22.871234508527504</v>
      </c>
    </row>
    <row r="265" spans="1:57">
      <c r="D265" s="6">
        <v>-45</v>
      </c>
      <c r="E265" s="73">
        <v>0.3</v>
      </c>
      <c r="F265" s="104">
        <v>0.55000000000000004</v>
      </c>
      <c r="G265" s="234">
        <v>0.1169</v>
      </c>
      <c r="H265" s="247">
        <v>1.9692000000000001</v>
      </c>
      <c r="I265" s="77">
        <v>2.7330999999999999</v>
      </c>
      <c r="J265" s="77"/>
      <c r="K265" s="77"/>
      <c r="L265" s="77"/>
      <c r="M265" s="77"/>
      <c r="N265" s="77"/>
      <c r="O265" s="77"/>
      <c r="P265" s="77"/>
      <c r="Q265" s="77"/>
      <c r="R265" s="14">
        <f t="shared" si="101"/>
        <v>5.0036096669877761</v>
      </c>
      <c r="S265">
        <f t="shared" si="102"/>
        <v>2.3363133373745952E-2</v>
      </c>
      <c r="T265">
        <f t="shared" si="103"/>
        <v>1.0903933783538735</v>
      </c>
      <c r="U265">
        <f t="shared" si="108"/>
        <v>0.3922584317450451</v>
      </c>
      <c r="V265">
        <f t="shared" si="104"/>
        <v>0.42771599657827203</v>
      </c>
      <c r="W265">
        <f t="shared" si="105"/>
        <v>2.7767973713771044E-2</v>
      </c>
      <c r="X265">
        <f t="shared" si="106"/>
        <v>6.5776049022147995E-2</v>
      </c>
      <c r="Y265">
        <f t="shared" si="107"/>
        <v>8.1327626433679093E-3</v>
      </c>
      <c r="AA265" s="230">
        <f t="shared" si="109"/>
        <v>0.10992064461557123</v>
      </c>
      <c r="AB265">
        <f t="shared" si="110"/>
        <v>1.2557305076441201</v>
      </c>
      <c r="AC265">
        <v>2.0537387941154797</v>
      </c>
      <c r="AD265">
        <f t="shared" si="111"/>
        <v>-0.70710678118654746</v>
      </c>
      <c r="AE265">
        <f t="shared" si="112"/>
        <v>4.7912338796418652E-7</v>
      </c>
      <c r="AF265">
        <f t="shared" si="113"/>
        <v>3.0593887232313191</v>
      </c>
      <c r="AG265">
        <f t="shared" si="114"/>
        <v>3.9454671509072692</v>
      </c>
      <c r="AH265">
        <f t="shared" si="115"/>
        <v>1.5925073170954556</v>
      </c>
      <c r="AI265">
        <f t="shared" si="116"/>
        <v>1.7517580488050013</v>
      </c>
      <c r="AJ265">
        <f t="shared" si="117"/>
        <v>1.4750439711432402</v>
      </c>
      <c r="AK265">
        <f t="shared" si="118"/>
        <v>-35.465004334426823</v>
      </c>
    </row>
    <row r="266" spans="1:57">
      <c r="D266" s="6">
        <v>-45</v>
      </c>
      <c r="E266" s="118">
        <v>0.3</v>
      </c>
      <c r="F266" s="120">
        <v>0.55000000000000004</v>
      </c>
      <c r="G266" s="234">
        <v>9.6351999999999993E-2</v>
      </c>
      <c r="H266" s="247">
        <v>1.3473999999999999</v>
      </c>
      <c r="I266" s="77">
        <v>0.50829999999999997</v>
      </c>
      <c r="J266" s="77"/>
      <c r="K266" s="77"/>
      <c r="L266" s="77"/>
      <c r="M266" s="77"/>
      <c r="N266" s="77"/>
      <c r="O266" s="77"/>
      <c r="P266" s="77"/>
      <c r="Q266" s="77"/>
      <c r="R266" s="14">
        <f t="shared" si="101"/>
        <v>2.3425930729291196</v>
      </c>
      <c r="S266">
        <f t="shared" si="102"/>
        <v>4.1130489590120695E-2</v>
      </c>
      <c r="T266">
        <f t="shared" si="103"/>
        <v>0.82180127376653034</v>
      </c>
      <c r="U266">
        <f t="shared" si="108"/>
        <v>0.63145507850842741</v>
      </c>
      <c r="V266">
        <f t="shared" si="104"/>
        <v>0.51893058784457002</v>
      </c>
      <c r="W266">
        <f t="shared" si="105"/>
        <v>6.7187629886962894E-3</v>
      </c>
      <c r="X266">
        <f t="shared" si="106"/>
        <v>5.1888533856958567E-2</v>
      </c>
      <c r="Y266">
        <f t="shared" si="107"/>
        <v>2.6819442536352043E-3</v>
      </c>
      <c r="AA266" s="230">
        <f t="shared" si="109"/>
        <v>0.23478256055469926</v>
      </c>
      <c r="AB266">
        <f t="shared" si="110"/>
        <v>2.6821496997441594</v>
      </c>
      <c r="AC266">
        <v>3.751032080620023</v>
      </c>
      <c r="AD266">
        <f t="shared" si="111"/>
        <v>-0.70710678118654746</v>
      </c>
      <c r="AE266">
        <f t="shared" si="112"/>
        <v>4.5466100195845627E-7</v>
      </c>
      <c r="AF266">
        <f t="shared" si="113"/>
        <v>1.6750550707476257</v>
      </c>
      <c r="AG266">
        <f t="shared" si="114"/>
        <v>5.9252260526204719</v>
      </c>
      <c r="AH266">
        <f t="shared" si="115"/>
        <v>1.0604127591724208</v>
      </c>
      <c r="AI266">
        <f t="shared" si="116"/>
        <v>1.1664540350896631</v>
      </c>
      <c r="AJ266">
        <f t="shared" si="117"/>
        <v>0.92909385854991822</v>
      </c>
      <c r="AK266">
        <f t="shared" si="118"/>
        <v>-28.517761390002175</v>
      </c>
    </row>
    <row r="267" spans="1:57">
      <c r="D267" s="6">
        <v>-45</v>
      </c>
      <c r="E267" s="73">
        <v>0.3</v>
      </c>
      <c r="F267" s="104">
        <v>0.55000000000000004</v>
      </c>
      <c r="G267" s="234">
        <v>0.15484999999999999</v>
      </c>
      <c r="H267" s="247">
        <v>2.1333000000000002</v>
      </c>
      <c r="I267" s="77">
        <v>4.9922000000000004</v>
      </c>
      <c r="J267" s="77"/>
      <c r="K267" s="77"/>
      <c r="L267" s="77"/>
      <c r="M267" s="77"/>
      <c r="N267" s="77"/>
      <c r="O267" s="77"/>
      <c r="P267" s="77"/>
      <c r="Q267" s="77"/>
      <c r="R267" s="14">
        <f t="shared" si="101"/>
        <v>5.872291900839822</v>
      </c>
      <c r="S267">
        <f t="shared" si="102"/>
        <v>2.6369601956921493E-2</v>
      </c>
      <c r="T267">
        <f t="shared" si="103"/>
        <v>1.0263534877766591</v>
      </c>
      <c r="U267">
        <f t="shared" si="108"/>
        <v>0.31460225567700023</v>
      </c>
      <c r="V267">
        <f t="shared" si="104"/>
        <v>0.32289312237649342</v>
      </c>
      <c r="W267">
        <f t="shared" si="105"/>
        <v>3.7796777850717944E-2</v>
      </c>
      <c r="X267">
        <f t="shared" si="106"/>
        <v>8.638337586863086E-2</v>
      </c>
      <c r="Y267">
        <f t="shared" si="107"/>
        <v>1.0351796991605156E-2</v>
      </c>
      <c r="AA267" s="230">
        <f t="shared" si="109"/>
        <v>9.3660194228652391E-2</v>
      </c>
      <c r="AB267">
        <f t="shared" si="110"/>
        <v>1.0699715568091908</v>
      </c>
      <c r="AC267">
        <v>1.8476287883940405</v>
      </c>
      <c r="AD267">
        <f t="shared" si="111"/>
        <v>-0.70710678118654746</v>
      </c>
      <c r="AE267">
        <f t="shared" si="112"/>
        <v>6.0303226628866113E-7</v>
      </c>
      <c r="AF267">
        <f t="shared" si="113"/>
        <v>3.4006751500342949</v>
      </c>
      <c r="AG267">
        <f t="shared" si="114"/>
        <v>3.6317599028203849</v>
      </c>
      <c r="AH267">
        <f t="shared" si="115"/>
        <v>1.7300662696066811</v>
      </c>
      <c r="AI267">
        <f t="shared" si="116"/>
        <v>1.9030728965673493</v>
      </c>
      <c r="AJ267">
        <f t="shared" si="117"/>
        <v>1.5698010762252095</v>
      </c>
      <c r="AK267">
        <f t="shared" si="118"/>
        <v>-36.119495475435173</v>
      </c>
    </row>
    <row r="268" spans="1:57" ht="13.5" thickBot="1">
      <c r="D268" s="6">
        <v>-45</v>
      </c>
      <c r="E268" s="118">
        <v>0.3</v>
      </c>
      <c r="F268" s="120">
        <v>0.55000000000000004</v>
      </c>
      <c r="G268" s="238">
        <v>0.12445000000000001</v>
      </c>
      <c r="H268" s="248">
        <v>1.5059</v>
      </c>
      <c r="I268" s="126">
        <v>1.6796</v>
      </c>
      <c r="J268" s="77"/>
      <c r="K268" s="77"/>
      <c r="L268" s="77"/>
      <c r="M268" s="77"/>
      <c r="N268" s="77"/>
      <c r="O268" s="77"/>
      <c r="P268" s="77"/>
      <c r="Q268" s="77"/>
      <c r="R268" s="14">
        <f t="shared" si="101"/>
        <v>2.9261462954134876</v>
      </c>
      <c r="S268">
        <f t="shared" si="102"/>
        <v>4.2530341082079849E-2</v>
      </c>
      <c r="T268">
        <f t="shared" si="103"/>
        <v>0.80816365774761612</v>
      </c>
      <c r="U268">
        <f t="shared" si="108"/>
        <v>0.49713665588963629</v>
      </c>
      <c r="V268">
        <f t="shared" si="104"/>
        <v>0.40176777822418641</v>
      </c>
      <c r="W268">
        <f t="shared" si="105"/>
        <v>1.2505675037445393E-2</v>
      </c>
      <c r="X268">
        <f t="shared" si="106"/>
        <v>7.0366770596831454E-2</v>
      </c>
      <c r="Y268">
        <f t="shared" si="107"/>
        <v>6.1390581249648971E-3</v>
      </c>
      <c r="AA268" s="230">
        <f t="shared" si="109"/>
        <v>0.18796052708030467</v>
      </c>
      <c r="AB268">
        <f t="shared" si="110"/>
        <v>2.1472560401467291</v>
      </c>
      <c r="AC268">
        <v>3.072374525734038</v>
      </c>
      <c r="AD268">
        <f t="shared" si="111"/>
        <v>-0.70710678118654746</v>
      </c>
      <c r="AE268">
        <f t="shared" si="112"/>
        <v>9.3857311334044624E-7</v>
      </c>
      <c r="AF268">
        <f t="shared" si="113"/>
        <v>2.0450583919870367</v>
      </c>
      <c r="AG268">
        <f t="shared" si="114"/>
        <v>5.2413667298032669</v>
      </c>
      <c r="AH268">
        <f t="shared" si="115"/>
        <v>1.1987684951431405</v>
      </c>
      <c r="AI268">
        <f t="shared" si="116"/>
        <v>1.3186453446574546</v>
      </c>
      <c r="AJ268">
        <f t="shared" si="117"/>
        <v>1.0962379883893356</v>
      </c>
      <c r="AK268">
        <f t="shared" si="118"/>
        <v>-31.507538621013577</v>
      </c>
    </row>
    <row r="269" spans="1:57">
      <c r="D269" s="6">
        <v>-45</v>
      </c>
      <c r="E269" s="73">
        <v>0.3</v>
      </c>
      <c r="F269" s="104">
        <v>0.55000000000000004</v>
      </c>
      <c r="G269" s="234">
        <v>0.14585000000000001</v>
      </c>
      <c r="H269" s="247">
        <v>2.1333000000000002</v>
      </c>
      <c r="I269" s="77">
        <v>7.1999999999999995E-2</v>
      </c>
      <c r="J269" s="77"/>
      <c r="K269" s="77"/>
      <c r="L269" s="77"/>
      <c r="M269" s="77"/>
      <c r="N269" s="77"/>
      <c r="O269" s="77"/>
      <c r="P269" s="77"/>
      <c r="Q269" s="77"/>
      <c r="R269" s="14">
        <f t="shared" si="101"/>
        <v>5.872291900839822</v>
      </c>
      <c r="S269">
        <f t="shared" si="102"/>
        <v>2.4836980596816275E-2</v>
      </c>
      <c r="T269">
        <f t="shared" si="103"/>
        <v>1.0575462037373295</v>
      </c>
      <c r="U269">
        <f>0.15/G269/T269</f>
        <v>0.97249074068761154</v>
      </c>
      <c r="V269">
        <f t="shared" si="104"/>
        <v>0.34281796366129585</v>
      </c>
      <c r="W269">
        <f t="shared" si="105"/>
        <v>3.7216293785798833E-2</v>
      </c>
      <c r="X269">
        <f t="shared" si="106"/>
        <v>8.2022258949237939E-2</v>
      </c>
      <c r="Y269">
        <f t="shared" si="107"/>
        <v>1.5851159762442186E-4</v>
      </c>
      <c r="AA269" s="230">
        <f t="shared" si="109"/>
        <v>9.3660194228652391E-2</v>
      </c>
      <c r="AB269">
        <f t="shared" si="110"/>
        <v>1.0699715568091908</v>
      </c>
      <c r="AC269">
        <v>1.8476287883940405</v>
      </c>
      <c r="AD269">
        <f t="shared" si="111"/>
        <v>-0.70710678118654746</v>
      </c>
      <c r="AE269">
        <f t="shared" si="112"/>
        <v>6.0303226628866113E-7</v>
      </c>
      <c r="AF269">
        <f t="shared" si="113"/>
        <v>3.4006751500342949</v>
      </c>
      <c r="AG269">
        <f t="shared" si="114"/>
        <v>3.6317599028203849</v>
      </c>
      <c r="AH269">
        <f t="shared" si="115"/>
        <v>1.7300662696066811</v>
      </c>
      <c r="AI269">
        <f t="shared" si="116"/>
        <v>1.9030728965673493</v>
      </c>
      <c r="AJ269">
        <f t="shared" si="117"/>
        <v>1.5698010762252095</v>
      </c>
      <c r="AK269">
        <f t="shared" si="118"/>
        <v>-36.119495475435173</v>
      </c>
    </row>
    <row r="270" spans="1:57">
      <c r="D270" s="6">
        <v>-45</v>
      </c>
      <c r="E270" s="118">
        <v>0.3</v>
      </c>
      <c r="F270" s="120">
        <v>0.55000000000000004</v>
      </c>
      <c r="G270" s="234">
        <v>0.14585000000000001</v>
      </c>
      <c r="H270" s="247">
        <v>2.1333000000000002</v>
      </c>
      <c r="I270" s="77">
        <v>0.1484</v>
      </c>
      <c r="J270" s="77"/>
      <c r="K270" s="77"/>
      <c r="L270" s="77"/>
      <c r="M270" s="77"/>
      <c r="N270" s="77"/>
      <c r="O270" s="77"/>
      <c r="P270" s="77"/>
      <c r="Q270" s="77"/>
      <c r="R270" s="14">
        <f t="shared" si="101"/>
        <v>5.872291900839822</v>
      </c>
      <c r="S270">
        <f t="shared" si="102"/>
        <v>2.4836980596816275E-2</v>
      </c>
      <c r="T270">
        <f t="shared" si="103"/>
        <v>1.0575462037373295</v>
      </c>
      <c r="U270">
        <f>0.15/G270/T270</f>
        <v>0.97249074068761154</v>
      </c>
      <c r="V270">
        <f t="shared" si="104"/>
        <v>0.34281796366129585</v>
      </c>
      <c r="W270">
        <f t="shared" si="105"/>
        <v>3.7216293785798833E-2</v>
      </c>
      <c r="X270">
        <f t="shared" si="106"/>
        <v>8.2022258949237939E-2</v>
      </c>
      <c r="Y270">
        <f t="shared" si="107"/>
        <v>3.2671001510366953E-4</v>
      </c>
      <c r="AA270" s="230">
        <f t="shared" si="109"/>
        <v>9.3660194228652391E-2</v>
      </c>
      <c r="AB270">
        <f t="shared" si="110"/>
        <v>1.0699715568091908</v>
      </c>
      <c r="AC270">
        <v>1.8476287883940405</v>
      </c>
      <c r="AD270">
        <f t="shared" si="111"/>
        <v>-0.70710678118654746</v>
      </c>
      <c r="AE270">
        <f t="shared" si="112"/>
        <v>6.0303226628866113E-7</v>
      </c>
      <c r="AF270">
        <f t="shared" si="113"/>
        <v>3.4006751500342949</v>
      </c>
      <c r="AG270">
        <f t="shared" si="114"/>
        <v>3.6317599028203849</v>
      </c>
      <c r="AH270">
        <f t="shared" si="115"/>
        <v>1.7300662696066811</v>
      </c>
      <c r="AI270">
        <f t="shared" si="116"/>
        <v>1.9030728965673493</v>
      </c>
      <c r="AJ270">
        <f t="shared" si="117"/>
        <v>1.5698010762252095</v>
      </c>
      <c r="AK270">
        <f t="shared" si="118"/>
        <v>-36.119495475435173</v>
      </c>
      <c r="AL270" s="14">
        <f>AVERAGE(AK257:AK270)</f>
        <v>-32.055792645295945</v>
      </c>
    </row>
    <row r="271" spans="1:57" s="17" customFormat="1">
      <c r="A271" s="16" t="s">
        <v>247</v>
      </c>
      <c r="B271" s="6">
        <v>631</v>
      </c>
      <c r="C271" s="17" t="s">
        <v>153</v>
      </c>
      <c r="D271" s="6">
        <v>-45</v>
      </c>
      <c r="E271" s="73">
        <v>0.4</v>
      </c>
      <c r="F271" s="104">
        <v>0.55000000000000004</v>
      </c>
      <c r="G271" s="234">
        <v>7.8577999999999995E-2</v>
      </c>
      <c r="H271" s="247">
        <v>1.6</v>
      </c>
      <c r="I271" s="77">
        <v>0.50509999999999999</v>
      </c>
      <c r="J271" s="234">
        <v>7.8577999999999995E-2</v>
      </c>
      <c r="K271" s="247">
        <v>1.6</v>
      </c>
      <c r="L271" s="234">
        <v>9.0871999999999994E-2</v>
      </c>
      <c r="M271" s="247">
        <v>1.7067000000000001</v>
      </c>
      <c r="N271" s="77">
        <v>0</v>
      </c>
      <c r="O271" s="77">
        <v>0</v>
      </c>
      <c r="P271" s="77">
        <v>0.50509999999999999</v>
      </c>
      <c r="Q271" s="249">
        <v>0.69230000000000003</v>
      </c>
      <c r="R271" s="14">
        <f t="shared" si="101"/>
        <v>3.303267420522829</v>
      </c>
      <c r="S271">
        <f t="shared" si="102"/>
        <v>2.3787962037770154E-2</v>
      </c>
      <c r="T271">
        <f t="shared" si="103"/>
        <v>1.0806128590455615</v>
      </c>
      <c r="U271">
        <f t="shared" si="108"/>
        <v>0.58884216706080272</v>
      </c>
      <c r="V271">
        <f t="shared" si="104"/>
        <v>0.63631041767415819</v>
      </c>
      <c r="W271">
        <f t="shared" si="105"/>
        <v>1.0816799152756865E-2</v>
      </c>
      <c r="X271">
        <f t="shared" si="106"/>
        <v>3.8241078093032788E-2</v>
      </c>
      <c r="Y271">
        <f t="shared" si="107"/>
        <v>2.7519676773529122E-3</v>
      </c>
      <c r="Z271" s="79"/>
      <c r="AA271" s="230">
        <f t="shared" si="109"/>
        <v>0.16650180865857603</v>
      </c>
      <c r="AB271">
        <f t="shared" si="110"/>
        <v>1.9021122141498028</v>
      </c>
      <c r="AC271">
        <v>3.0083571735319214</v>
      </c>
      <c r="AD271">
        <f t="shared" si="111"/>
        <v>-0.70710678118654746</v>
      </c>
      <c r="AE271">
        <f t="shared" si="112"/>
        <v>4.6897899574904756E-7</v>
      </c>
      <c r="AF271">
        <f t="shared" si="113"/>
        <v>2.0885769025234784</v>
      </c>
      <c r="AG271">
        <f t="shared" si="114"/>
        <v>5.1705822707192075</v>
      </c>
      <c r="AH271">
        <f t="shared" si="115"/>
        <v>1.2151794475374667</v>
      </c>
      <c r="AI271">
        <f t="shared" si="116"/>
        <v>1.3366973922912133</v>
      </c>
      <c r="AJ271">
        <f t="shared" si="117"/>
        <v>1.1152792925093005</v>
      </c>
      <c r="AK271">
        <f t="shared" si="118"/>
        <v>-26.23342618731003</v>
      </c>
      <c r="AL271" s="73"/>
      <c r="AM271" s="73"/>
      <c r="AR271" s="77"/>
      <c r="AS271" s="77"/>
      <c r="AT271" s="77"/>
      <c r="AU271" s="199"/>
      <c r="AV271" s="77"/>
      <c r="AW271" s="77"/>
      <c r="AX271" s="77"/>
      <c r="AY271" s="77"/>
      <c r="AZ271" s="77"/>
      <c r="BA271" s="77"/>
      <c r="BB271" s="77"/>
      <c r="BC271" s="77"/>
      <c r="BD271" s="77"/>
      <c r="BE271" s="77"/>
    </row>
    <row r="272" spans="1:57" s="17" customFormat="1">
      <c r="A272" s="16" t="s">
        <v>247</v>
      </c>
      <c r="B272" s="6">
        <v>632</v>
      </c>
      <c r="C272" s="17" t="s">
        <v>154</v>
      </c>
      <c r="D272" s="6">
        <v>-45</v>
      </c>
      <c r="E272" s="73">
        <v>0.4</v>
      </c>
      <c r="F272" s="104">
        <v>0.55000000000000004</v>
      </c>
      <c r="G272" s="234">
        <v>6.1581999999999998E-2</v>
      </c>
      <c r="H272" s="247">
        <v>1.1636</v>
      </c>
      <c r="I272" s="77">
        <v>3.85E-2</v>
      </c>
      <c r="J272" s="234">
        <v>6.1581999999999998E-2</v>
      </c>
      <c r="K272" s="247">
        <v>1.1636</v>
      </c>
      <c r="L272" s="234">
        <v>6.7325999999999997E-2</v>
      </c>
      <c r="M272" s="247">
        <v>1.2190000000000001</v>
      </c>
      <c r="N272" s="77">
        <v>0</v>
      </c>
      <c r="O272" s="77">
        <v>0</v>
      </c>
      <c r="P272" s="77">
        <v>3.85E-2</v>
      </c>
      <c r="Q272" s="249">
        <v>6.9800000000000001E-2</v>
      </c>
      <c r="R272" s="14">
        <f t="shared" ref="R272:R284" si="119">9.81/2/PI()*(H272/1.1)^2</f>
        <v>1.747073570663084</v>
      </c>
      <c r="S272">
        <f t="shared" ref="S272:S284" si="120">2*PI()*G272/9.81/(H272/1.1)^2</f>
        <v>3.524865869078838E-2</v>
      </c>
      <c r="T272">
        <f t="shared" ref="T272:T284" si="121">1/6/S272^0.5</f>
        <v>0.88772295849698535</v>
      </c>
      <c r="U272">
        <f t="shared" ref="U272:U282" si="122">0.05/G272/T272</f>
        <v>0.91461593382590456</v>
      </c>
      <c r="V272">
        <f t="shared" ref="V272:V284" si="123">0.05/G272</f>
        <v>0.81192556266441496</v>
      </c>
      <c r="W272">
        <f t="shared" ref="W272:W284" si="124">0.067*6^0.5*T272*EXP(-4.75*0.05/G272/T272)</f>
        <v>1.8908965846317948E-3</v>
      </c>
      <c r="X272">
        <f t="shared" ref="X272:X284" si="125">0.2*EXP(-2.6*0.05/G272)</f>
        <v>2.4223201259847105E-2</v>
      </c>
      <c r="Y272">
        <f t="shared" ref="Y272:Y284" si="126">IF(W272&lt;X272,I272/1000/(9.91*G272^3)^0.5*(S272*6)^0.5," ")</f>
        <v>3.6803586374681508E-4</v>
      </c>
      <c r="Z272" s="79"/>
      <c r="AA272" s="230">
        <f t="shared" si="109"/>
        <v>0.31481215744752705</v>
      </c>
      <c r="AB272">
        <f t="shared" si="110"/>
        <v>3.5964056767196513</v>
      </c>
      <c r="AC272">
        <v>5.9567958120847901</v>
      </c>
      <c r="AD272">
        <f t="shared" si="111"/>
        <v>-0.70710678118654746</v>
      </c>
      <c r="AE272">
        <f t="shared" si="112"/>
        <v>1.9937037576411853E-7</v>
      </c>
      <c r="AF272">
        <f t="shared" si="113"/>
        <v>1.0547927955550593</v>
      </c>
      <c r="AG272">
        <f t="shared" si="114"/>
        <v>7.6245957126869719</v>
      </c>
      <c r="AH272">
        <f t="shared" si="115"/>
        <v>0.82406799572660083</v>
      </c>
      <c r="AI272">
        <f t="shared" si="116"/>
        <v>0.906474795299261</v>
      </c>
      <c r="AJ272">
        <f t="shared" si="117"/>
        <v>0.65972540849257444</v>
      </c>
      <c r="AK272">
        <f t="shared" si="118"/>
        <v>-8.1125258828663984</v>
      </c>
      <c r="AL272" s="73"/>
      <c r="AM272" s="73"/>
      <c r="AR272" s="77"/>
      <c r="AS272" s="77"/>
      <c r="AT272" s="77"/>
      <c r="AU272" s="199"/>
      <c r="AV272" s="77"/>
      <c r="AW272" s="77"/>
      <c r="AX272" s="77"/>
      <c r="AY272" s="77"/>
      <c r="AZ272" s="77"/>
      <c r="BA272" s="77"/>
      <c r="BB272" s="77"/>
      <c r="BC272" s="77"/>
      <c r="BD272" s="77"/>
      <c r="BE272" s="77"/>
    </row>
    <row r="273" spans="1:57" s="17" customFormat="1">
      <c r="A273" s="16" t="s">
        <v>247</v>
      </c>
      <c r="B273" s="6">
        <v>633</v>
      </c>
      <c r="C273" s="17" t="s">
        <v>155</v>
      </c>
      <c r="D273" s="6">
        <v>-45</v>
      </c>
      <c r="E273" s="73">
        <v>0.4</v>
      </c>
      <c r="F273" s="104">
        <v>0.55000000000000004</v>
      </c>
      <c r="G273" s="234">
        <v>0.11144999999999999</v>
      </c>
      <c r="H273" s="247">
        <v>1.9692000000000001</v>
      </c>
      <c r="I273" s="77">
        <v>1.9815</v>
      </c>
      <c r="J273" s="234">
        <v>0.11144999999999999</v>
      </c>
      <c r="K273" s="247">
        <v>1.9692000000000001</v>
      </c>
      <c r="L273" s="234">
        <v>0.12404999999999999</v>
      </c>
      <c r="M273" s="247">
        <v>1.9692000000000001</v>
      </c>
      <c r="N273" s="77">
        <v>0</v>
      </c>
      <c r="O273" s="77">
        <v>0</v>
      </c>
      <c r="P273" s="77">
        <v>1.9815</v>
      </c>
      <c r="Q273" s="249">
        <v>2.8725999999999998</v>
      </c>
      <c r="R273" s="14">
        <f t="shared" si="119"/>
        <v>5.0036096669877761</v>
      </c>
      <c r="S273">
        <f t="shared" si="120"/>
        <v>2.2273919713464388E-2</v>
      </c>
      <c r="T273">
        <f t="shared" si="121"/>
        <v>1.1167357635144186</v>
      </c>
      <c r="U273">
        <f t="shared" si="122"/>
        <v>0.40173484906069218</v>
      </c>
      <c r="V273">
        <f t="shared" si="123"/>
        <v>0.44863167339614179</v>
      </c>
      <c r="W273">
        <f t="shared" si="124"/>
        <v>2.7187077105707436E-2</v>
      </c>
      <c r="X273">
        <f t="shared" si="125"/>
        <v>6.2294616884887404E-2</v>
      </c>
      <c r="Y273">
        <f t="shared" si="126"/>
        <v>6.1845925129404098E-3</v>
      </c>
      <c r="Z273" s="79"/>
      <c r="AA273" s="230">
        <f t="shared" si="109"/>
        <v>0.10992064461557123</v>
      </c>
      <c r="AB273">
        <f t="shared" si="110"/>
        <v>1.2557305076441201</v>
      </c>
      <c r="AC273">
        <v>2.1784345906733664</v>
      </c>
      <c r="AD273">
        <f t="shared" si="111"/>
        <v>-0.70710678118654746</v>
      </c>
      <c r="AE273">
        <f t="shared" si="112"/>
        <v>8.8726008140582735E-7</v>
      </c>
      <c r="AF273">
        <f t="shared" si="113"/>
        <v>2.8842662222129967</v>
      </c>
      <c r="AG273">
        <f t="shared" si="114"/>
        <v>4.1259581191870724</v>
      </c>
      <c r="AH273">
        <f t="shared" si="115"/>
        <v>1.5228427254170838</v>
      </c>
      <c r="AI273">
        <f t="shared" si="116"/>
        <v>1.6751269979587924</v>
      </c>
      <c r="AJ273">
        <f t="shared" si="117"/>
        <v>1.4202017035709802</v>
      </c>
      <c r="AK273">
        <f t="shared" si="118"/>
        <v>-31.034757205894444</v>
      </c>
      <c r="AL273" s="73"/>
      <c r="AM273" s="73"/>
      <c r="AR273" s="77"/>
      <c r="AS273" s="77"/>
      <c r="AT273" s="77"/>
      <c r="AU273" s="199"/>
      <c r="AV273" s="77"/>
      <c r="AW273" s="77"/>
      <c r="AX273" s="77"/>
      <c r="AY273" s="77"/>
      <c r="AZ273" s="77"/>
      <c r="BA273" s="77"/>
      <c r="BB273" s="77"/>
      <c r="BC273" s="77"/>
      <c r="BD273" s="77"/>
      <c r="BE273" s="77"/>
    </row>
    <row r="274" spans="1:57" s="17" customFormat="1">
      <c r="A274" s="16" t="s">
        <v>247</v>
      </c>
      <c r="B274" s="6">
        <v>634</v>
      </c>
      <c r="C274" s="17" t="s">
        <v>156</v>
      </c>
      <c r="D274" s="6">
        <v>-45</v>
      </c>
      <c r="E274" s="73">
        <v>0.4</v>
      </c>
      <c r="F274" s="104">
        <v>0.55000000000000004</v>
      </c>
      <c r="G274" s="234">
        <v>9.4879000000000005E-2</v>
      </c>
      <c r="H274" s="247">
        <v>1.3473999999999999</v>
      </c>
      <c r="I274" s="77">
        <v>0.36059999999999998</v>
      </c>
      <c r="J274" s="234">
        <v>9.4879000000000005E-2</v>
      </c>
      <c r="K274" s="247">
        <v>1.3473999999999999</v>
      </c>
      <c r="L274" s="234">
        <v>0.10829</v>
      </c>
      <c r="M274" s="247">
        <v>1.3473999999999999</v>
      </c>
      <c r="N274" s="77">
        <v>0</v>
      </c>
      <c r="O274" s="77">
        <v>0</v>
      </c>
      <c r="P274" s="77">
        <v>0.36059999999999998</v>
      </c>
      <c r="Q274" s="249">
        <v>0.52100000000000002</v>
      </c>
      <c r="R274" s="14">
        <f t="shared" si="119"/>
        <v>2.3425930729291196</v>
      </c>
      <c r="S274">
        <f t="shared" si="120"/>
        <v>4.0501699205216922E-2</v>
      </c>
      <c r="T274">
        <f t="shared" si="121"/>
        <v>0.82815595225727112</v>
      </c>
      <c r="U274">
        <f t="shared" si="122"/>
        <v>0.63633788184952589</v>
      </c>
      <c r="V274">
        <f t="shared" si="123"/>
        <v>0.52698700450046898</v>
      </c>
      <c r="W274">
        <f t="shared" si="124"/>
        <v>6.615488360197137E-3</v>
      </c>
      <c r="X274">
        <f t="shared" si="125"/>
        <v>5.0812945502517637E-2</v>
      </c>
      <c r="Y274">
        <f t="shared" si="126"/>
        <v>1.9321729343610978E-3</v>
      </c>
      <c r="Z274" s="79"/>
      <c r="AA274" s="230">
        <f t="shared" si="109"/>
        <v>0.23478256055469926</v>
      </c>
      <c r="AB274">
        <f t="shared" si="110"/>
        <v>2.6821496997441594</v>
      </c>
      <c r="AC274">
        <v>4.1895982977420205</v>
      </c>
      <c r="AD274">
        <f t="shared" si="111"/>
        <v>-0.70710678118654746</v>
      </c>
      <c r="AE274">
        <f t="shared" si="112"/>
        <v>3.3652516484572459E-7</v>
      </c>
      <c r="AF274">
        <f t="shared" si="113"/>
        <v>1.4997106788414303</v>
      </c>
      <c r="AG274">
        <f t="shared" si="114"/>
        <v>6.3145092150006237</v>
      </c>
      <c r="AH274">
        <f t="shared" si="115"/>
        <v>0.99503937570530021</v>
      </c>
      <c r="AI274">
        <f t="shared" si="116"/>
        <v>1.0945433132758302</v>
      </c>
      <c r="AJ274">
        <f t="shared" si="117"/>
        <v>0.84929538936150284</v>
      </c>
      <c r="AK274">
        <f t="shared" si="118"/>
        <v>-18.465999752529211</v>
      </c>
      <c r="AL274" s="73"/>
      <c r="AM274" s="73"/>
      <c r="AR274" s="77"/>
      <c r="AS274" s="77"/>
      <c r="AT274" s="77"/>
      <c r="AU274" s="199"/>
      <c r="AV274" s="77"/>
      <c r="AW274" s="77"/>
      <c r="AX274" s="77"/>
      <c r="AY274" s="77"/>
      <c r="AZ274" s="77"/>
      <c r="BA274" s="77"/>
      <c r="BB274" s="77"/>
      <c r="BC274" s="77"/>
      <c r="BD274" s="77"/>
      <c r="BE274" s="77"/>
    </row>
    <row r="275" spans="1:57" s="17" customFormat="1">
      <c r="A275" s="16" t="s">
        <v>247</v>
      </c>
      <c r="B275" s="6">
        <v>635</v>
      </c>
      <c r="C275" s="17" t="s">
        <v>157</v>
      </c>
      <c r="D275" s="6">
        <v>-45</v>
      </c>
      <c r="E275" s="73">
        <v>0.4</v>
      </c>
      <c r="F275" s="104">
        <v>0.55000000000000004</v>
      </c>
      <c r="G275" s="234">
        <v>0.15032999999999999</v>
      </c>
      <c r="H275" s="247">
        <v>2.1333000000000002</v>
      </c>
      <c r="I275" s="77">
        <v>4.0148000000000001</v>
      </c>
      <c r="J275" s="234">
        <v>0.15032999999999999</v>
      </c>
      <c r="K275" s="247">
        <v>2.1333000000000002</v>
      </c>
      <c r="L275" s="234">
        <v>0.15207000000000001</v>
      </c>
      <c r="M275" s="247">
        <v>2.1333000000000002</v>
      </c>
      <c r="N275" s="77">
        <v>0.08</v>
      </c>
      <c r="O275" s="77">
        <v>9.2100000000000001E-2</v>
      </c>
      <c r="P275" s="77">
        <v>4.0148000000000001</v>
      </c>
      <c r="Q275" s="249">
        <v>5.0045999999999999</v>
      </c>
      <c r="R275" s="14">
        <f t="shared" si="119"/>
        <v>5.872291900839822</v>
      </c>
      <c r="S275">
        <f t="shared" si="120"/>
        <v>2.5599885451624203E-2</v>
      </c>
      <c r="T275">
        <f t="shared" si="121"/>
        <v>1.0416689971671591</v>
      </c>
      <c r="U275">
        <f t="shared" si="122"/>
        <v>0.31929683104355466</v>
      </c>
      <c r="V275">
        <f t="shared" si="123"/>
        <v>0.33260160979179143</v>
      </c>
      <c r="W275">
        <f t="shared" si="124"/>
        <v>3.7514841887687493E-2</v>
      </c>
      <c r="X275">
        <f t="shared" si="125"/>
        <v>8.4230170882805586E-2</v>
      </c>
      <c r="Y275">
        <f t="shared" si="126"/>
        <v>8.575377319756522E-3</v>
      </c>
      <c r="Z275" s="79"/>
      <c r="AA275" s="230">
        <f t="shared" si="109"/>
        <v>9.3660194228652391E-2</v>
      </c>
      <c r="AB275">
        <f t="shared" si="110"/>
        <v>1.0699715568091908</v>
      </c>
      <c r="AC275">
        <v>1.9510869099499009</v>
      </c>
      <c r="AD275">
        <f t="shared" si="111"/>
        <v>-0.70710678118654746</v>
      </c>
      <c r="AE275">
        <f t="shared" si="112"/>
        <v>3.3567266177758626E-7</v>
      </c>
      <c r="AF275">
        <f t="shared" si="113"/>
        <v>3.2203513206599919</v>
      </c>
      <c r="AG275">
        <f t="shared" si="114"/>
        <v>3.7916690957280599</v>
      </c>
      <c r="AH275">
        <f t="shared" si="115"/>
        <v>1.6571027556857822</v>
      </c>
      <c r="AI275">
        <f t="shared" si="116"/>
        <v>1.8228130312543607</v>
      </c>
      <c r="AJ275">
        <f t="shared" si="117"/>
        <v>1.5216598630701399</v>
      </c>
      <c r="AK275">
        <f t="shared" si="118"/>
        <v>-32.138866409230751</v>
      </c>
      <c r="AL275" s="73"/>
      <c r="AM275" s="73"/>
      <c r="AR275" s="77"/>
      <c r="AS275" s="77"/>
      <c r="AT275" s="77"/>
      <c r="AU275" s="199"/>
      <c r="AV275" s="77"/>
      <c r="AW275" s="77"/>
      <c r="AX275" s="77"/>
      <c r="AY275" s="77"/>
      <c r="AZ275" s="77"/>
      <c r="BA275" s="77"/>
      <c r="BB275" s="77"/>
      <c r="BC275" s="77"/>
      <c r="BD275" s="77"/>
      <c r="BE275" s="77"/>
    </row>
    <row r="276" spans="1:57" s="17" customFormat="1" ht="13.5" thickBot="1">
      <c r="A276" s="16" t="s">
        <v>247</v>
      </c>
      <c r="B276" s="6">
        <v>636</v>
      </c>
      <c r="C276" s="17" t="s">
        <v>158</v>
      </c>
      <c r="D276" s="6">
        <v>-45</v>
      </c>
      <c r="E276" s="73">
        <v>0.4</v>
      </c>
      <c r="F276" s="104">
        <v>0.55000000000000004</v>
      </c>
      <c r="G276" s="238">
        <v>0.12816</v>
      </c>
      <c r="H276" s="248">
        <v>1.5059</v>
      </c>
      <c r="I276" s="77">
        <v>1.0475000000000001</v>
      </c>
      <c r="J276" s="238">
        <v>0.12816</v>
      </c>
      <c r="K276" s="248">
        <v>1.5059</v>
      </c>
      <c r="L276" s="238">
        <v>0.1444</v>
      </c>
      <c r="M276" s="248">
        <v>1.5059</v>
      </c>
      <c r="N276" s="151">
        <v>0</v>
      </c>
      <c r="O276" s="151">
        <v>0</v>
      </c>
      <c r="P276" s="151">
        <v>1.0475000000000001</v>
      </c>
      <c r="Q276" s="250">
        <v>1.4448000000000001</v>
      </c>
      <c r="R276" s="14">
        <f t="shared" si="119"/>
        <v>2.9261462954134876</v>
      </c>
      <c r="S276">
        <f t="shared" si="120"/>
        <v>4.3798220273839721E-2</v>
      </c>
      <c r="T276">
        <f t="shared" si="121"/>
        <v>0.7963803174444859</v>
      </c>
      <c r="U276">
        <f t="shared" si="122"/>
        <v>0.48988821018516854</v>
      </c>
      <c r="V276">
        <f t="shared" si="123"/>
        <v>0.39013732833957554</v>
      </c>
      <c r="W276">
        <f t="shared" si="124"/>
        <v>1.2755020185121476E-2</v>
      </c>
      <c r="X276">
        <f t="shared" si="125"/>
        <v>7.2527102012213712E-2</v>
      </c>
      <c r="Y276">
        <f t="shared" si="126"/>
        <v>3.7178538472880506E-3</v>
      </c>
      <c r="Z276" s="79"/>
      <c r="AA276" s="230">
        <f t="shared" si="109"/>
        <v>0.18796052708030467</v>
      </c>
      <c r="AB276">
        <f t="shared" si="110"/>
        <v>2.1472560401467291</v>
      </c>
      <c r="AC276">
        <v>3.352970191679316</v>
      </c>
      <c r="AD276">
        <f t="shared" si="111"/>
        <v>-0.70710678118654746</v>
      </c>
      <c r="AE276">
        <f t="shared" si="112"/>
        <v>2.6431437272211866E-7</v>
      </c>
      <c r="AF276">
        <f t="shared" si="113"/>
        <v>1.8739162438043295</v>
      </c>
      <c r="AG276">
        <f t="shared" si="114"/>
        <v>5.537980180958245</v>
      </c>
      <c r="AH276">
        <f t="shared" si="115"/>
        <v>1.1345626206434702</v>
      </c>
      <c r="AI276">
        <f t="shared" si="116"/>
        <v>1.2480188827078174</v>
      </c>
      <c r="AJ276">
        <f t="shared" si="117"/>
        <v>1.0197895500937808</v>
      </c>
      <c r="AK276">
        <f t="shared" si="118"/>
        <v>-24.003027301939703</v>
      </c>
      <c r="AL276" s="73"/>
      <c r="AM276" s="73"/>
      <c r="AR276" s="77"/>
      <c r="AS276" s="77"/>
      <c r="AT276" s="77"/>
      <c r="AU276" s="199"/>
      <c r="AV276" s="77"/>
      <c r="AW276" s="77"/>
      <c r="AX276" s="77"/>
      <c r="AY276" s="77"/>
      <c r="AZ276" s="77"/>
      <c r="BA276" s="77"/>
      <c r="BB276" s="77"/>
      <c r="BC276" s="77"/>
      <c r="BD276" s="77"/>
      <c r="BE276" s="77"/>
    </row>
    <row r="277" spans="1:57">
      <c r="D277" s="6">
        <v>-45</v>
      </c>
      <c r="E277" s="73">
        <v>0.4</v>
      </c>
      <c r="F277" s="104">
        <v>0.55000000000000004</v>
      </c>
      <c r="G277" s="234">
        <v>7.8577999999999995E-2</v>
      </c>
      <c r="H277" s="247">
        <v>1.6</v>
      </c>
      <c r="I277" s="77">
        <v>0.69230000000000003</v>
      </c>
      <c r="J277" s="77"/>
      <c r="K277" s="77"/>
      <c r="L277" s="77"/>
      <c r="M277" s="77"/>
      <c r="N277" s="77"/>
      <c r="O277" s="77"/>
      <c r="P277" s="77"/>
      <c r="Q277" s="77"/>
      <c r="R277" s="14">
        <f t="shared" si="119"/>
        <v>3.303267420522829</v>
      </c>
      <c r="S277">
        <f t="shared" si="120"/>
        <v>2.3787962037770154E-2</v>
      </c>
      <c r="T277">
        <f t="shared" si="121"/>
        <v>1.0806128590455615</v>
      </c>
      <c r="U277">
        <f t="shared" si="122"/>
        <v>0.58884216706080272</v>
      </c>
      <c r="V277">
        <f t="shared" si="123"/>
        <v>0.63631041767415819</v>
      </c>
      <c r="W277">
        <f t="shared" si="124"/>
        <v>1.0816799152756865E-2</v>
      </c>
      <c r="X277">
        <f t="shared" si="125"/>
        <v>3.8241078093032788E-2</v>
      </c>
      <c r="Y277">
        <f t="shared" si="126"/>
        <v>3.7719010552987953E-3</v>
      </c>
      <c r="AA277" s="230">
        <f t="shared" si="109"/>
        <v>0.16650180865857603</v>
      </c>
      <c r="AB277">
        <f t="shared" si="110"/>
        <v>1.9021122141498028</v>
      </c>
      <c r="AC277">
        <v>3.0083571735319214</v>
      </c>
      <c r="AD277">
        <f t="shared" si="111"/>
        <v>-0.70710678118654746</v>
      </c>
      <c r="AE277">
        <f t="shared" si="112"/>
        <v>4.6897899574904756E-7</v>
      </c>
      <c r="AF277">
        <f t="shared" si="113"/>
        <v>2.0885769025234784</v>
      </c>
      <c r="AG277">
        <f t="shared" si="114"/>
        <v>5.1705822707192075</v>
      </c>
      <c r="AH277">
        <f t="shared" si="115"/>
        <v>1.2151794475374667</v>
      </c>
      <c r="AI277">
        <f t="shared" si="116"/>
        <v>1.3366973922912133</v>
      </c>
      <c r="AJ277">
        <f t="shared" si="117"/>
        <v>1.1152792925093005</v>
      </c>
      <c r="AK277">
        <f t="shared" si="118"/>
        <v>-26.23342618731003</v>
      </c>
    </row>
    <row r="278" spans="1:57">
      <c r="D278" s="6">
        <v>-45</v>
      </c>
      <c r="E278" s="73">
        <v>0.4</v>
      </c>
      <c r="F278" s="104">
        <v>0.55000000000000004</v>
      </c>
      <c r="G278" s="234">
        <v>6.1581999999999998E-2</v>
      </c>
      <c r="H278" s="247">
        <v>1.1636</v>
      </c>
      <c r="I278" s="77">
        <v>6.9800000000000001E-2</v>
      </c>
      <c r="J278" s="77"/>
      <c r="K278" s="77"/>
      <c r="L278" s="77"/>
      <c r="M278" s="77"/>
      <c r="N278" s="77"/>
      <c r="O278" s="77"/>
      <c r="P278" s="77"/>
      <c r="Q278" s="77"/>
      <c r="R278" s="14">
        <f t="shared" si="119"/>
        <v>1.747073570663084</v>
      </c>
      <c r="S278">
        <f t="shared" si="120"/>
        <v>3.524865869078838E-2</v>
      </c>
      <c r="T278">
        <f t="shared" si="121"/>
        <v>0.88772295849698535</v>
      </c>
      <c r="U278">
        <f t="shared" si="122"/>
        <v>0.91461593382590456</v>
      </c>
      <c r="V278">
        <f t="shared" si="123"/>
        <v>0.81192556266441496</v>
      </c>
      <c r="W278">
        <f t="shared" si="124"/>
        <v>1.8908965846317948E-3</v>
      </c>
      <c r="X278">
        <f t="shared" si="125"/>
        <v>2.4223201259847105E-2</v>
      </c>
      <c r="Y278">
        <f t="shared" si="126"/>
        <v>6.6724424128643354E-4</v>
      </c>
      <c r="AA278" s="230">
        <f t="shared" si="109"/>
        <v>0.31481215744752705</v>
      </c>
      <c r="AB278">
        <f t="shared" si="110"/>
        <v>3.5964056767196513</v>
      </c>
      <c r="AC278">
        <v>5.9567958120847901</v>
      </c>
      <c r="AD278">
        <f t="shared" si="111"/>
        <v>-0.70710678118654746</v>
      </c>
      <c r="AE278">
        <f t="shared" si="112"/>
        <v>1.9937037576411853E-7</v>
      </c>
      <c r="AF278">
        <f t="shared" si="113"/>
        <v>1.0547927955550593</v>
      </c>
      <c r="AG278">
        <f t="shared" si="114"/>
        <v>7.6245957126869719</v>
      </c>
      <c r="AH278">
        <f t="shared" si="115"/>
        <v>0.82406799572660083</v>
      </c>
      <c r="AI278">
        <f t="shared" si="116"/>
        <v>0.906474795299261</v>
      </c>
      <c r="AJ278">
        <f t="shared" si="117"/>
        <v>0.65972540849257444</v>
      </c>
      <c r="AK278">
        <f t="shared" si="118"/>
        <v>-8.1125258828663984</v>
      </c>
    </row>
    <row r="279" spans="1:57">
      <c r="D279" s="6">
        <v>-45</v>
      </c>
      <c r="E279" s="73">
        <v>0.4</v>
      </c>
      <c r="F279" s="104">
        <v>0.55000000000000004</v>
      </c>
      <c r="G279" s="234">
        <v>0.11144999999999999</v>
      </c>
      <c r="H279" s="247">
        <v>1.9692000000000001</v>
      </c>
      <c r="I279" s="77">
        <v>2.8725999999999998</v>
      </c>
      <c r="J279" s="77"/>
      <c r="K279" s="77"/>
      <c r="L279" s="77"/>
      <c r="M279" s="77"/>
      <c r="N279" s="77"/>
      <c r="O279" s="77"/>
      <c r="P279" s="77"/>
      <c r="Q279" s="77"/>
      <c r="R279" s="14">
        <f t="shared" si="119"/>
        <v>5.0036096669877761</v>
      </c>
      <c r="S279">
        <f t="shared" si="120"/>
        <v>2.2273919713464388E-2</v>
      </c>
      <c r="T279">
        <f t="shared" si="121"/>
        <v>1.1167357635144186</v>
      </c>
      <c r="U279">
        <f t="shared" si="122"/>
        <v>0.40173484906069218</v>
      </c>
      <c r="V279">
        <f t="shared" si="123"/>
        <v>0.44863167339614179</v>
      </c>
      <c r="W279">
        <f t="shared" si="124"/>
        <v>2.7187077105707436E-2</v>
      </c>
      <c r="X279">
        <f t="shared" si="125"/>
        <v>6.2294616884887404E-2</v>
      </c>
      <c r="Y279">
        <f t="shared" si="126"/>
        <v>8.9658644727088673E-3</v>
      </c>
      <c r="AA279" s="230">
        <f t="shared" si="109"/>
        <v>0.10992064461557123</v>
      </c>
      <c r="AB279">
        <f t="shared" si="110"/>
        <v>1.2557305076441201</v>
      </c>
      <c r="AC279">
        <v>2.1784345906733664</v>
      </c>
      <c r="AD279">
        <f t="shared" si="111"/>
        <v>-0.70710678118654746</v>
      </c>
      <c r="AE279">
        <f t="shared" si="112"/>
        <v>8.8726008140582735E-7</v>
      </c>
      <c r="AF279">
        <f t="shared" si="113"/>
        <v>2.8842662222129967</v>
      </c>
      <c r="AG279">
        <f t="shared" si="114"/>
        <v>4.1259581191870724</v>
      </c>
      <c r="AH279">
        <f t="shared" si="115"/>
        <v>1.5228427254170838</v>
      </c>
      <c r="AI279">
        <f t="shared" si="116"/>
        <v>1.6751269979587924</v>
      </c>
      <c r="AJ279">
        <f t="shared" si="117"/>
        <v>1.4202017035709802</v>
      </c>
      <c r="AK279">
        <f t="shared" si="118"/>
        <v>-31.034757205894444</v>
      </c>
    </row>
    <row r="280" spans="1:57">
      <c r="D280" s="6">
        <v>-45</v>
      </c>
      <c r="E280" s="73">
        <v>0.4</v>
      </c>
      <c r="F280" s="104">
        <v>0.55000000000000004</v>
      </c>
      <c r="G280" s="234">
        <v>9.4879000000000005E-2</v>
      </c>
      <c r="H280" s="247">
        <v>1.3473999999999999</v>
      </c>
      <c r="I280" s="77">
        <v>0.52100000000000002</v>
      </c>
      <c r="J280" s="77"/>
      <c r="K280" s="77"/>
      <c r="L280" s="77"/>
      <c r="M280" s="77"/>
      <c r="N280" s="77"/>
      <c r="O280" s="77"/>
      <c r="P280" s="77"/>
      <c r="Q280" s="77"/>
      <c r="R280" s="14">
        <f t="shared" si="119"/>
        <v>2.3425930729291196</v>
      </c>
      <c r="S280">
        <f t="shared" si="120"/>
        <v>4.0501699205216922E-2</v>
      </c>
      <c r="T280">
        <f t="shared" si="121"/>
        <v>0.82815595225727112</v>
      </c>
      <c r="U280">
        <f t="shared" si="122"/>
        <v>0.63633788184952589</v>
      </c>
      <c r="V280">
        <f t="shared" si="123"/>
        <v>0.52698700450046898</v>
      </c>
      <c r="W280">
        <f t="shared" si="124"/>
        <v>6.615488360197137E-3</v>
      </c>
      <c r="X280">
        <f t="shared" si="125"/>
        <v>5.0812945502517637E-2</v>
      </c>
      <c r="Y280">
        <f t="shared" si="126"/>
        <v>2.7916308896343092E-3</v>
      </c>
      <c r="AA280" s="230">
        <f t="shared" si="109"/>
        <v>0.23478256055469926</v>
      </c>
      <c r="AB280">
        <f t="shared" si="110"/>
        <v>2.6821496997441594</v>
      </c>
      <c r="AC280">
        <v>4.1895982977420205</v>
      </c>
      <c r="AD280">
        <f t="shared" si="111"/>
        <v>-0.70710678118654746</v>
      </c>
      <c r="AE280">
        <f t="shared" si="112"/>
        <v>3.3652516484572459E-7</v>
      </c>
      <c r="AF280">
        <f t="shared" si="113"/>
        <v>1.4997106788414303</v>
      </c>
      <c r="AG280">
        <f t="shared" si="114"/>
        <v>6.3145092150006237</v>
      </c>
      <c r="AH280">
        <f t="shared" si="115"/>
        <v>0.99503937570530021</v>
      </c>
      <c r="AI280">
        <f t="shared" si="116"/>
        <v>1.0945433132758302</v>
      </c>
      <c r="AJ280">
        <f t="shared" si="117"/>
        <v>0.84929538936150284</v>
      </c>
      <c r="AK280">
        <f t="shared" si="118"/>
        <v>-18.465999752529211</v>
      </c>
    </row>
    <row r="281" spans="1:57">
      <c r="D281" s="6">
        <v>-45</v>
      </c>
      <c r="E281" s="73">
        <v>0.4</v>
      </c>
      <c r="F281" s="104">
        <v>0.55000000000000004</v>
      </c>
      <c r="G281" s="234">
        <v>0.15032999999999999</v>
      </c>
      <c r="H281" s="247">
        <v>2.1333000000000002</v>
      </c>
      <c r="I281" s="77">
        <v>5.0045999999999999</v>
      </c>
      <c r="J281" s="77"/>
      <c r="K281" s="77"/>
      <c r="L281" s="77"/>
      <c r="M281" s="77"/>
      <c r="N281" s="77"/>
      <c r="O281" s="77"/>
      <c r="P281" s="77"/>
      <c r="Q281" s="77"/>
      <c r="R281" s="14">
        <f t="shared" si="119"/>
        <v>5.872291900839822</v>
      </c>
      <c r="S281">
        <f t="shared" si="120"/>
        <v>2.5599885451624203E-2</v>
      </c>
      <c r="T281">
        <f t="shared" si="121"/>
        <v>1.0416689971671591</v>
      </c>
      <c r="U281">
        <f t="shared" si="122"/>
        <v>0.31929683104355466</v>
      </c>
      <c r="V281">
        <f t="shared" si="123"/>
        <v>0.33260160979179143</v>
      </c>
      <c r="W281">
        <f t="shared" si="124"/>
        <v>3.7514841887687493E-2</v>
      </c>
      <c r="X281">
        <f t="shared" si="125"/>
        <v>8.4230170882805586E-2</v>
      </c>
      <c r="Y281">
        <f t="shared" si="126"/>
        <v>1.0689532064972971E-2</v>
      </c>
      <c r="AA281" s="230">
        <f t="shared" si="109"/>
        <v>9.3660194228652391E-2</v>
      </c>
      <c r="AB281">
        <f t="shared" si="110"/>
        <v>1.0699715568091908</v>
      </c>
      <c r="AC281">
        <v>1.9510869099499009</v>
      </c>
      <c r="AD281">
        <f t="shared" si="111"/>
        <v>-0.70710678118654746</v>
      </c>
      <c r="AE281">
        <f t="shared" si="112"/>
        <v>3.3567266177758626E-7</v>
      </c>
      <c r="AF281">
        <f t="shared" si="113"/>
        <v>3.2203513206599919</v>
      </c>
      <c r="AG281">
        <f t="shared" si="114"/>
        <v>3.7916690957280599</v>
      </c>
      <c r="AH281">
        <f t="shared" si="115"/>
        <v>1.6571027556857822</v>
      </c>
      <c r="AI281">
        <f t="shared" si="116"/>
        <v>1.8228130312543607</v>
      </c>
      <c r="AJ281">
        <f t="shared" si="117"/>
        <v>1.5216598630701399</v>
      </c>
      <c r="AK281">
        <f t="shared" si="118"/>
        <v>-32.138866409230751</v>
      </c>
    </row>
    <row r="282" spans="1:57" ht="13.5" thickBot="1">
      <c r="D282" s="6">
        <v>-45</v>
      </c>
      <c r="E282" s="73">
        <v>0.4</v>
      </c>
      <c r="F282" s="104">
        <v>0.55000000000000004</v>
      </c>
      <c r="G282" s="238">
        <v>0.12816</v>
      </c>
      <c r="H282" s="248">
        <v>1.5059</v>
      </c>
      <c r="I282" s="77">
        <v>1.4448000000000001</v>
      </c>
      <c r="J282" s="77"/>
      <c r="K282" s="77"/>
      <c r="L282" s="77"/>
      <c r="M282" s="77"/>
      <c r="N282" s="77"/>
      <c r="O282" s="77"/>
      <c r="P282" s="77"/>
      <c r="Q282" s="77"/>
      <c r="R282" s="14">
        <f t="shared" si="119"/>
        <v>2.9261462954134876</v>
      </c>
      <c r="S282">
        <f t="shared" si="120"/>
        <v>4.3798220273839721E-2</v>
      </c>
      <c r="T282">
        <f t="shared" si="121"/>
        <v>0.7963803174444859</v>
      </c>
      <c r="U282">
        <f t="shared" si="122"/>
        <v>0.48988821018516854</v>
      </c>
      <c r="V282">
        <f t="shared" si="123"/>
        <v>0.39013732833957554</v>
      </c>
      <c r="W282">
        <f t="shared" si="124"/>
        <v>1.2755020185121476E-2</v>
      </c>
      <c r="X282">
        <f t="shared" si="125"/>
        <v>7.2527102012213712E-2</v>
      </c>
      <c r="Y282">
        <f t="shared" si="126"/>
        <v>5.1279763613954902E-3</v>
      </c>
      <c r="AA282" s="230">
        <f t="shared" si="109"/>
        <v>0.18796052708030467</v>
      </c>
      <c r="AB282">
        <f t="shared" si="110"/>
        <v>2.1472560401467291</v>
      </c>
      <c r="AC282">
        <v>3.352970191679316</v>
      </c>
      <c r="AD282">
        <f t="shared" si="111"/>
        <v>-0.70710678118654746</v>
      </c>
      <c r="AE282">
        <f t="shared" si="112"/>
        <v>2.6431437272211866E-7</v>
      </c>
      <c r="AF282">
        <f t="shared" si="113"/>
        <v>1.8739162438043295</v>
      </c>
      <c r="AG282">
        <f t="shared" si="114"/>
        <v>5.537980180958245</v>
      </c>
      <c r="AH282">
        <f t="shared" si="115"/>
        <v>1.1345626206434702</v>
      </c>
      <c r="AI282">
        <f t="shared" si="116"/>
        <v>1.2480188827078174</v>
      </c>
      <c r="AJ282">
        <f t="shared" si="117"/>
        <v>1.0197895500937808</v>
      </c>
      <c r="AK282">
        <f t="shared" si="118"/>
        <v>-24.003027301939703</v>
      </c>
    </row>
    <row r="283" spans="1:57">
      <c r="D283" s="6">
        <v>-45</v>
      </c>
      <c r="E283" s="73">
        <v>0.4</v>
      </c>
      <c r="F283" s="104">
        <v>0.55000000000000004</v>
      </c>
      <c r="G283" s="234">
        <v>0.15207000000000001</v>
      </c>
      <c r="H283" s="247">
        <v>2.1333000000000002</v>
      </c>
      <c r="I283" s="77">
        <v>0.08</v>
      </c>
      <c r="J283" s="77"/>
      <c r="K283" s="77"/>
      <c r="L283" s="77"/>
      <c r="M283" s="77"/>
      <c r="N283" s="77"/>
      <c r="O283" s="77"/>
      <c r="P283" s="77"/>
      <c r="Q283" s="77"/>
      <c r="R283" s="14">
        <f t="shared" si="119"/>
        <v>5.872291900839822</v>
      </c>
      <c r="S283">
        <f t="shared" si="120"/>
        <v>2.5896192247911218E-2</v>
      </c>
      <c r="T283">
        <f t="shared" si="121"/>
        <v>1.0356924118984372</v>
      </c>
      <c r="U283">
        <f>0.15/G283/T283</f>
        <v>0.95239458778466368</v>
      </c>
      <c r="V283">
        <f t="shared" si="123"/>
        <v>0.32879594923390543</v>
      </c>
      <c r="W283">
        <f t="shared" si="124"/>
        <v>3.7625591983319127E-2</v>
      </c>
      <c r="X283">
        <f t="shared" si="125"/>
        <v>8.5067741553515527E-2</v>
      </c>
      <c r="Y283">
        <f t="shared" si="126"/>
        <v>1.6892013556273012E-4</v>
      </c>
      <c r="AA283" s="230">
        <f t="shared" si="109"/>
        <v>9.3660194228652391E-2</v>
      </c>
      <c r="AB283">
        <f t="shared" si="110"/>
        <v>1.0699715568091908</v>
      </c>
      <c r="AC283">
        <v>1.9510869099499009</v>
      </c>
      <c r="AD283">
        <f t="shared" si="111"/>
        <v>-0.70710678118654746</v>
      </c>
      <c r="AE283">
        <f t="shared" si="112"/>
        <v>3.3567266177758626E-7</v>
      </c>
      <c r="AF283">
        <f t="shared" si="113"/>
        <v>3.2203513206599919</v>
      </c>
      <c r="AG283">
        <f t="shared" si="114"/>
        <v>3.7916690957280599</v>
      </c>
      <c r="AH283">
        <f t="shared" si="115"/>
        <v>1.6571027556857822</v>
      </c>
      <c r="AI283">
        <f t="shared" si="116"/>
        <v>1.8228130312543607</v>
      </c>
      <c r="AJ283">
        <f t="shared" si="117"/>
        <v>1.5216598630701399</v>
      </c>
      <c r="AK283">
        <f t="shared" si="118"/>
        <v>-32.138866409230751</v>
      </c>
    </row>
    <row r="284" spans="1:57">
      <c r="D284" s="6">
        <v>-45</v>
      </c>
      <c r="E284" s="73">
        <v>0.4</v>
      </c>
      <c r="F284" s="104">
        <v>0.55000000000000004</v>
      </c>
      <c r="G284" s="234">
        <v>0.15207000000000001</v>
      </c>
      <c r="H284" s="247">
        <v>2.1333000000000002</v>
      </c>
      <c r="I284" s="77">
        <v>9.2100000000000001E-2</v>
      </c>
      <c r="J284" s="77"/>
      <c r="K284" s="77"/>
      <c r="L284" s="77"/>
      <c r="M284" s="77"/>
      <c r="N284" s="77"/>
      <c r="O284" s="77"/>
      <c r="P284" s="77"/>
      <c r="Q284" s="77"/>
      <c r="R284" s="14">
        <f t="shared" si="119"/>
        <v>5.872291900839822</v>
      </c>
      <c r="S284">
        <f t="shared" si="120"/>
        <v>2.5896192247911218E-2</v>
      </c>
      <c r="T284">
        <f t="shared" si="121"/>
        <v>1.0356924118984372</v>
      </c>
      <c r="U284">
        <f>0.15/G284/T284</f>
        <v>0.95239458778466368</v>
      </c>
      <c r="V284">
        <f t="shared" si="123"/>
        <v>0.32879594923390543</v>
      </c>
      <c r="W284">
        <f t="shared" si="124"/>
        <v>3.7625591983319127E-2</v>
      </c>
      <c r="X284">
        <f t="shared" si="125"/>
        <v>8.5067741553515527E-2</v>
      </c>
      <c r="Y284">
        <f t="shared" si="126"/>
        <v>1.9446930606659303E-4</v>
      </c>
      <c r="AA284" s="230">
        <f t="shared" si="109"/>
        <v>9.3660194228652391E-2</v>
      </c>
      <c r="AB284">
        <f>2*PI()/R284</f>
        <v>1.0699715568091908</v>
      </c>
      <c r="AC284">
        <v>1.9510869099499009</v>
      </c>
      <c r="AD284">
        <f>SIN(D284*PI()/180)</f>
        <v>-0.70710678118654746</v>
      </c>
      <c r="AE284">
        <f>(9.81*AC284*TANH(AC284*0.5))^0.5-2*PI()/(H284/1.1)+AC284*E284*AD284</f>
        <v>3.3567266177758626E-7</v>
      </c>
      <c r="AF284">
        <f>2*PI()/AC284</f>
        <v>3.2203513206599919</v>
      </c>
      <c r="AG284">
        <f>(9.81*AC284*TANH(AC284*0.5))^0.5</f>
        <v>3.7916690957280599</v>
      </c>
      <c r="AH284">
        <f>2*PI()/AG284</f>
        <v>1.6571027556857822</v>
      </c>
      <c r="AI284">
        <f>AH284*1.1</f>
        <v>1.8228130312543607</v>
      </c>
      <c r="AJ284">
        <f>0.5*AG284/AC284*(1+2*AC284*0.5/SINH(2*AC284*0.5))</f>
        <v>1.5216598630701399</v>
      </c>
      <c r="AK284">
        <f>ATAN((AJ284*SIN(D284*PI()/180)+E284)/(AJ284*COS(D284*PI()/180)))*180/PI()</f>
        <v>-32.138866409230751</v>
      </c>
      <c r="AL284" s="14">
        <f>AVERAGE(AK271:AK284)</f>
        <v>-24.589638449857325</v>
      </c>
    </row>
  </sheetData>
  <phoneticPr fontId="2" type="noConversion"/>
  <pageMargins left="0.78740157480314965" right="0.78740157480314965" top="0.98425196850393704" bottom="0.98425196850393704" header="0.51181102362204722" footer="0.51181102362204722"/>
  <pageSetup paperSize="8" scale="61" orientation="landscape" r:id="rId1"/>
  <headerFooter alignWithMargins="0">
    <oddHeader>&amp;L&amp;"Arial,Fett"&amp;14FlowDike_KFKI&amp;R&amp;"Arial,Fett"&amp;14 10.12.2009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Blad2" enableFormatConditionsCalculation="0">
    <tabColor indexed="10"/>
  </sheetPr>
  <dimension ref="O2:P146"/>
  <sheetViews>
    <sheetView workbookViewId="0">
      <selection activeCell="I346" sqref="I346"/>
    </sheetView>
  </sheetViews>
  <sheetFormatPr defaultRowHeight="12.75"/>
  <sheetData>
    <row r="2" spans="15:16">
      <c r="O2">
        <v>0.2</v>
      </c>
      <c r="P2">
        <f>0.067*EXP(-4.75*O2)</f>
        <v>2.5911648571451579E-2</v>
      </c>
    </row>
    <row r="3" spans="15:16">
      <c r="O3">
        <v>1.8</v>
      </c>
      <c r="P3">
        <f>0.067*EXP(-4.75*O3)</f>
        <v>1.2967521670392288E-5</v>
      </c>
    </row>
    <row r="5" spans="15:16">
      <c r="O5">
        <v>0.2</v>
      </c>
      <c r="P5">
        <f>0.067*EXP(-(4.75+1.64*0.5)*O5)</f>
        <v>2.1992304998783182E-2</v>
      </c>
    </row>
    <row r="6" spans="15:16">
      <c r="O6">
        <v>1.8</v>
      </c>
      <c r="P6">
        <f>0.067*EXP(-(4.75+1.64*0.5)*O6)</f>
        <v>2.9637278904352227E-6</v>
      </c>
    </row>
    <row r="8" spans="15:16">
      <c r="O8">
        <v>0.2</v>
      </c>
      <c r="P8">
        <f>0.067*EXP(-(4.75-1.64*0.5)*O8)</f>
        <v>3.0529475274536137E-2</v>
      </c>
    </row>
    <row r="9" spans="15:16">
      <c r="O9">
        <v>1.8</v>
      </c>
      <c r="P9">
        <f>0.067*EXP(-(4.75-1.64*0.5)*O9)</f>
        <v>5.6738210958833902E-5</v>
      </c>
    </row>
    <row r="10" spans="15:16">
      <c r="O10" s="14"/>
      <c r="P10" s="14"/>
    </row>
    <row r="11" spans="15:16">
      <c r="O11" s="14" t="s">
        <v>210</v>
      </c>
      <c r="P11" s="14"/>
    </row>
    <row r="12" spans="15:16">
      <c r="O12" s="14" t="s">
        <v>204</v>
      </c>
      <c r="P12" s="14" t="s">
        <v>209</v>
      </c>
    </row>
    <row r="13" spans="15:16">
      <c r="O13" s="14">
        <v>0.63436611765314621</v>
      </c>
      <c r="P13" s="14">
        <v>8.070048947136087E-4</v>
      </c>
    </row>
    <row r="14" spans="15:16">
      <c r="O14" s="14">
        <v>0.92389352161920812</v>
      </c>
      <c r="P14" s="14">
        <v>1.264730988131774E-3</v>
      </c>
    </row>
    <row r="15" spans="15:16">
      <c r="O15" s="14">
        <v>1.1143948379913382</v>
      </c>
      <c r="P15" s="14">
        <v>7.8964557460166123E-4</v>
      </c>
    </row>
    <row r="16" spans="15:16">
      <c r="O16" s="14">
        <v>1.3208780138258334</v>
      </c>
      <c r="P16" s="14">
        <v>3.5920858759522857E-4</v>
      </c>
    </row>
    <row r="17" spans="15:16">
      <c r="O17" s="14">
        <v>1.3187612221370097</v>
      </c>
      <c r="P17" s="14">
        <v>3.6913080617488386E-4</v>
      </c>
    </row>
    <row r="146" spans="15:15">
      <c r="O146" s="216" t="s">
        <v>285</v>
      </c>
    </row>
  </sheetData>
  <phoneticPr fontId="2" type="noConversion"/>
  <pageMargins left="0.75" right="0.75" top="1" bottom="1" header="0.5" footer="0.5"/>
  <headerFooter alignWithMargins="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Blad3"/>
  <dimension ref="A1:AY145"/>
  <sheetViews>
    <sheetView topLeftCell="A19" zoomScaleNormal="100" workbookViewId="0">
      <selection activeCell="G118" sqref="G118"/>
    </sheetView>
  </sheetViews>
  <sheetFormatPr defaultRowHeight="12.75"/>
  <cols>
    <col min="1" max="4" width="9.140625" style="158"/>
    <col min="5" max="5" width="10.7109375" style="158" bestFit="1" customWidth="1"/>
    <col min="6" max="16384" width="9.140625" style="158"/>
  </cols>
  <sheetData>
    <row r="1" spans="1:10" ht="14.25">
      <c r="A1" s="260" t="s">
        <v>265</v>
      </c>
      <c r="B1" s="262" t="s">
        <v>266</v>
      </c>
      <c r="C1" s="266" t="s">
        <v>276</v>
      </c>
      <c r="D1" s="266" t="s">
        <v>277</v>
      </c>
      <c r="E1" s="262" t="s">
        <v>267</v>
      </c>
      <c r="F1" s="157" t="s">
        <v>278</v>
      </c>
      <c r="G1" s="257"/>
      <c r="H1" s="256"/>
    </row>
    <row r="2" spans="1:10" ht="13.5" thickBot="1">
      <c r="A2" s="261" t="s">
        <v>269</v>
      </c>
      <c r="B2" s="263" t="s">
        <v>195</v>
      </c>
      <c r="C2" s="263" t="s">
        <v>269</v>
      </c>
      <c r="D2" s="263" t="s">
        <v>269</v>
      </c>
      <c r="E2" s="263"/>
      <c r="F2" s="259"/>
      <c r="G2" s="257"/>
      <c r="H2" s="257"/>
    </row>
    <row r="3" spans="1:10">
      <c r="A3" s="181">
        <v>0</v>
      </c>
      <c r="B3" s="264">
        <v>0</v>
      </c>
      <c r="C3" s="267">
        <v>0</v>
      </c>
      <c r="D3" s="267">
        <v>0</v>
      </c>
      <c r="E3" s="264">
        <v>4.6550000000000002</v>
      </c>
      <c r="F3" s="162">
        <f t="shared" ref="F3:F20" si="0">$E$3/E3</f>
        <v>1</v>
      </c>
      <c r="G3" s="160"/>
      <c r="H3" s="161"/>
      <c r="I3" s="158">
        <f t="shared" ref="I3:I20" si="1">ABS(A3)</f>
        <v>0</v>
      </c>
    </row>
    <row r="4" spans="1:10">
      <c r="A4" s="181">
        <v>15</v>
      </c>
      <c r="B4" s="264">
        <v>0</v>
      </c>
      <c r="C4" s="267">
        <v>0</v>
      </c>
      <c r="D4" s="267">
        <v>0</v>
      </c>
      <c r="E4" s="264">
        <v>5.0469999999999997</v>
      </c>
      <c r="F4" s="162">
        <f t="shared" si="0"/>
        <v>0.92233009708737879</v>
      </c>
      <c r="G4" s="160"/>
      <c r="H4" s="161"/>
      <c r="I4" s="158">
        <f t="shared" si="1"/>
        <v>15</v>
      </c>
    </row>
    <row r="5" spans="1:10">
      <c r="A5" s="181">
        <v>30</v>
      </c>
      <c r="B5" s="264">
        <v>0</v>
      </c>
      <c r="C5" s="267">
        <v>0</v>
      </c>
      <c r="D5" s="267">
        <v>0</v>
      </c>
      <c r="E5" s="264">
        <v>5.7919999999999998</v>
      </c>
      <c r="F5" s="162">
        <f t="shared" si="0"/>
        <v>0.80369475138121549</v>
      </c>
      <c r="G5" s="160"/>
      <c r="H5" s="161"/>
      <c r="I5" s="158">
        <f t="shared" si="1"/>
        <v>30</v>
      </c>
    </row>
    <row r="6" spans="1:10">
      <c r="A6" s="181">
        <v>45</v>
      </c>
      <c r="B6" s="264">
        <v>0</v>
      </c>
      <c r="C6" s="267">
        <v>0</v>
      </c>
      <c r="D6" s="267">
        <v>0</v>
      </c>
      <c r="E6" s="264">
        <v>6.4669999999999996</v>
      </c>
      <c r="F6" s="162">
        <f t="shared" si="0"/>
        <v>0.71980825730632447</v>
      </c>
      <c r="G6" s="160"/>
      <c r="H6" s="161"/>
      <c r="I6" s="158">
        <f t="shared" si="1"/>
        <v>45</v>
      </c>
    </row>
    <row r="7" spans="1:10">
      <c r="A7" s="181">
        <v>0</v>
      </c>
      <c r="B7" s="264">
        <v>0.15</v>
      </c>
      <c r="C7" s="267">
        <v>6.4</v>
      </c>
      <c r="D7" s="267">
        <v>6.4</v>
      </c>
      <c r="E7" s="264">
        <v>4.6509999999999998</v>
      </c>
      <c r="F7" s="162">
        <f t="shared" si="0"/>
        <v>1.0008600301010537</v>
      </c>
      <c r="G7" s="160"/>
      <c r="H7" s="161"/>
      <c r="I7" s="158">
        <f t="shared" si="1"/>
        <v>0</v>
      </c>
      <c r="J7" s="217">
        <f>-C7</f>
        <v>-6.4</v>
      </c>
    </row>
    <row r="8" spans="1:10">
      <c r="A8" s="181">
        <v>0</v>
      </c>
      <c r="B8" s="264">
        <v>0.3</v>
      </c>
      <c r="C8" s="267">
        <v>12.5</v>
      </c>
      <c r="D8" s="267">
        <v>12.5</v>
      </c>
      <c r="E8" s="264">
        <v>4.6070000000000002</v>
      </c>
      <c r="F8" s="162">
        <f t="shared" si="0"/>
        <v>1.010418927718689</v>
      </c>
      <c r="G8" s="160"/>
      <c r="H8" s="161"/>
      <c r="I8" s="158">
        <f t="shared" si="1"/>
        <v>0</v>
      </c>
      <c r="J8" s="217">
        <f t="shared" ref="J8:J20" si="2">-C8</f>
        <v>-12.5</v>
      </c>
    </row>
    <row r="9" spans="1:10">
      <c r="A9" s="181">
        <v>0</v>
      </c>
      <c r="B9" s="264">
        <v>0.4</v>
      </c>
      <c r="C9" s="267">
        <v>16.3</v>
      </c>
      <c r="D9" s="267">
        <v>16.3</v>
      </c>
      <c r="E9" s="264">
        <v>4.6319999999999997</v>
      </c>
      <c r="F9" s="162">
        <f t="shared" si="0"/>
        <v>1.004965457685665</v>
      </c>
      <c r="G9" s="160"/>
      <c r="H9" s="161"/>
      <c r="I9" s="158">
        <f t="shared" si="1"/>
        <v>0</v>
      </c>
      <c r="J9" s="217">
        <f t="shared" si="2"/>
        <v>-16.3</v>
      </c>
    </row>
    <row r="10" spans="1:10">
      <c r="A10" s="181">
        <v>15</v>
      </c>
      <c r="B10" s="264">
        <v>0.3</v>
      </c>
      <c r="C10" s="267">
        <v>24.6</v>
      </c>
      <c r="D10" s="267">
        <v>24.6</v>
      </c>
      <c r="E10" s="264">
        <v>4.9740000000000002</v>
      </c>
      <c r="F10" s="162">
        <f t="shared" si="0"/>
        <v>0.93586650583031772</v>
      </c>
      <c r="G10" s="160"/>
      <c r="H10" s="161"/>
      <c r="I10" s="158">
        <f t="shared" si="1"/>
        <v>15</v>
      </c>
      <c r="J10" s="217">
        <f t="shared" si="2"/>
        <v>-24.6</v>
      </c>
    </row>
    <row r="11" spans="1:10">
      <c r="A11" s="181">
        <v>-15</v>
      </c>
      <c r="B11" s="264">
        <v>0.3</v>
      </c>
      <c r="C11" s="267">
        <v>-3.1</v>
      </c>
      <c r="D11" s="267">
        <v>3.1</v>
      </c>
      <c r="E11" s="264">
        <v>5.17</v>
      </c>
      <c r="F11" s="162">
        <f t="shared" si="0"/>
        <v>0.90038684719535789</v>
      </c>
      <c r="G11" s="160"/>
      <c r="H11" s="161"/>
      <c r="I11" s="158">
        <f t="shared" si="1"/>
        <v>15</v>
      </c>
      <c r="J11" s="217">
        <f t="shared" si="2"/>
        <v>3.1</v>
      </c>
    </row>
    <row r="12" spans="1:10">
      <c r="A12" s="181">
        <v>30</v>
      </c>
      <c r="B12" s="264">
        <v>0.15</v>
      </c>
      <c r="C12" s="267">
        <v>35.1</v>
      </c>
      <c r="D12" s="267">
        <v>35.1</v>
      </c>
      <c r="E12" s="264">
        <v>5.67</v>
      </c>
      <c r="F12" s="162">
        <f t="shared" si="0"/>
        <v>0.82098765432098775</v>
      </c>
      <c r="G12" s="160"/>
      <c r="H12" s="161"/>
      <c r="I12" s="158">
        <f t="shared" si="1"/>
        <v>30</v>
      </c>
      <c r="J12" s="217">
        <f t="shared" si="2"/>
        <v>-35.1</v>
      </c>
    </row>
    <row r="13" spans="1:10">
      <c r="A13" s="181">
        <v>30</v>
      </c>
      <c r="B13" s="264">
        <v>0.3</v>
      </c>
      <c r="C13" s="267">
        <v>39.200000000000003</v>
      </c>
      <c r="D13" s="267">
        <v>39.200000000000003</v>
      </c>
      <c r="E13" s="264">
        <v>5.1109999999999998</v>
      </c>
      <c r="F13" s="162">
        <f t="shared" si="0"/>
        <v>0.91078066914498146</v>
      </c>
      <c r="G13" s="160"/>
      <c r="H13" s="161"/>
      <c r="I13" s="158">
        <f t="shared" si="1"/>
        <v>30</v>
      </c>
      <c r="J13" s="217">
        <f t="shared" si="2"/>
        <v>-39.200000000000003</v>
      </c>
    </row>
    <row r="14" spans="1:10">
      <c r="A14" s="181">
        <v>30</v>
      </c>
      <c r="B14" s="264">
        <v>0.4</v>
      </c>
      <c r="C14" s="267">
        <v>41.6</v>
      </c>
      <c r="D14" s="267">
        <v>41.6</v>
      </c>
      <c r="E14" s="264">
        <v>5.4749999999999996</v>
      </c>
      <c r="F14" s="162">
        <f t="shared" si="0"/>
        <v>0.8502283105022832</v>
      </c>
      <c r="G14" s="160"/>
      <c r="H14" s="161"/>
      <c r="I14" s="158">
        <f t="shared" si="1"/>
        <v>30</v>
      </c>
      <c r="J14" s="217">
        <f t="shared" si="2"/>
        <v>-41.6</v>
      </c>
    </row>
    <row r="15" spans="1:10">
      <c r="A15" s="181">
        <v>-30</v>
      </c>
      <c r="B15" s="264">
        <v>0.15</v>
      </c>
      <c r="C15" s="267">
        <v>-23.9</v>
      </c>
      <c r="D15" s="267">
        <v>23.9</v>
      </c>
      <c r="E15" s="264">
        <v>5.0940000000000003</v>
      </c>
      <c r="F15" s="162">
        <f t="shared" si="0"/>
        <v>0.91382018060463288</v>
      </c>
      <c r="G15" s="160"/>
      <c r="H15" s="161"/>
      <c r="I15" s="158">
        <f t="shared" si="1"/>
        <v>30</v>
      </c>
      <c r="J15" s="217">
        <f t="shared" si="2"/>
        <v>23.9</v>
      </c>
    </row>
    <row r="16" spans="1:10">
      <c r="A16" s="181">
        <v>-30</v>
      </c>
      <c r="B16" s="264">
        <v>0.3</v>
      </c>
      <c r="C16" s="267">
        <v>-16.5</v>
      </c>
      <c r="D16" s="267">
        <v>16.5</v>
      </c>
      <c r="E16" s="264">
        <v>4.7569999999999997</v>
      </c>
      <c r="F16" s="162">
        <f t="shared" si="0"/>
        <v>0.97855791465209174</v>
      </c>
      <c r="G16" s="160"/>
      <c r="H16" s="161"/>
      <c r="I16" s="158">
        <f t="shared" si="1"/>
        <v>30</v>
      </c>
      <c r="J16" s="217">
        <f t="shared" si="2"/>
        <v>16.5</v>
      </c>
    </row>
    <row r="17" spans="1:10">
      <c r="A17" s="181">
        <v>-30</v>
      </c>
      <c r="B17" s="264">
        <v>0.4</v>
      </c>
      <c r="C17" s="267">
        <v>-10.4</v>
      </c>
      <c r="D17" s="267">
        <v>10.4</v>
      </c>
      <c r="E17" s="264">
        <v>4.577</v>
      </c>
      <c r="F17" s="162">
        <f t="shared" si="0"/>
        <v>1.0170417303910859</v>
      </c>
      <c r="G17" s="160"/>
      <c r="H17" s="161"/>
      <c r="I17" s="158">
        <f t="shared" si="1"/>
        <v>30</v>
      </c>
      <c r="J17" s="217">
        <f t="shared" si="2"/>
        <v>10.4</v>
      </c>
    </row>
    <row r="18" spans="1:10">
      <c r="A18" s="181">
        <v>-45</v>
      </c>
      <c r="B18" s="264">
        <v>0.15</v>
      </c>
      <c r="C18" s="267">
        <v>-39.700000000000003</v>
      </c>
      <c r="D18" s="267">
        <v>39.700000000000003</v>
      </c>
      <c r="E18" s="270">
        <v>6.0259999999999998</v>
      </c>
      <c r="F18" s="162">
        <f t="shared" si="0"/>
        <v>0.7724858944573515</v>
      </c>
      <c r="G18" s="160"/>
      <c r="H18" s="161"/>
      <c r="I18" s="158">
        <f t="shared" si="1"/>
        <v>45</v>
      </c>
      <c r="J18" s="217">
        <f t="shared" si="2"/>
        <v>39.700000000000003</v>
      </c>
    </row>
    <row r="19" spans="1:10">
      <c r="A19" s="181">
        <v>-45</v>
      </c>
      <c r="B19" s="264">
        <v>0.3</v>
      </c>
      <c r="C19" s="268">
        <v>-32.1</v>
      </c>
      <c r="D19" s="268">
        <v>32.1</v>
      </c>
      <c r="E19" s="264">
        <v>5.5579999999999998</v>
      </c>
      <c r="F19" s="162">
        <f t="shared" si="0"/>
        <v>0.83753148614609574</v>
      </c>
      <c r="G19" s="194"/>
      <c r="H19" s="258"/>
      <c r="I19" s="158">
        <f t="shared" si="1"/>
        <v>45</v>
      </c>
      <c r="J19" s="217">
        <f t="shared" si="2"/>
        <v>32.1</v>
      </c>
    </row>
    <row r="20" spans="1:10" ht="13.5" thickBot="1">
      <c r="A20" s="177">
        <v>-45</v>
      </c>
      <c r="B20" s="265">
        <v>0.4</v>
      </c>
      <c r="C20" s="269">
        <v>-24.6</v>
      </c>
      <c r="D20" s="269">
        <v>24.6</v>
      </c>
      <c r="E20" s="265">
        <v>5.6319999999999997</v>
      </c>
      <c r="F20" s="163">
        <f t="shared" si="0"/>
        <v>0.82652698863636376</v>
      </c>
      <c r="G20" s="164"/>
      <c r="I20" s="158">
        <f t="shared" si="1"/>
        <v>45</v>
      </c>
      <c r="J20" s="217">
        <f t="shared" si="2"/>
        <v>24.6</v>
      </c>
    </row>
    <row r="21" spans="1:10">
      <c r="C21" s="255"/>
      <c r="D21" s="255"/>
      <c r="G21" s="165"/>
      <c r="H21" s="166"/>
      <c r="I21" s="158">
        <f>ABS(A25)</f>
        <v>0</v>
      </c>
      <c r="J21" s="217">
        <f>-C25</f>
        <v>-6.4</v>
      </c>
    </row>
    <row r="22" spans="1:10">
      <c r="C22" s="255"/>
      <c r="D22" s="255"/>
      <c r="G22" s="165"/>
      <c r="H22" s="166"/>
      <c r="I22" s="158">
        <f>ABS(A26)</f>
        <v>30</v>
      </c>
      <c r="J22" s="217">
        <f>-C26</f>
        <v>-35.1</v>
      </c>
    </row>
    <row r="23" spans="1:10">
      <c r="C23" s="255"/>
      <c r="D23" s="255"/>
      <c r="G23" s="165"/>
      <c r="H23" s="166"/>
      <c r="I23" s="158">
        <f>ABS(A28)</f>
        <v>45</v>
      </c>
      <c r="J23" s="217">
        <f>-C28</f>
        <v>39.700000000000003</v>
      </c>
    </row>
    <row r="24" spans="1:10">
      <c r="C24" s="255"/>
      <c r="D24" s="255"/>
      <c r="G24" s="165"/>
      <c r="H24" s="166"/>
      <c r="I24" s="158">
        <f t="shared" ref="I24:I33" si="3">ABS(A29)</f>
        <v>0</v>
      </c>
      <c r="J24" s="217">
        <f t="shared" ref="J24:J33" si="4">-C29</f>
        <v>0</v>
      </c>
    </row>
    <row r="25" spans="1:10">
      <c r="A25" s="159">
        <f t="shared" ref="A25:F25" si="5">A7</f>
        <v>0</v>
      </c>
      <c r="B25" s="160">
        <f t="shared" si="5"/>
        <v>0.15</v>
      </c>
      <c r="C25" s="254">
        <f t="shared" si="5"/>
        <v>6.4</v>
      </c>
      <c r="D25" s="254">
        <f t="shared" si="5"/>
        <v>6.4</v>
      </c>
      <c r="E25" s="160">
        <f t="shared" si="5"/>
        <v>4.6509999999999998</v>
      </c>
      <c r="F25" s="161">
        <f t="shared" si="5"/>
        <v>1.0008600301010537</v>
      </c>
      <c r="G25" s="165">
        <f>0.5*(A25+C25)</f>
        <v>3.2</v>
      </c>
      <c r="H25" s="166"/>
      <c r="I25" s="158">
        <f t="shared" si="3"/>
        <v>0</v>
      </c>
      <c r="J25" s="217">
        <f t="shared" si="4"/>
        <v>-12.5</v>
      </c>
    </row>
    <row r="26" spans="1:10">
      <c r="A26" s="159">
        <f t="shared" ref="A26:F26" si="6">A12</f>
        <v>30</v>
      </c>
      <c r="B26" s="160">
        <f t="shared" si="6"/>
        <v>0.15</v>
      </c>
      <c r="C26" s="254">
        <f t="shared" si="6"/>
        <v>35.1</v>
      </c>
      <c r="D26" s="254">
        <f t="shared" si="6"/>
        <v>35.1</v>
      </c>
      <c r="E26" s="160">
        <f t="shared" si="6"/>
        <v>5.67</v>
      </c>
      <c r="F26" s="161">
        <f t="shared" si="6"/>
        <v>0.82098765432098775</v>
      </c>
      <c r="G26" s="165">
        <f t="shared" ref="G26:G40" si="7">0.5*(A26+C26)</f>
        <v>32.549999999999997</v>
      </c>
      <c r="H26" s="166"/>
      <c r="I26" s="158">
        <f t="shared" si="3"/>
        <v>15</v>
      </c>
      <c r="J26" s="217">
        <f t="shared" si="4"/>
        <v>-24.6</v>
      </c>
    </row>
    <row r="27" spans="1:10">
      <c r="A27" s="159">
        <f>A15</f>
        <v>-30</v>
      </c>
      <c r="B27" s="160">
        <f t="shared" ref="B27:F27" si="8">B15</f>
        <v>0.15</v>
      </c>
      <c r="C27" s="254">
        <f t="shared" si="8"/>
        <v>-23.9</v>
      </c>
      <c r="D27" s="254">
        <f t="shared" si="8"/>
        <v>23.9</v>
      </c>
      <c r="E27" s="160">
        <f t="shared" si="8"/>
        <v>5.0940000000000003</v>
      </c>
      <c r="F27" s="161">
        <f t="shared" si="8"/>
        <v>0.91382018060463288</v>
      </c>
      <c r="G27" s="165">
        <f t="shared" si="7"/>
        <v>-26.95</v>
      </c>
      <c r="H27" s="166"/>
      <c r="I27" s="158">
        <f t="shared" si="3"/>
        <v>15</v>
      </c>
      <c r="J27" s="217">
        <f t="shared" si="4"/>
        <v>3.1</v>
      </c>
    </row>
    <row r="28" spans="1:10">
      <c r="A28" s="159">
        <f t="shared" ref="A28:F28" si="9">A18</f>
        <v>-45</v>
      </c>
      <c r="B28" s="160">
        <f t="shared" si="9"/>
        <v>0.15</v>
      </c>
      <c r="C28" s="254">
        <f t="shared" si="9"/>
        <v>-39.700000000000003</v>
      </c>
      <c r="D28" s="254">
        <f t="shared" si="9"/>
        <v>39.700000000000003</v>
      </c>
      <c r="E28" s="160">
        <f t="shared" si="9"/>
        <v>6.0259999999999998</v>
      </c>
      <c r="F28" s="161">
        <f t="shared" si="9"/>
        <v>0.7724858944573515</v>
      </c>
      <c r="G28" s="165">
        <f t="shared" si="7"/>
        <v>-42.35</v>
      </c>
      <c r="H28" s="166"/>
      <c r="I28" s="158">
        <f t="shared" si="3"/>
        <v>30</v>
      </c>
      <c r="J28" s="217">
        <f t="shared" si="4"/>
        <v>-39.200000000000003</v>
      </c>
    </row>
    <row r="29" spans="1:10">
      <c r="A29" s="159"/>
      <c r="B29" s="160"/>
      <c r="C29" s="254"/>
      <c r="D29" s="254"/>
      <c r="E29" s="160"/>
      <c r="F29" s="161"/>
      <c r="G29" s="165">
        <f t="shared" si="7"/>
        <v>0</v>
      </c>
      <c r="H29" s="166"/>
      <c r="I29" s="158">
        <f t="shared" si="3"/>
        <v>30</v>
      </c>
      <c r="J29" s="217">
        <f t="shared" si="4"/>
        <v>16.5</v>
      </c>
    </row>
    <row r="30" spans="1:10">
      <c r="A30" s="159">
        <f>A8</f>
        <v>0</v>
      </c>
      <c r="B30" s="160">
        <f t="shared" ref="B30:F30" si="10">B8</f>
        <v>0.3</v>
      </c>
      <c r="C30" s="254">
        <f t="shared" si="10"/>
        <v>12.5</v>
      </c>
      <c r="D30" s="254">
        <f t="shared" si="10"/>
        <v>12.5</v>
      </c>
      <c r="E30" s="160">
        <f t="shared" si="10"/>
        <v>4.6070000000000002</v>
      </c>
      <c r="F30" s="161">
        <f t="shared" si="10"/>
        <v>1.010418927718689</v>
      </c>
      <c r="G30" s="165">
        <f t="shared" si="7"/>
        <v>6.25</v>
      </c>
      <c r="H30" s="166"/>
      <c r="I30" s="158">
        <f t="shared" si="3"/>
        <v>45</v>
      </c>
      <c r="J30" s="217">
        <f t="shared" si="4"/>
        <v>32.1</v>
      </c>
    </row>
    <row r="31" spans="1:10">
      <c r="A31" s="159">
        <f>A10</f>
        <v>15</v>
      </c>
      <c r="B31" s="160">
        <f t="shared" ref="B31:F31" si="11">B10</f>
        <v>0.3</v>
      </c>
      <c r="C31" s="254">
        <f t="shared" si="11"/>
        <v>24.6</v>
      </c>
      <c r="D31" s="254">
        <f t="shared" si="11"/>
        <v>24.6</v>
      </c>
      <c r="E31" s="160">
        <f t="shared" si="11"/>
        <v>4.9740000000000002</v>
      </c>
      <c r="F31" s="161">
        <f t="shared" si="11"/>
        <v>0.93586650583031772</v>
      </c>
      <c r="G31" s="165">
        <f t="shared" si="7"/>
        <v>19.8</v>
      </c>
      <c r="H31" s="166"/>
      <c r="I31" s="158">
        <f t="shared" si="3"/>
        <v>0</v>
      </c>
      <c r="J31" s="217">
        <f t="shared" si="4"/>
        <v>0</v>
      </c>
    </row>
    <row r="32" spans="1:10">
      <c r="A32" s="159">
        <f>A11</f>
        <v>-15</v>
      </c>
      <c r="B32" s="160">
        <f t="shared" ref="B32:F32" si="12">B11</f>
        <v>0.3</v>
      </c>
      <c r="C32" s="254">
        <f t="shared" si="12"/>
        <v>-3.1</v>
      </c>
      <c r="D32" s="254">
        <f t="shared" si="12"/>
        <v>3.1</v>
      </c>
      <c r="E32" s="160">
        <f t="shared" si="12"/>
        <v>5.17</v>
      </c>
      <c r="F32" s="161">
        <f t="shared" si="12"/>
        <v>0.90038684719535789</v>
      </c>
      <c r="G32" s="165">
        <f t="shared" si="7"/>
        <v>-9.0500000000000007</v>
      </c>
      <c r="H32" s="166"/>
      <c r="I32" s="158">
        <f t="shared" si="3"/>
        <v>0</v>
      </c>
      <c r="J32" s="217">
        <f t="shared" si="4"/>
        <v>-16.3</v>
      </c>
    </row>
    <row r="33" spans="1:51">
      <c r="A33" s="159">
        <f>A13</f>
        <v>30</v>
      </c>
      <c r="B33" s="160">
        <f t="shared" ref="B33:F33" si="13">B13</f>
        <v>0.3</v>
      </c>
      <c r="C33" s="254">
        <f t="shared" si="13"/>
        <v>39.200000000000003</v>
      </c>
      <c r="D33" s="254">
        <f t="shared" si="13"/>
        <v>39.200000000000003</v>
      </c>
      <c r="E33" s="160">
        <f t="shared" si="13"/>
        <v>5.1109999999999998</v>
      </c>
      <c r="F33" s="161">
        <f t="shared" si="13"/>
        <v>0.91078066914498146</v>
      </c>
      <c r="G33" s="165">
        <f t="shared" si="7"/>
        <v>34.6</v>
      </c>
      <c r="H33" s="166"/>
      <c r="I33" s="158">
        <f t="shared" si="3"/>
        <v>30</v>
      </c>
      <c r="J33" s="217">
        <f t="shared" si="4"/>
        <v>-41.6</v>
      </c>
    </row>
    <row r="34" spans="1:51">
      <c r="A34" s="159">
        <f>A16</f>
        <v>-30</v>
      </c>
      <c r="B34" s="160">
        <f t="shared" ref="B34:F34" si="14">B16</f>
        <v>0.3</v>
      </c>
      <c r="C34" s="254">
        <f t="shared" si="14"/>
        <v>-16.5</v>
      </c>
      <c r="D34" s="254">
        <f t="shared" si="14"/>
        <v>16.5</v>
      </c>
      <c r="E34" s="160">
        <f t="shared" si="14"/>
        <v>4.7569999999999997</v>
      </c>
      <c r="F34" s="161">
        <f t="shared" si="14"/>
        <v>0.97855791465209174</v>
      </c>
      <c r="G34" s="165">
        <f t="shared" si="7"/>
        <v>-23.25</v>
      </c>
      <c r="H34" s="166"/>
    </row>
    <row r="35" spans="1:51" ht="13.5" thickBot="1">
      <c r="A35" s="159">
        <f>A19</f>
        <v>-45</v>
      </c>
      <c r="B35" s="160">
        <f t="shared" ref="B35:F35" si="15">B19</f>
        <v>0.3</v>
      </c>
      <c r="C35" s="254">
        <f t="shared" si="15"/>
        <v>-32.1</v>
      </c>
      <c r="D35" s="254">
        <f t="shared" si="15"/>
        <v>32.1</v>
      </c>
      <c r="E35" s="160">
        <f t="shared" si="15"/>
        <v>5.5579999999999998</v>
      </c>
      <c r="F35" s="161">
        <f t="shared" si="15"/>
        <v>0.83753148614609574</v>
      </c>
      <c r="G35" s="165">
        <f t="shared" si="7"/>
        <v>-38.549999999999997</v>
      </c>
      <c r="H35" s="166"/>
      <c r="AP35" s="193" t="s">
        <v>281</v>
      </c>
      <c r="AT35" s="158" t="s">
        <v>286</v>
      </c>
    </row>
    <row r="36" spans="1:51" ht="15" thickBot="1">
      <c r="A36" s="159"/>
      <c r="B36" s="160"/>
      <c r="C36" s="254"/>
      <c r="D36" s="254"/>
      <c r="E36" s="160"/>
      <c r="F36" s="161"/>
      <c r="G36" s="165">
        <f t="shared" si="7"/>
        <v>0</v>
      </c>
      <c r="H36" s="166"/>
      <c r="AB36" s="158" t="s">
        <v>270</v>
      </c>
      <c r="AF36" s="167" t="s">
        <v>271</v>
      </c>
      <c r="AG36" s="168" t="s">
        <v>272</v>
      </c>
      <c r="AH36" s="169"/>
      <c r="AI36" s="168" t="s">
        <v>273</v>
      </c>
      <c r="AJ36" s="168" t="s">
        <v>274</v>
      </c>
      <c r="AK36" s="169"/>
      <c r="AL36" s="168" t="s">
        <v>275</v>
      </c>
      <c r="AM36" s="168"/>
      <c r="AN36" s="169"/>
      <c r="AP36" s="170" t="s">
        <v>265</v>
      </c>
      <c r="AQ36" s="171" t="s">
        <v>267</v>
      </c>
      <c r="AR36" s="172" t="s">
        <v>280</v>
      </c>
      <c r="AT36" s="218" t="s">
        <v>265</v>
      </c>
      <c r="AU36" s="219" t="s">
        <v>266</v>
      </c>
      <c r="AV36" s="219" t="s">
        <v>267</v>
      </c>
      <c r="AW36" s="220" t="s">
        <v>278</v>
      </c>
      <c r="AX36" s="219" t="s">
        <v>268</v>
      </c>
      <c r="AY36" s="221" t="s">
        <v>279</v>
      </c>
    </row>
    <row r="37" spans="1:51" ht="15" thickBot="1">
      <c r="A37" s="159">
        <f>A9</f>
        <v>0</v>
      </c>
      <c r="B37" s="160">
        <f t="shared" ref="B37:F37" si="16">B9</f>
        <v>0.4</v>
      </c>
      <c r="C37" s="254">
        <f t="shared" si="16"/>
        <v>16.3</v>
      </c>
      <c r="D37" s="254">
        <f t="shared" si="16"/>
        <v>16.3</v>
      </c>
      <c r="E37" s="160">
        <f t="shared" si="16"/>
        <v>4.6319999999999997</v>
      </c>
      <c r="F37" s="161">
        <f t="shared" si="16"/>
        <v>1.004965457685665</v>
      </c>
      <c r="G37" s="165">
        <f t="shared" si="7"/>
        <v>8.15</v>
      </c>
      <c r="AB37" s="170" t="s">
        <v>265</v>
      </c>
      <c r="AC37" s="171" t="s">
        <v>267</v>
      </c>
      <c r="AD37" s="172" t="s">
        <v>280</v>
      </c>
      <c r="AF37" s="173" t="s">
        <v>265</v>
      </c>
      <c r="AG37" s="174" t="s">
        <v>267</v>
      </c>
      <c r="AH37" s="175" t="s">
        <v>280</v>
      </c>
      <c r="AI37" s="176" t="s">
        <v>265</v>
      </c>
      <c r="AJ37" s="174" t="s">
        <v>267</v>
      </c>
      <c r="AK37" s="175" t="s">
        <v>280</v>
      </c>
      <c r="AL37" s="176" t="s">
        <v>265</v>
      </c>
      <c r="AM37" s="174" t="s">
        <v>267</v>
      </c>
      <c r="AN37" s="175" t="s">
        <v>280</v>
      </c>
      <c r="AP37" s="177" t="s">
        <v>269</v>
      </c>
      <c r="AQ37" s="178"/>
      <c r="AR37" s="179"/>
      <c r="AT37" s="222" t="s">
        <v>269</v>
      </c>
      <c r="AU37" s="223" t="s">
        <v>195</v>
      </c>
      <c r="AV37" s="223"/>
      <c r="AW37" s="223" t="str">
        <f>"g-br u=0 m/s"</f>
        <v>g-br u=0 m/s</v>
      </c>
      <c r="AX37" s="223"/>
      <c r="AY37" s="224" t="str">
        <f>"g-non br u=0 m/s"</f>
        <v>g-non br u=0 m/s</v>
      </c>
    </row>
    <row r="38" spans="1:51" ht="13.5" thickBot="1">
      <c r="A38" s="159">
        <f>A14</f>
        <v>30</v>
      </c>
      <c r="B38" s="160">
        <f t="shared" ref="B38:F38" si="17">B14</f>
        <v>0.4</v>
      </c>
      <c r="C38" s="254">
        <f t="shared" si="17"/>
        <v>41.6</v>
      </c>
      <c r="D38" s="254">
        <f t="shared" si="17"/>
        <v>41.6</v>
      </c>
      <c r="E38" s="160">
        <f t="shared" si="17"/>
        <v>5.4749999999999996</v>
      </c>
      <c r="F38" s="161">
        <f t="shared" si="17"/>
        <v>0.8502283105022832</v>
      </c>
      <c r="G38" s="165">
        <f t="shared" si="7"/>
        <v>35.799999999999997</v>
      </c>
      <c r="AB38" s="177" t="s">
        <v>269</v>
      </c>
      <c r="AC38" s="178"/>
      <c r="AD38" s="179"/>
      <c r="AF38" s="177" t="s">
        <v>269</v>
      </c>
      <c r="AG38" s="180"/>
      <c r="AH38" s="179"/>
      <c r="AI38" s="177" t="s">
        <v>269</v>
      </c>
      <c r="AJ38" s="180"/>
      <c r="AK38" s="179"/>
      <c r="AL38" s="177" t="s">
        <v>269</v>
      </c>
      <c r="AM38" s="180"/>
      <c r="AN38" s="179"/>
      <c r="AP38" s="181">
        <v>0</v>
      </c>
      <c r="AQ38" s="182">
        <v>4.6550000000000002</v>
      </c>
      <c r="AR38" s="162">
        <f>$AQ$38/AQ38</f>
        <v>1</v>
      </c>
      <c r="AT38" s="225">
        <v>0</v>
      </c>
      <c r="AU38" s="40">
        <v>0</v>
      </c>
      <c r="AV38" s="40">
        <v>5.09</v>
      </c>
      <c r="AW38" s="7">
        <v>1</v>
      </c>
      <c r="AX38" s="40">
        <v>2.78</v>
      </c>
      <c r="AY38" s="56">
        <v>1</v>
      </c>
    </row>
    <row r="39" spans="1:51">
      <c r="A39" s="159">
        <f>A17</f>
        <v>-30</v>
      </c>
      <c r="B39" s="160">
        <f t="shared" ref="B39:F39" si="18">B17</f>
        <v>0.4</v>
      </c>
      <c r="C39" s="254">
        <f t="shared" si="18"/>
        <v>-10.4</v>
      </c>
      <c r="D39" s="254">
        <f t="shared" si="18"/>
        <v>10.4</v>
      </c>
      <c r="E39" s="160">
        <f t="shared" si="18"/>
        <v>4.577</v>
      </c>
      <c r="F39" s="161">
        <f t="shared" si="18"/>
        <v>1.0170417303910859</v>
      </c>
      <c r="G39" s="165">
        <f t="shared" si="7"/>
        <v>-20.2</v>
      </c>
      <c r="AB39" s="181">
        <v>0</v>
      </c>
      <c r="AC39" s="182">
        <v>4.0119999999999996</v>
      </c>
      <c r="AD39" s="162">
        <f t="shared" ref="AD39:AD45" si="19">$AC$39/AC39</f>
        <v>1</v>
      </c>
      <c r="AF39" s="183">
        <v>0</v>
      </c>
      <c r="AG39" s="184">
        <v>4.7510000000000003</v>
      </c>
      <c r="AH39" s="185">
        <f t="shared" ref="AH39:AH49" si="20">$AG$39/AG39</f>
        <v>1</v>
      </c>
      <c r="AI39" s="186">
        <v>0</v>
      </c>
      <c r="AJ39" s="187">
        <v>2.4550000000000001</v>
      </c>
      <c r="AK39" s="185">
        <v>1</v>
      </c>
      <c r="AL39" s="186">
        <v>0</v>
      </c>
      <c r="AM39" s="187">
        <v>7</v>
      </c>
      <c r="AN39" s="185">
        <v>1</v>
      </c>
      <c r="AP39" s="181">
        <v>15</v>
      </c>
      <c r="AQ39" s="182">
        <v>5.0469999999999997</v>
      </c>
      <c r="AR39" s="162">
        <f>$AQ$38/AQ39</f>
        <v>0.92233009708737879</v>
      </c>
      <c r="AT39" s="225">
        <v>15</v>
      </c>
      <c r="AU39" s="40">
        <v>0</v>
      </c>
      <c r="AV39" s="40">
        <v>5.43</v>
      </c>
      <c r="AW39" s="7">
        <v>0.93738489871086561</v>
      </c>
      <c r="AX39" s="40">
        <v>2.89</v>
      </c>
      <c r="AY39" s="56">
        <v>0.96193771626297564</v>
      </c>
    </row>
    <row r="40" spans="1:51">
      <c r="A40" s="159">
        <f>A20</f>
        <v>-45</v>
      </c>
      <c r="B40" s="160">
        <f t="shared" ref="B40:F40" si="21">B20</f>
        <v>0.4</v>
      </c>
      <c r="C40" s="254">
        <f t="shared" si="21"/>
        <v>-24.6</v>
      </c>
      <c r="D40" s="254">
        <f t="shared" si="21"/>
        <v>24.6</v>
      </c>
      <c r="E40" s="160">
        <f t="shared" si="21"/>
        <v>5.6319999999999997</v>
      </c>
      <c r="F40" s="161">
        <f t="shared" si="21"/>
        <v>0.82652698863636376</v>
      </c>
      <c r="G40" s="165">
        <f t="shared" si="7"/>
        <v>-34.799999999999997</v>
      </c>
      <c r="AB40" s="181">
        <v>5</v>
      </c>
      <c r="AC40" s="182">
        <v>4.2409999999999997</v>
      </c>
      <c r="AD40" s="162">
        <f t="shared" si="19"/>
        <v>0.94600330110822917</v>
      </c>
      <c r="AF40" s="181">
        <v>5</v>
      </c>
      <c r="AG40" s="182">
        <v>5.0819999999999999</v>
      </c>
      <c r="AH40" s="162">
        <f t="shared" si="20"/>
        <v>0.93486816214088952</v>
      </c>
      <c r="AI40" s="174">
        <v>10</v>
      </c>
      <c r="AJ40" s="188">
        <v>3.0510000000000002</v>
      </c>
      <c r="AK40" s="162">
        <v>0.80465421173385776</v>
      </c>
      <c r="AL40" s="174">
        <v>10</v>
      </c>
      <c r="AM40" s="188">
        <v>6.9</v>
      </c>
      <c r="AN40" s="162">
        <v>1.0144927536231882</v>
      </c>
      <c r="AP40" s="181">
        <v>30</v>
      </c>
      <c r="AQ40" s="182">
        <v>5.7919999999999998</v>
      </c>
      <c r="AR40" s="162">
        <f>$AQ$38/AQ40</f>
        <v>0.80369475138121549</v>
      </c>
      <c r="AT40" s="225">
        <v>30</v>
      </c>
      <c r="AU40" s="40">
        <v>0</v>
      </c>
      <c r="AV40" s="40">
        <v>6.09</v>
      </c>
      <c r="AW40" s="7">
        <v>0.83579638752052543</v>
      </c>
      <c r="AX40" s="40">
        <v>3.35</v>
      </c>
      <c r="AY40" s="56">
        <v>0.82985074626865662</v>
      </c>
    </row>
    <row r="41" spans="1:51" ht="13.5" thickBot="1">
      <c r="AB41" s="181">
        <v>10</v>
      </c>
      <c r="AC41" s="182">
        <v>4.202</v>
      </c>
      <c r="AD41" s="162">
        <f t="shared" si="19"/>
        <v>0.95478343645882902</v>
      </c>
      <c r="AF41" s="181">
        <v>10</v>
      </c>
      <c r="AG41" s="182">
        <v>4.9729999999999999</v>
      </c>
      <c r="AH41" s="162">
        <f t="shared" si="20"/>
        <v>0.95535893826663998</v>
      </c>
      <c r="AI41" s="174">
        <v>20</v>
      </c>
      <c r="AJ41" s="188">
        <v>3.4649999999999999</v>
      </c>
      <c r="AK41" s="162">
        <v>0.70851370851370854</v>
      </c>
      <c r="AL41" s="174">
        <v>20</v>
      </c>
      <c r="AM41" s="188">
        <v>6.8330000000000002</v>
      </c>
      <c r="AN41" s="162">
        <v>1.0244402165959314</v>
      </c>
      <c r="AP41" s="177">
        <v>45</v>
      </c>
      <c r="AQ41" s="190">
        <v>6.4669999999999996</v>
      </c>
      <c r="AR41" s="163">
        <f>$AQ$38/AQ41</f>
        <v>0.71980825730632447</v>
      </c>
      <c r="AT41" s="226">
        <v>45</v>
      </c>
      <c r="AU41" s="227">
        <v>0</v>
      </c>
      <c r="AV41" s="227">
        <v>7.09</v>
      </c>
      <c r="AW41" s="228">
        <v>0.71791255289139633</v>
      </c>
      <c r="AX41" s="227">
        <v>4.34</v>
      </c>
      <c r="AY41" s="229">
        <v>0.64055299539170507</v>
      </c>
    </row>
    <row r="42" spans="1:51">
      <c r="AB42" s="181">
        <v>15</v>
      </c>
      <c r="AC42" s="182">
        <v>4.2460000000000004</v>
      </c>
      <c r="AD42" s="162">
        <f t="shared" si="19"/>
        <v>0.9448893075836079</v>
      </c>
      <c r="AF42" s="181">
        <v>15</v>
      </c>
      <c r="AG42" s="182">
        <v>5.2560000000000002</v>
      </c>
      <c r="AH42" s="162">
        <f t="shared" si="20"/>
        <v>0.90391933028919336</v>
      </c>
      <c r="AI42" s="174">
        <v>40</v>
      </c>
      <c r="AJ42" s="188">
        <v>3.6190000000000002</v>
      </c>
      <c r="AK42" s="162">
        <v>0.67836418900248685</v>
      </c>
      <c r="AL42" s="174">
        <v>30</v>
      </c>
      <c r="AM42" s="188">
        <v>7.5890000000000004</v>
      </c>
      <c r="AN42" s="162">
        <v>0.92238766635920411</v>
      </c>
      <c r="AP42" s="194"/>
      <c r="AQ42" s="161"/>
      <c r="AR42" s="161"/>
    </row>
    <row r="43" spans="1:51">
      <c r="X43" s="158">
        <v>0</v>
      </c>
      <c r="Y43" s="158">
        <v>0</v>
      </c>
      <c r="AB43" s="181">
        <v>20</v>
      </c>
      <c r="AC43" s="182">
        <v>4.38</v>
      </c>
      <c r="AD43" s="162">
        <f t="shared" si="19"/>
        <v>0.91598173515981729</v>
      </c>
      <c r="AF43" s="181">
        <v>20</v>
      </c>
      <c r="AG43" s="182">
        <v>5.3559999999999999</v>
      </c>
      <c r="AH43" s="162">
        <f t="shared" si="20"/>
        <v>0.88704256908140411</v>
      </c>
      <c r="AI43" s="174"/>
      <c r="AJ43" s="174"/>
      <c r="AK43" s="189"/>
      <c r="AL43" s="174">
        <v>40</v>
      </c>
      <c r="AM43" s="188">
        <v>8.3230000000000004</v>
      </c>
      <c r="AN43" s="162">
        <v>0.84104289318755254</v>
      </c>
      <c r="AP43" s="194"/>
      <c r="AQ43" s="161"/>
      <c r="AR43" s="161"/>
    </row>
    <row r="44" spans="1:51">
      <c r="X44" s="158">
        <v>0</v>
      </c>
      <c r="Y44" s="158">
        <v>1.2</v>
      </c>
      <c r="AB44" s="181">
        <v>30</v>
      </c>
      <c r="AC44" s="182">
        <v>4.7750000000000004</v>
      </c>
      <c r="AD44" s="162">
        <f t="shared" si="19"/>
        <v>0.84020942408376953</v>
      </c>
      <c r="AF44" s="181">
        <v>30</v>
      </c>
      <c r="AG44" s="182">
        <v>5.2359999999999998</v>
      </c>
      <c r="AH44" s="162">
        <f t="shared" si="20"/>
        <v>0.90737203972498104</v>
      </c>
      <c r="AI44" s="174"/>
      <c r="AJ44" s="174"/>
      <c r="AK44" s="189"/>
      <c r="AL44" s="174">
        <v>50</v>
      </c>
      <c r="AM44" s="188">
        <v>9.3879999999999999</v>
      </c>
      <c r="AN44" s="162">
        <v>0.74563272262462721</v>
      </c>
      <c r="AP44" s="194"/>
      <c r="AQ44" s="161"/>
      <c r="AR44" s="161"/>
    </row>
    <row r="45" spans="1:51" ht="13.5" thickBot="1">
      <c r="AB45" s="177">
        <v>40</v>
      </c>
      <c r="AC45" s="190">
        <v>5.3680000000000003</v>
      </c>
      <c r="AD45" s="163">
        <f t="shared" si="19"/>
        <v>0.74739195230998501</v>
      </c>
      <c r="AF45" s="181">
        <v>40</v>
      </c>
      <c r="AG45" s="182">
        <v>6.59</v>
      </c>
      <c r="AH45" s="162">
        <f t="shared" si="20"/>
        <v>0.72094081942336885</v>
      </c>
      <c r="AI45" s="174"/>
      <c r="AJ45" s="174"/>
      <c r="AK45" s="189"/>
      <c r="AL45" s="174"/>
      <c r="AM45" s="174"/>
      <c r="AN45" s="189"/>
    </row>
    <row r="46" spans="1:51">
      <c r="G46" s="158">
        <v>-15</v>
      </c>
      <c r="H46" s="161">
        <v>0.92233009708737879</v>
      </c>
      <c r="AF46" s="181">
        <v>50</v>
      </c>
      <c r="AG46" s="182">
        <v>6.8239999999999998</v>
      </c>
      <c r="AH46" s="162">
        <f t="shared" si="20"/>
        <v>0.69621922626025801</v>
      </c>
      <c r="AI46" s="174"/>
      <c r="AJ46" s="174"/>
      <c r="AK46" s="189"/>
      <c r="AL46" s="174"/>
      <c r="AM46" s="174"/>
      <c r="AN46" s="189"/>
    </row>
    <row r="47" spans="1:51">
      <c r="G47" s="158">
        <v>-30</v>
      </c>
      <c r="H47" s="161">
        <v>0.80369475138121549</v>
      </c>
      <c r="Z47" s="158">
        <v>49</v>
      </c>
      <c r="AA47" s="158">
        <v>49</v>
      </c>
      <c r="AB47" s="158">
        <v>0.6</v>
      </c>
      <c r="AF47" s="181">
        <v>60</v>
      </c>
      <c r="AG47" s="182">
        <v>9.5470000000000006</v>
      </c>
      <c r="AH47" s="162">
        <f t="shared" si="20"/>
        <v>0.49764323871373206</v>
      </c>
      <c r="AI47" s="174"/>
      <c r="AJ47" s="174"/>
      <c r="AK47" s="189"/>
      <c r="AL47" s="174"/>
      <c r="AM47" s="174"/>
      <c r="AN47" s="189"/>
    </row>
    <row r="48" spans="1:51">
      <c r="G48" s="158">
        <v>-45</v>
      </c>
      <c r="H48" s="161">
        <v>0.71980825730632447</v>
      </c>
      <c r="Z48" s="158">
        <v>60</v>
      </c>
      <c r="AA48" s="158">
        <v>85</v>
      </c>
      <c r="AB48" s="158">
        <v>0.6</v>
      </c>
      <c r="AF48" s="181">
        <v>70</v>
      </c>
      <c r="AG48" s="182">
        <v>8.3729999999999993</v>
      </c>
      <c r="AH48" s="162">
        <f t="shared" si="20"/>
        <v>0.56741908515466388</v>
      </c>
      <c r="AI48" s="174"/>
      <c r="AJ48" s="174"/>
      <c r="AK48" s="189"/>
      <c r="AL48" s="174"/>
      <c r="AM48" s="174"/>
      <c r="AN48" s="189"/>
    </row>
    <row r="49" spans="1:40" ht="13.5" thickBot="1">
      <c r="AF49" s="177">
        <v>80</v>
      </c>
      <c r="AG49" s="190">
        <v>6.1180000000000003</v>
      </c>
      <c r="AH49" s="163">
        <f t="shared" si="20"/>
        <v>0.77656096763648252</v>
      </c>
      <c r="AI49" s="191"/>
      <c r="AJ49" s="191"/>
      <c r="AK49" s="192"/>
      <c r="AL49" s="191"/>
      <c r="AM49" s="191"/>
      <c r="AN49" s="192"/>
    </row>
    <row r="53" spans="1:40">
      <c r="A53" s="158">
        <f t="shared" ref="A53:A92" si="22">A54-1</f>
        <v>-50</v>
      </c>
      <c r="B53" s="158">
        <f t="shared" ref="B53:B92" si="23">(COS((A53+10)*PI()/180))^2</f>
        <v>0.58682408883346515</v>
      </c>
    </row>
    <row r="54" spans="1:40">
      <c r="A54" s="158">
        <f t="shared" si="22"/>
        <v>-49</v>
      </c>
      <c r="B54" s="158">
        <f t="shared" si="23"/>
        <v>0.6039558454088797</v>
      </c>
    </row>
    <row r="55" spans="1:40">
      <c r="A55" s="158">
        <f t="shared" si="22"/>
        <v>-48</v>
      </c>
      <c r="B55" s="158">
        <f t="shared" si="23"/>
        <v>0.62096094779983391</v>
      </c>
    </row>
    <row r="56" spans="1:40">
      <c r="A56" s="158">
        <f t="shared" si="22"/>
        <v>-47</v>
      </c>
      <c r="B56" s="158">
        <f t="shared" si="23"/>
        <v>0.63781867790849955</v>
      </c>
    </row>
    <row r="57" spans="1:40">
      <c r="A57" s="158">
        <f t="shared" si="22"/>
        <v>-46</v>
      </c>
      <c r="B57" s="158">
        <f t="shared" si="23"/>
        <v>0.65450849718747373</v>
      </c>
    </row>
    <row r="58" spans="1:40">
      <c r="A58" s="158">
        <f t="shared" si="22"/>
        <v>-45</v>
      </c>
      <c r="B58" s="158">
        <f t="shared" si="23"/>
        <v>0.67101007166283433</v>
      </c>
    </row>
    <row r="59" spans="1:40">
      <c r="A59" s="158">
        <f t="shared" si="22"/>
        <v>-44</v>
      </c>
      <c r="B59" s="158">
        <f t="shared" si="23"/>
        <v>0.68730329670795587</v>
      </c>
    </row>
    <row r="60" spans="1:40">
      <c r="A60" s="158">
        <f t="shared" si="22"/>
        <v>-43</v>
      </c>
      <c r="B60" s="158">
        <f t="shared" si="23"/>
        <v>0.70336832153790019</v>
      </c>
    </row>
    <row r="61" spans="1:40">
      <c r="A61" s="158">
        <f t="shared" si="22"/>
        <v>-42</v>
      </c>
      <c r="B61" s="158">
        <f t="shared" si="23"/>
        <v>0.7191855733945387</v>
      </c>
    </row>
    <row r="62" spans="1:40">
      <c r="A62" s="158">
        <f t="shared" si="22"/>
        <v>-41</v>
      </c>
      <c r="B62" s="158">
        <f t="shared" si="23"/>
        <v>0.73473578139294549</v>
      </c>
    </row>
    <row r="63" spans="1:40">
      <c r="A63" s="158">
        <f t="shared" si="22"/>
        <v>-40</v>
      </c>
      <c r="B63" s="158">
        <f t="shared" si="23"/>
        <v>0.75000000000000011</v>
      </c>
    </row>
    <row r="64" spans="1:40">
      <c r="A64" s="158">
        <f t="shared" si="22"/>
        <v>-39</v>
      </c>
      <c r="B64" s="158">
        <f t="shared" si="23"/>
        <v>0.76495963211660234</v>
      </c>
    </row>
    <row r="65" spans="1:2">
      <c r="A65" s="158">
        <f t="shared" si="22"/>
        <v>-38</v>
      </c>
      <c r="B65" s="158">
        <f t="shared" si="23"/>
        <v>0.77959645173537351</v>
      </c>
    </row>
    <row r="66" spans="1:2">
      <c r="A66" s="158">
        <f t="shared" si="22"/>
        <v>-37</v>
      </c>
      <c r="B66" s="158">
        <f t="shared" si="23"/>
        <v>0.79389262614623668</v>
      </c>
    </row>
    <row r="67" spans="1:2">
      <c r="A67" s="158">
        <f t="shared" si="22"/>
        <v>-36</v>
      </c>
      <c r="B67" s="158">
        <f t="shared" si="23"/>
        <v>0.8078307376628292</v>
      </c>
    </row>
    <row r="68" spans="1:2">
      <c r="A68" s="158">
        <f t="shared" si="22"/>
        <v>-35</v>
      </c>
      <c r="B68" s="158">
        <f t="shared" si="23"/>
        <v>0.82139380484326963</v>
      </c>
    </row>
    <row r="69" spans="1:2">
      <c r="A69" s="158">
        <f t="shared" si="22"/>
        <v>-34</v>
      </c>
      <c r="B69" s="158">
        <f t="shared" si="23"/>
        <v>0.83456530317942901</v>
      </c>
    </row>
    <row r="70" spans="1:2">
      <c r="A70" s="158">
        <f t="shared" si="22"/>
        <v>-33</v>
      </c>
      <c r="B70" s="158">
        <f t="shared" si="23"/>
        <v>0.84732918522949874</v>
      </c>
    </row>
    <row r="71" spans="1:2">
      <c r="A71" s="158">
        <f t="shared" si="22"/>
        <v>-32</v>
      </c>
      <c r="B71" s="158">
        <f t="shared" si="23"/>
        <v>0.85966990016932565</v>
      </c>
    </row>
    <row r="72" spans="1:2">
      <c r="A72" s="158">
        <f t="shared" si="22"/>
        <v>-31</v>
      </c>
      <c r="B72" s="158">
        <f t="shared" si="23"/>
        <v>0.87157241273869712</v>
      </c>
    </row>
    <row r="73" spans="1:2">
      <c r="A73" s="158">
        <f t="shared" si="22"/>
        <v>-30</v>
      </c>
      <c r="B73" s="158">
        <f t="shared" si="23"/>
        <v>0.88302222155948906</v>
      </c>
    </row>
    <row r="74" spans="1:2">
      <c r="A74" s="158">
        <f t="shared" si="22"/>
        <v>-29</v>
      </c>
      <c r="B74" s="158">
        <f t="shared" si="23"/>
        <v>0.89400537680336101</v>
      </c>
    </row>
    <row r="75" spans="1:2">
      <c r="A75" s="158">
        <f t="shared" si="22"/>
        <v>-28</v>
      </c>
      <c r="B75" s="158">
        <f t="shared" si="23"/>
        <v>0.90450849718747361</v>
      </c>
    </row>
    <row r="76" spans="1:2">
      <c r="A76" s="158">
        <f t="shared" si="22"/>
        <v>-27</v>
      </c>
      <c r="B76" s="158">
        <f t="shared" si="23"/>
        <v>0.91451878627752081</v>
      </c>
    </row>
    <row r="77" spans="1:2">
      <c r="A77" s="158">
        <f t="shared" si="22"/>
        <v>-26</v>
      </c>
      <c r="B77" s="158">
        <f t="shared" si="23"/>
        <v>0.92402404807821303</v>
      </c>
    </row>
    <row r="78" spans="1:2">
      <c r="A78" s="158">
        <f t="shared" si="22"/>
        <v>-25</v>
      </c>
      <c r="B78" s="158">
        <f t="shared" si="23"/>
        <v>0.93301270189221941</v>
      </c>
    </row>
    <row r="79" spans="1:2">
      <c r="A79" s="158">
        <f t="shared" si="22"/>
        <v>-24</v>
      </c>
      <c r="B79" s="158">
        <f t="shared" si="23"/>
        <v>0.94147379642946349</v>
      </c>
    </row>
    <row r="80" spans="1:2">
      <c r="A80" s="158">
        <f t="shared" si="22"/>
        <v>-23</v>
      </c>
      <c r="B80" s="158">
        <f t="shared" si="23"/>
        <v>0.94939702314958352</v>
      </c>
    </row>
    <row r="81" spans="1:2">
      <c r="A81" s="158">
        <f t="shared" si="22"/>
        <v>-22</v>
      </c>
      <c r="B81" s="158">
        <f t="shared" si="23"/>
        <v>0.9567727288213006</v>
      </c>
    </row>
    <row r="82" spans="1:2">
      <c r="A82" s="158">
        <f t="shared" si="22"/>
        <v>-21</v>
      </c>
      <c r="B82" s="158">
        <f t="shared" si="23"/>
        <v>0.96359192728339371</v>
      </c>
    </row>
    <row r="83" spans="1:2">
      <c r="A83" s="158">
        <f t="shared" si="22"/>
        <v>-20</v>
      </c>
      <c r="B83" s="158">
        <f t="shared" si="23"/>
        <v>0.9698463103929541</v>
      </c>
    </row>
    <row r="84" spans="1:2">
      <c r="A84" s="158">
        <f t="shared" si="22"/>
        <v>-19</v>
      </c>
      <c r="B84" s="158">
        <f t="shared" si="23"/>
        <v>0.97552825814757682</v>
      </c>
    </row>
    <row r="85" spans="1:2">
      <c r="A85" s="158">
        <f t="shared" si="22"/>
        <v>-18</v>
      </c>
      <c r="B85" s="158">
        <f t="shared" si="23"/>
        <v>0.98063084796915956</v>
      </c>
    </row>
    <row r="86" spans="1:2">
      <c r="A86" s="158">
        <f t="shared" si="22"/>
        <v>-17</v>
      </c>
      <c r="B86" s="158">
        <f t="shared" si="23"/>
        <v>0.98514786313799818</v>
      </c>
    </row>
    <row r="87" spans="1:2">
      <c r="A87" s="158">
        <f t="shared" si="22"/>
        <v>-16</v>
      </c>
      <c r="B87" s="158">
        <f t="shared" si="23"/>
        <v>0.98907380036690273</v>
      </c>
    </row>
    <row r="88" spans="1:2">
      <c r="A88" s="158">
        <f t="shared" si="22"/>
        <v>-15</v>
      </c>
      <c r="B88" s="158">
        <f t="shared" si="23"/>
        <v>0.99240387650610407</v>
      </c>
    </row>
    <row r="89" spans="1:2">
      <c r="A89" s="158">
        <f t="shared" si="22"/>
        <v>-14</v>
      </c>
      <c r="B89" s="158">
        <f t="shared" si="23"/>
        <v>0.99513403437078507</v>
      </c>
    </row>
    <row r="90" spans="1:2">
      <c r="A90" s="158">
        <f t="shared" si="22"/>
        <v>-13</v>
      </c>
      <c r="B90" s="158">
        <f t="shared" si="23"/>
        <v>0.99726094768413653</v>
      </c>
    </row>
    <row r="91" spans="1:2">
      <c r="A91" s="158">
        <f t="shared" si="22"/>
        <v>-12</v>
      </c>
      <c r="B91" s="158">
        <f t="shared" si="23"/>
        <v>0.99878202512991221</v>
      </c>
    </row>
    <row r="92" spans="1:2">
      <c r="A92" s="158">
        <f t="shared" si="22"/>
        <v>-11</v>
      </c>
      <c r="B92" s="158">
        <f t="shared" si="23"/>
        <v>0.99969541350954794</v>
      </c>
    </row>
    <row r="93" spans="1:2">
      <c r="A93" s="158">
        <v>-10</v>
      </c>
      <c r="B93" s="158">
        <v>1</v>
      </c>
    </row>
    <row r="94" spans="1:2">
      <c r="A94" s="164">
        <v>0</v>
      </c>
      <c r="B94" s="165">
        <v>1</v>
      </c>
    </row>
    <row r="95" spans="1:2">
      <c r="A95" s="164">
        <v>10</v>
      </c>
      <c r="B95" s="165">
        <v>1</v>
      </c>
    </row>
    <row r="96" spans="1:2">
      <c r="A96" s="158">
        <f t="shared" ref="A96:A127" si="24">A95+1</f>
        <v>11</v>
      </c>
      <c r="B96" s="158">
        <f t="shared" ref="B96:B127" si="25">(COS((A96-10)*PI()/180))^2</f>
        <v>0.99969541350954794</v>
      </c>
    </row>
    <row r="97" spans="1:2">
      <c r="A97" s="158">
        <f t="shared" si="24"/>
        <v>12</v>
      </c>
      <c r="B97" s="158">
        <f t="shared" si="25"/>
        <v>0.99878202512991221</v>
      </c>
    </row>
    <row r="98" spans="1:2">
      <c r="A98" s="158">
        <f t="shared" si="24"/>
        <v>13</v>
      </c>
      <c r="B98" s="158">
        <f t="shared" si="25"/>
        <v>0.99726094768413653</v>
      </c>
    </row>
    <row r="99" spans="1:2">
      <c r="A99" s="158">
        <f t="shared" si="24"/>
        <v>14</v>
      </c>
      <c r="B99" s="158">
        <f t="shared" si="25"/>
        <v>0.99513403437078507</v>
      </c>
    </row>
    <row r="100" spans="1:2">
      <c r="A100" s="158">
        <f t="shared" si="24"/>
        <v>15</v>
      </c>
      <c r="B100" s="158">
        <f t="shared" si="25"/>
        <v>0.99240387650610407</v>
      </c>
    </row>
    <row r="101" spans="1:2">
      <c r="A101" s="158">
        <f t="shared" si="24"/>
        <v>16</v>
      </c>
      <c r="B101" s="158">
        <f t="shared" si="25"/>
        <v>0.98907380036690273</v>
      </c>
    </row>
    <row r="102" spans="1:2">
      <c r="A102" s="158">
        <f t="shared" si="24"/>
        <v>17</v>
      </c>
      <c r="B102" s="158">
        <f t="shared" si="25"/>
        <v>0.98514786313799818</v>
      </c>
    </row>
    <row r="103" spans="1:2">
      <c r="A103" s="158">
        <f t="shared" si="24"/>
        <v>18</v>
      </c>
      <c r="B103" s="158">
        <f t="shared" si="25"/>
        <v>0.98063084796915956</v>
      </c>
    </row>
    <row r="104" spans="1:2">
      <c r="A104" s="158">
        <f t="shared" si="24"/>
        <v>19</v>
      </c>
      <c r="B104" s="158">
        <f t="shared" si="25"/>
        <v>0.97552825814757682</v>
      </c>
    </row>
    <row r="105" spans="1:2">
      <c r="A105" s="158">
        <f t="shared" si="24"/>
        <v>20</v>
      </c>
      <c r="B105" s="158">
        <f t="shared" si="25"/>
        <v>0.9698463103929541</v>
      </c>
    </row>
    <row r="106" spans="1:2">
      <c r="A106" s="158">
        <f t="shared" si="24"/>
        <v>21</v>
      </c>
      <c r="B106" s="158">
        <f t="shared" si="25"/>
        <v>0.96359192728339371</v>
      </c>
    </row>
    <row r="107" spans="1:2">
      <c r="A107" s="158">
        <f t="shared" si="24"/>
        <v>22</v>
      </c>
      <c r="B107" s="158">
        <f t="shared" si="25"/>
        <v>0.9567727288213006</v>
      </c>
    </row>
    <row r="108" spans="1:2">
      <c r="A108" s="158">
        <f t="shared" si="24"/>
        <v>23</v>
      </c>
      <c r="B108" s="158">
        <f t="shared" si="25"/>
        <v>0.94939702314958352</v>
      </c>
    </row>
    <row r="109" spans="1:2">
      <c r="A109" s="158">
        <f t="shared" si="24"/>
        <v>24</v>
      </c>
      <c r="B109" s="158">
        <f t="shared" si="25"/>
        <v>0.94147379642946349</v>
      </c>
    </row>
    <row r="110" spans="1:2">
      <c r="A110" s="158">
        <f t="shared" si="24"/>
        <v>25</v>
      </c>
      <c r="B110" s="158">
        <f t="shared" si="25"/>
        <v>0.93301270189221941</v>
      </c>
    </row>
    <row r="111" spans="1:2">
      <c r="A111" s="158">
        <f t="shared" si="24"/>
        <v>26</v>
      </c>
      <c r="B111" s="158">
        <f t="shared" si="25"/>
        <v>0.92402404807821303</v>
      </c>
    </row>
    <row r="112" spans="1:2">
      <c r="A112" s="158">
        <f t="shared" si="24"/>
        <v>27</v>
      </c>
      <c r="B112" s="158">
        <f t="shared" si="25"/>
        <v>0.91451878627752081</v>
      </c>
    </row>
    <row r="113" spans="1:2">
      <c r="A113" s="158">
        <f t="shared" si="24"/>
        <v>28</v>
      </c>
      <c r="B113" s="158">
        <f t="shared" si="25"/>
        <v>0.90450849718747361</v>
      </c>
    </row>
    <row r="114" spans="1:2">
      <c r="A114" s="158">
        <f t="shared" si="24"/>
        <v>29</v>
      </c>
      <c r="B114" s="158">
        <f t="shared" si="25"/>
        <v>0.89400537680336101</v>
      </c>
    </row>
    <row r="115" spans="1:2">
      <c r="A115" s="158">
        <f t="shared" si="24"/>
        <v>30</v>
      </c>
      <c r="B115" s="158">
        <f t="shared" si="25"/>
        <v>0.88302222155948906</v>
      </c>
    </row>
    <row r="116" spans="1:2">
      <c r="A116" s="158">
        <f t="shared" si="24"/>
        <v>31</v>
      </c>
      <c r="B116" s="158">
        <f t="shared" si="25"/>
        <v>0.87157241273869712</v>
      </c>
    </row>
    <row r="117" spans="1:2">
      <c r="A117" s="158">
        <f t="shared" si="24"/>
        <v>32</v>
      </c>
      <c r="B117" s="158">
        <f t="shared" si="25"/>
        <v>0.85966990016932565</v>
      </c>
    </row>
    <row r="118" spans="1:2">
      <c r="A118" s="158">
        <f t="shared" si="24"/>
        <v>33</v>
      </c>
      <c r="B118" s="158">
        <f t="shared" si="25"/>
        <v>0.84732918522949874</v>
      </c>
    </row>
    <row r="119" spans="1:2">
      <c r="A119" s="158">
        <f t="shared" si="24"/>
        <v>34</v>
      </c>
      <c r="B119" s="158">
        <f t="shared" si="25"/>
        <v>0.83456530317942901</v>
      </c>
    </row>
    <row r="120" spans="1:2">
      <c r="A120" s="158">
        <f t="shared" si="24"/>
        <v>35</v>
      </c>
      <c r="B120" s="158">
        <f t="shared" si="25"/>
        <v>0.82139380484326963</v>
      </c>
    </row>
    <row r="121" spans="1:2">
      <c r="A121" s="158">
        <f t="shared" si="24"/>
        <v>36</v>
      </c>
      <c r="B121" s="158">
        <f t="shared" si="25"/>
        <v>0.8078307376628292</v>
      </c>
    </row>
    <row r="122" spans="1:2">
      <c r="A122" s="158">
        <f t="shared" si="24"/>
        <v>37</v>
      </c>
      <c r="B122" s="158">
        <f t="shared" si="25"/>
        <v>0.79389262614623668</v>
      </c>
    </row>
    <row r="123" spans="1:2">
      <c r="A123" s="158">
        <f t="shared" si="24"/>
        <v>38</v>
      </c>
      <c r="B123" s="158">
        <f t="shared" si="25"/>
        <v>0.77959645173537351</v>
      </c>
    </row>
    <row r="124" spans="1:2">
      <c r="A124" s="158">
        <f t="shared" si="24"/>
        <v>39</v>
      </c>
      <c r="B124" s="158">
        <f t="shared" si="25"/>
        <v>0.76495963211660234</v>
      </c>
    </row>
    <row r="125" spans="1:2">
      <c r="A125" s="158">
        <f t="shared" si="24"/>
        <v>40</v>
      </c>
      <c r="B125" s="158">
        <f t="shared" si="25"/>
        <v>0.75000000000000011</v>
      </c>
    </row>
    <row r="126" spans="1:2">
      <c r="A126" s="158">
        <f t="shared" si="24"/>
        <v>41</v>
      </c>
      <c r="B126" s="158">
        <f t="shared" si="25"/>
        <v>0.73473578139294549</v>
      </c>
    </row>
    <row r="127" spans="1:2">
      <c r="A127" s="158">
        <f t="shared" si="24"/>
        <v>42</v>
      </c>
      <c r="B127" s="158">
        <f t="shared" si="25"/>
        <v>0.7191855733945387</v>
      </c>
    </row>
    <row r="128" spans="1:2">
      <c r="A128" s="158">
        <f t="shared" ref="A128:A145" si="26">A127+1</f>
        <v>43</v>
      </c>
      <c r="B128" s="158">
        <f t="shared" ref="B128:B145" si="27">(COS((A128-10)*PI()/180))^2</f>
        <v>0.70336832153790019</v>
      </c>
    </row>
    <row r="129" spans="1:2">
      <c r="A129" s="158">
        <f t="shared" si="26"/>
        <v>44</v>
      </c>
      <c r="B129" s="158">
        <f t="shared" si="27"/>
        <v>0.68730329670795587</v>
      </c>
    </row>
    <row r="130" spans="1:2">
      <c r="A130" s="158">
        <f t="shared" si="26"/>
        <v>45</v>
      </c>
      <c r="B130" s="158">
        <f t="shared" si="27"/>
        <v>0.67101007166283433</v>
      </c>
    </row>
    <row r="131" spans="1:2">
      <c r="A131" s="158">
        <f t="shared" si="26"/>
        <v>46</v>
      </c>
      <c r="B131" s="158">
        <f t="shared" si="27"/>
        <v>0.65450849718747373</v>
      </c>
    </row>
    <row r="132" spans="1:2">
      <c r="A132" s="158">
        <f t="shared" si="26"/>
        <v>47</v>
      </c>
      <c r="B132" s="158">
        <f t="shared" si="27"/>
        <v>0.63781867790849955</v>
      </c>
    </row>
    <row r="133" spans="1:2">
      <c r="A133" s="158">
        <f t="shared" si="26"/>
        <v>48</v>
      </c>
      <c r="B133" s="158">
        <f t="shared" si="27"/>
        <v>0.62096094779983391</v>
      </c>
    </row>
    <row r="134" spans="1:2">
      <c r="A134" s="158">
        <f t="shared" si="26"/>
        <v>49</v>
      </c>
      <c r="B134" s="158">
        <f t="shared" si="27"/>
        <v>0.6039558454088797</v>
      </c>
    </row>
    <row r="135" spans="1:2">
      <c r="A135" s="158">
        <f t="shared" si="26"/>
        <v>50</v>
      </c>
      <c r="B135" s="158">
        <f t="shared" si="27"/>
        <v>0.58682408883346515</v>
      </c>
    </row>
    <row r="136" spans="1:2">
      <c r="A136" s="158">
        <f t="shared" si="26"/>
        <v>51</v>
      </c>
      <c r="B136" s="158">
        <f t="shared" si="27"/>
        <v>0.56958655048003293</v>
      </c>
    </row>
    <row r="137" spans="1:2">
      <c r="A137" s="158">
        <f t="shared" si="26"/>
        <v>52</v>
      </c>
      <c r="B137" s="158">
        <f t="shared" si="27"/>
        <v>0.55226423163382676</v>
      </c>
    </row>
    <row r="138" spans="1:2">
      <c r="A138" s="158">
        <f t="shared" si="26"/>
        <v>53</v>
      </c>
      <c r="B138" s="158">
        <f t="shared" si="27"/>
        <v>0.53487823687206282</v>
      </c>
    </row>
    <row r="139" spans="1:2">
      <c r="A139" s="158">
        <f t="shared" si="26"/>
        <v>54</v>
      </c>
      <c r="B139" s="158">
        <f t="shared" si="27"/>
        <v>0.51744974835125057</v>
      </c>
    </row>
    <row r="140" spans="1:2">
      <c r="A140" s="158">
        <f t="shared" si="26"/>
        <v>55</v>
      </c>
      <c r="B140" s="158">
        <f t="shared" si="27"/>
        <v>0.50000000000000011</v>
      </c>
    </row>
    <row r="141" spans="1:2">
      <c r="A141" s="158">
        <f t="shared" si="26"/>
        <v>56</v>
      </c>
      <c r="B141" s="158">
        <f t="shared" si="27"/>
        <v>0.48255025164874965</v>
      </c>
    </row>
    <row r="142" spans="1:2">
      <c r="A142" s="158">
        <f t="shared" si="26"/>
        <v>57</v>
      </c>
      <c r="B142" s="158">
        <f t="shared" si="27"/>
        <v>0.46512176312793729</v>
      </c>
    </row>
    <row r="143" spans="1:2">
      <c r="A143" s="158">
        <f t="shared" si="26"/>
        <v>58</v>
      </c>
      <c r="B143" s="158">
        <f t="shared" si="27"/>
        <v>0.44773576836617329</v>
      </c>
    </row>
    <row r="144" spans="1:2">
      <c r="A144" s="158">
        <f t="shared" si="26"/>
        <v>59</v>
      </c>
      <c r="B144" s="158">
        <f t="shared" si="27"/>
        <v>0.43041344951996724</v>
      </c>
    </row>
    <row r="145" spans="1:2">
      <c r="A145" s="158">
        <f t="shared" si="26"/>
        <v>60</v>
      </c>
      <c r="B145" s="158">
        <f t="shared" si="27"/>
        <v>0.41317591116653485</v>
      </c>
    </row>
  </sheetData>
  <phoneticPr fontId="25" type="noConversion"/>
  <pageMargins left="0.75" right="0.75" top="1" bottom="1" header="0.5" footer="0.5"/>
  <pageSetup paperSize="9" scale="95" orientation="portrait" r:id="rId1"/>
  <headerFooter alignWithMargins="0"/>
  <rowBreaks count="1" manualBreakCount="1">
    <brk id="69" min="10" max="22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Table results Report</vt:lpstr>
      <vt:lpstr>First analysis</vt:lpstr>
      <vt:lpstr>Figures</vt:lpstr>
      <vt:lpstr>Summary</vt:lpstr>
      <vt:lpstr>'First analysis'!Print_Area</vt:lpstr>
      <vt:lpstr>Summary!Print_Area</vt:lpstr>
      <vt:lpstr>'Table results Report'!Print_Area</vt:lpstr>
    </vt:vector>
  </TitlesOfParts>
  <Company>IWW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wb</dc:creator>
  <cp:lastModifiedBy>Le Hai Trung - CITG</cp:lastModifiedBy>
  <cp:lastPrinted>2010-05-11T12:54:34Z</cp:lastPrinted>
  <dcterms:created xsi:type="dcterms:W3CDTF">2009-02-04T10:21:40Z</dcterms:created>
  <dcterms:modified xsi:type="dcterms:W3CDTF">2014-04-04T15:24:41Z</dcterms:modified>
</cp:coreProperties>
</file>