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31280" yWindow="2440" windowWidth="24900" windowHeight="15540" tabRatio="500" firstSheet="1" activeTab="5"/>
  </bookViews>
  <sheets>
    <sheet name="JW1" sheetId="5" r:id="rId1"/>
    <sheet name="JW2" sheetId="7" r:id="rId2"/>
    <sheet name="JW3" sheetId="8" r:id="rId3"/>
    <sheet name="JW4" sheetId="9" r:id="rId4"/>
    <sheet name="JWAMPFe" sheetId="10" r:id="rId5"/>
    <sheet name="C &amp; N mixes" sheetId="1" r:id="rId6"/>
    <sheet name="Isolate taxonomy and abundance" sheetId="11" r:id="rId7"/>
    <sheet name="Site metadata" sheetId="12"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42" i="1" l="1"/>
  <c r="M41" i="1"/>
  <c r="M34" i="1"/>
  <c r="M26" i="1"/>
  <c r="M14" i="1"/>
  <c r="M45" i="1"/>
  <c r="K2" i="1"/>
  <c r="O25" i="1"/>
  <c r="M25" i="1"/>
  <c r="K19" i="1"/>
  <c r="E19" i="1"/>
  <c r="E20" i="1"/>
  <c r="G20" i="1"/>
  <c r="I2" i="1"/>
  <c r="O39" i="1"/>
  <c r="O34" i="1"/>
  <c r="O26" i="1"/>
  <c r="O14" i="1"/>
  <c r="K22" i="1"/>
  <c r="M22" i="1"/>
  <c r="O3" i="1"/>
  <c r="O22" i="1"/>
  <c r="O41" i="1"/>
  <c r="I3" i="1"/>
  <c r="K3" i="1"/>
  <c r="E30" i="10"/>
  <c r="E29" i="10"/>
  <c r="E28" i="10"/>
  <c r="E27" i="10"/>
  <c r="E26" i="10"/>
  <c r="E25" i="10"/>
  <c r="S21" i="10"/>
  <c r="E18" i="10"/>
  <c r="R18" i="10"/>
  <c r="R21" i="10"/>
  <c r="E10" i="10"/>
  <c r="Q10" i="10"/>
  <c r="Q21" i="10"/>
  <c r="E9" i="10"/>
  <c r="P9" i="10"/>
  <c r="P21" i="10"/>
  <c r="E8" i="10"/>
  <c r="O8" i="10"/>
  <c r="O21" i="10"/>
  <c r="E7" i="10"/>
  <c r="N7" i="10"/>
  <c r="N21" i="10"/>
  <c r="E6" i="10"/>
  <c r="M6" i="10"/>
  <c r="M18" i="10"/>
  <c r="M21" i="10"/>
  <c r="L21" i="10"/>
  <c r="E15" i="10"/>
  <c r="K15" i="10"/>
  <c r="K21" i="10"/>
  <c r="E14" i="10"/>
  <c r="J14" i="10"/>
  <c r="J21" i="10"/>
  <c r="I4" i="10"/>
  <c r="I21" i="10"/>
  <c r="H3" i="10"/>
  <c r="H4" i="10"/>
  <c r="H9" i="10"/>
  <c r="H14" i="10"/>
  <c r="H15" i="10"/>
  <c r="H21" i="10"/>
  <c r="G3" i="10"/>
  <c r="E5" i="10"/>
  <c r="G5" i="10"/>
  <c r="G6" i="10"/>
  <c r="G7" i="10"/>
  <c r="G10" i="10"/>
  <c r="G21" i="10"/>
  <c r="E19" i="10"/>
  <c r="C11" i="10"/>
  <c r="C4" i="10"/>
  <c r="C3" i="10"/>
  <c r="R23" i="9"/>
  <c r="E10" i="9"/>
  <c r="Q10" i="9"/>
  <c r="Q21" i="9"/>
  <c r="Q23" i="9"/>
  <c r="E9" i="9"/>
  <c r="P9" i="9"/>
  <c r="P21" i="9"/>
  <c r="P23" i="9"/>
  <c r="E8" i="9"/>
  <c r="O8" i="9"/>
  <c r="O21" i="9"/>
  <c r="O23" i="9"/>
  <c r="E7" i="9"/>
  <c r="N7" i="9"/>
  <c r="N21" i="9"/>
  <c r="N23" i="9"/>
  <c r="E6" i="9"/>
  <c r="M6" i="9"/>
  <c r="M21" i="9"/>
  <c r="M23" i="9"/>
  <c r="E11" i="9"/>
  <c r="L11" i="9"/>
  <c r="L21" i="9"/>
  <c r="L23" i="9"/>
  <c r="K23" i="9"/>
  <c r="J23" i="9"/>
  <c r="E4" i="9"/>
  <c r="I4" i="9"/>
  <c r="I21" i="9"/>
  <c r="I23" i="9"/>
  <c r="E3" i="9"/>
  <c r="H3" i="9"/>
  <c r="H4" i="9"/>
  <c r="H9" i="9"/>
  <c r="H21" i="9"/>
  <c r="H23" i="9"/>
  <c r="G3" i="9"/>
  <c r="E5" i="9"/>
  <c r="G5" i="9"/>
  <c r="G6" i="9"/>
  <c r="G7" i="9"/>
  <c r="G10" i="9"/>
  <c r="G21" i="9"/>
  <c r="G23" i="9"/>
  <c r="R23" i="8"/>
  <c r="E10" i="8"/>
  <c r="Q10" i="8"/>
  <c r="Q21" i="8"/>
  <c r="Q23" i="8"/>
  <c r="E9" i="8"/>
  <c r="P9" i="8"/>
  <c r="P21" i="8"/>
  <c r="P23" i="8"/>
  <c r="E8" i="8"/>
  <c r="O8" i="8"/>
  <c r="O21" i="8"/>
  <c r="O23" i="8"/>
  <c r="E7" i="8"/>
  <c r="N7" i="8"/>
  <c r="N21" i="8"/>
  <c r="N23" i="8"/>
  <c r="E6" i="8"/>
  <c r="M6" i="8"/>
  <c r="M21" i="8"/>
  <c r="M23" i="8"/>
  <c r="L23" i="8"/>
  <c r="K23" i="8"/>
  <c r="J23" i="8"/>
  <c r="E4" i="8"/>
  <c r="I4" i="8"/>
  <c r="I21" i="8"/>
  <c r="I23" i="8"/>
  <c r="E3" i="8"/>
  <c r="H3" i="8"/>
  <c r="H4" i="8"/>
  <c r="H9" i="8"/>
  <c r="H21" i="8"/>
  <c r="H23" i="8"/>
  <c r="G3" i="8"/>
  <c r="E5" i="8"/>
  <c r="G5" i="8"/>
  <c r="G6" i="8"/>
  <c r="G7" i="8"/>
  <c r="G10" i="8"/>
  <c r="G21" i="8"/>
  <c r="G23" i="8"/>
  <c r="G23" i="7"/>
  <c r="R23" i="7"/>
  <c r="E10" i="7"/>
  <c r="Q10" i="7"/>
  <c r="Q21" i="7"/>
  <c r="Q23" i="7"/>
  <c r="E9" i="7"/>
  <c r="P9" i="7"/>
  <c r="P21" i="7"/>
  <c r="P23" i="7"/>
  <c r="E8" i="7"/>
  <c r="O8" i="7"/>
  <c r="O21" i="7"/>
  <c r="O23" i="7"/>
  <c r="E7" i="7"/>
  <c r="N7" i="7"/>
  <c r="N21" i="7"/>
  <c r="N23" i="7"/>
  <c r="E6" i="7"/>
  <c r="M6" i="7"/>
  <c r="M21" i="7"/>
  <c r="M23" i="7"/>
  <c r="L23" i="7"/>
  <c r="K23" i="7"/>
  <c r="J23" i="7"/>
  <c r="E4" i="7"/>
  <c r="I4" i="7"/>
  <c r="I21" i="7"/>
  <c r="I23" i="7"/>
  <c r="E3" i="7"/>
  <c r="H3" i="7"/>
  <c r="H4" i="7"/>
  <c r="H9" i="7"/>
  <c r="H21" i="7"/>
  <c r="H23" i="7"/>
  <c r="G3" i="7"/>
  <c r="E5" i="7"/>
  <c r="G5" i="7"/>
  <c r="G6" i="7"/>
  <c r="G7" i="7"/>
  <c r="G10" i="7"/>
  <c r="G21" i="7"/>
  <c r="E18" i="5"/>
  <c r="R18" i="5"/>
  <c r="R21" i="5"/>
  <c r="R23" i="5"/>
  <c r="E10" i="5"/>
  <c r="G10" i="5"/>
  <c r="Q10" i="5"/>
  <c r="Q21" i="5"/>
  <c r="Q23" i="5"/>
  <c r="E9" i="5"/>
  <c r="P9" i="5"/>
  <c r="P21" i="5"/>
  <c r="P23" i="5"/>
  <c r="E8" i="5"/>
  <c r="O8" i="5"/>
  <c r="O21" i="5"/>
  <c r="O23" i="5"/>
  <c r="E7" i="5"/>
  <c r="N7" i="5"/>
  <c r="N21" i="5"/>
  <c r="N23" i="5"/>
  <c r="E6" i="5"/>
  <c r="M6" i="5"/>
  <c r="E4" i="5"/>
  <c r="I4" i="5"/>
  <c r="I21" i="5"/>
  <c r="I23" i="5"/>
  <c r="H4" i="5"/>
  <c r="H9" i="5"/>
  <c r="E5" i="5"/>
  <c r="G5" i="5"/>
  <c r="G6" i="5"/>
  <c r="G7" i="5"/>
  <c r="W6" i="9"/>
  <c r="W8" i="9"/>
  <c r="W11" i="9"/>
  <c r="W10" i="9"/>
  <c r="W9" i="9"/>
  <c r="W7" i="9"/>
  <c r="W5" i="9"/>
  <c r="W4" i="9"/>
  <c r="W3" i="9"/>
  <c r="E15" i="9"/>
  <c r="E14" i="9"/>
  <c r="J14" i="9"/>
  <c r="J21" i="9"/>
  <c r="E43" i="9"/>
  <c r="E42" i="9"/>
  <c r="E41" i="9"/>
  <c r="E40" i="9"/>
  <c r="E39" i="9"/>
  <c r="E38" i="9"/>
  <c r="E37" i="9"/>
  <c r="E36" i="9"/>
  <c r="E35" i="9"/>
  <c r="N34" i="9"/>
  <c r="E34" i="9"/>
  <c r="E31" i="9"/>
  <c r="E30" i="9"/>
  <c r="E29" i="9"/>
  <c r="E28" i="9"/>
  <c r="H14" i="9"/>
  <c r="H15" i="9"/>
  <c r="E27" i="9"/>
  <c r="E26" i="9"/>
  <c r="S5" i="9"/>
  <c r="S21" i="9"/>
  <c r="E18" i="9"/>
  <c r="R18" i="9"/>
  <c r="R21" i="9"/>
  <c r="M18" i="9"/>
  <c r="K15" i="9"/>
  <c r="K21" i="9"/>
  <c r="E19" i="9"/>
  <c r="E15" i="8"/>
  <c r="K15" i="8"/>
  <c r="K21" i="8"/>
  <c r="E14" i="8"/>
  <c r="J14" i="8"/>
  <c r="J21" i="8"/>
  <c r="E43" i="8"/>
  <c r="E42" i="8"/>
  <c r="E41" i="8"/>
  <c r="E40" i="8"/>
  <c r="E39" i="8"/>
  <c r="E38" i="8"/>
  <c r="E37" i="8"/>
  <c r="E36" i="8"/>
  <c r="E35" i="8"/>
  <c r="N34" i="8"/>
  <c r="E34" i="8"/>
  <c r="E31" i="8"/>
  <c r="E30" i="8"/>
  <c r="E29" i="8"/>
  <c r="E28" i="8"/>
  <c r="E27" i="8"/>
  <c r="E26" i="8"/>
  <c r="S5" i="8"/>
  <c r="S21" i="8"/>
  <c r="E18" i="8"/>
  <c r="R18" i="8"/>
  <c r="R21" i="8"/>
  <c r="M18" i="8"/>
  <c r="L21" i="8"/>
  <c r="H14" i="8"/>
  <c r="E19" i="8"/>
  <c r="E11" i="8"/>
  <c r="E15" i="7"/>
  <c r="E14" i="7"/>
  <c r="H14" i="7"/>
  <c r="E11" i="7"/>
  <c r="E43" i="7"/>
  <c r="E42" i="7"/>
  <c r="E41" i="7"/>
  <c r="E40" i="7"/>
  <c r="E39" i="7"/>
  <c r="E38" i="7"/>
  <c r="E37" i="7"/>
  <c r="E36" i="7"/>
  <c r="E35" i="7"/>
  <c r="N34" i="7"/>
  <c r="E34" i="7"/>
  <c r="E31" i="7"/>
  <c r="E30" i="7"/>
  <c r="E29" i="7"/>
  <c r="E28" i="7"/>
  <c r="E27" i="7"/>
  <c r="E26" i="7"/>
  <c r="S5" i="7"/>
  <c r="S21" i="7"/>
  <c r="E18" i="7"/>
  <c r="R18" i="7"/>
  <c r="R21" i="7"/>
  <c r="M18" i="7"/>
  <c r="L21" i="7"/>
  <c r="K15" i="7"/>
  <c r="K21" i="7"/>
  <c r="M27" i="7"/>
  <c r="H15" i="7"/>
  <c r="E19" i="7"/>
  <c r="S5" i="5"/>
  <c r="S21" i="5"/>
  <c r="C54" i="1"/>
  <c r="B56" i="1"/>
  <c r="C56" i="1"/>
  <c r="B55" i="1"/>
  <c r="C55" i="1"/>
  <c r="B54" i="1"/>
  <c r="B53" i="1"/>
  <c r="C53" i="1"/>
  <c r="K28" i="1"/>
  <c r="M28" i="1"/>
  <c r="K29" i="1"/>
  <c r="M29" i="1"/>
  <c r="K30" i="1"/>
  <c r="M30" i="1"/>
  <c r="K31" i="1"/>
  <c r="M31" i="1"/>
  <c r="K32" i="1"/>
  <c r="M32" i="1"/>
  <c r="K33" i="1"/>
  <c r="M33" i="1"/>
  <c r="Q36" i="1"/>
  <c r="I36" i="1"/>
  <c r="Q37" i="1"/>
  <c r="I37" i="1"/>
  <c r="Q38" i="1"/>
  <c r="I38" i="1"/>
  <c r="K16" i="1"/>
  <c r="M16" i="1"/>
  <c r="K17" i="1"/>
  <c r="M17" i="1"/>
  <c r="K18" i="1"/>
  <c r="M18" i="1"/>
  <c r="M19" i="1"/>
  <c r="K20" i="1"/>
  <c r="M20" i="1"/>
  <c r="K21" i="1"/>
  <c r="M21" i="1"/>
  <c r="K23" i="1"/>
  <c r="M23" i="1"/>
  <c r="K24" i="1"/>
  <c r="M24" i="1"/>
  <c r="K25" i="1"/>
  <c r="M2" i="1"/>
  <c r="M3" i="1"/>
  <c r="I4" i="1"/>
  <c r="K4" i="1"/>
  <c r="I5" i="1"/>
  <c r="K5" i="1"/>
  <c r="M5" i="1"/>
  <c r="I6" i="1"/>
  <c r="K6" i="1"/>
  <c r="M6" i="1"/>
  <c r="I7" i="1"/>
  <c r="K7" i="1"/>
  <c r="M7" i="1"/>
  <c r="I8" i="1"/>
  <c r="K8" i="1"/>
  <c r="I9" i="1"/>
  <c r="K9" i="1"/>
  <c r="M9" i="1"/>
  <c r="I10" i="1"/>
  <c r="K10" i="1"/>
  <c r="M10" i="1"/>
  <c r="I11" i="1"/>
  <c r="K11" i="1"/>
  <c r="M11" i="1"/>
  <c r="I12" i="1"/>
  <c r="K12" i="1"/>
  <c r="I13" i="1"/>
  <c r="K13" i="1"/>
  <c r="M13" i="1"/>
  <c r="O24" i="1"/>
  <c r="O16" i="1"/>
  <c r="O17" i="1"/>
  <c r="O18" i="1"/>
  <c r="O19" i="1"/>
  <c r="O20" i="1"/>
  <c r="O21" i="1"/>
  <c r="O23" i="1"/>
  <c r="O2" i="1"/>
  <c r="O6" i="1"/>
  <c r="O7" i="1"/>
  <c r="O10" i="1"/>
  <c r="O11" i="1"/>
  <c r="O28" i="1"/>
  <c r="O29" i="1"/>
  <c r="O30" i="1"/>
  <c r="O31" i="1"/>
  <c r="O32" i="1"/>
  <c r="O33" i="1"/>
  <c r="E17" i="1"/>
  <c r="G17" i="1"/>
  <c r="E18" i="1"/>
  <c r="G18" i="1"/>
  <c r="G19" i="1"/>
  <c r="E21" i="1"/>
  <c r="G21" i="1"/>
  <c r="E22" i="1"/>
  <c r="G22" i="1"/>
  <c r="E23" i="1"/>
  <c r="G23" i="1"/>
  <c r="E24" i="1"/>
  <c r="G24" i="1"/>
  <c r="E25" i="1"/>
  <c r="G25" i="1"/>
  <c r="E16" i="1"/>
  <c r="G16" i="1"/>
  <c r="E32" i="5"/>
  <c r="E31" i="5"/>
  <c r="E30" i="5"/>
  <c r="E29" i="5"/>
  <c r="E28" i="5"/>
  <c r="E27" i="5"/>
  <c r="E44" i="5"/>
  <c r="E43" i="5"/>
  <c r="E42" i="5"/>
  <c r="E41" i="5"/>
  <c r="E40" i="5"/>
  <c r="E39" i="5"/>
  <c r="E38" i="5"/>
  <c r="E37" i="5"/>
  <c r="E36" i="5"/>
  <c r="E35" i="5"/>
  <c r="E15" i="5"/>
  <c r="E14" i="5"/>
  <c r="H14" i="5"/>
  <c r="E11" i="5"/>
  <c r="E3" i="5"/>
  <c r="E19" i="5"/>
  <c r="N35" i="5"/>
  <c r="M18" i="5"/>
  <c r="M21" i="5"/>
  <c r="M23" i="5"/>
  <c r="H3" i="5"/>
  <c r="H21" i="5"/>
  <c r="H15" i="5"/>
  <c r="J14" i="5"/>
  <c r="J21" i="5"/>
  <c r="J23" i="5"/>
  <c r="K15" i="5"/>
  <c r="K21" i="5"/>
  <c r="K23" i="5"/>
  <c r="L21" i="5"/>
  <c r="L23" i="5"/>
  <c r="G3" i="5"/>
  <c r="G21" i="5"/>
  <c r="G23" i="5"/>
  <c r="E36" i="1"/>
  <c r="G36" i="1"/>
  <c r="K36" i="1"/>
  <c r="H23" i="5"/>
  <c r="M28" i="5"/>
  <c r="O12" i="1"/>
  <c r="M12" i="1"/>
  <c r="O8" i="1"/>
  <c r="M8" i="1"/>
  <c r="K38" i="1"/>
  <c r="E38" i="1"/>
  <c r="G38" i="1"/>
  <c r="O4" i="1"/>
  <c r="M4" i="1"/>
  <c r="M42" i="1"/>
  <c r="E37" i="1"/>
  <c r="G37" i="1"/>
  <c r="K37" i="1"/>
  <c r="O13" i="1"/>
  <c r="O9" i="1"/>
  <c r="O5" i="1"/>
  <c r="Q39" i="1"/>
  <c r="J14" i="7"/>
  <c r="J21" i="7"/>
  <c r="H15" i="8"/>
  <c r="M27" i="9"/>
  <c r="M38" i="1"/>
  <c r="O38" i="1"/>
  <c r="M27" i="8"/>
  <c r="M37" i="1"/>
  <c r="O37" i="1"/>
  <c r="M36" i="1"/>
  <c r="M39" i="1"/>
  <c r="O36" i="1"/>
  <c r="O43" i="1"/>
  <c r="M46" i="1"/>
  <c r="M47" i="1"/>
</calcChain>
</file>

<file path=xl/sharedStrings.xml><?xml version="1.0" encoding="utf-8"?>
<sst xmlns="http://schemas.openxmlformats.org/spreadsheetml/2006/main" count="1045" uniqueCount="379">
  <si>
    <t xml:space="preserve">L-Isoleucine </t>
  </si>
  <si>
    <t xml:space="preserve">L-Leucine </t>
  </si>
  <si>
    <t xml:space="preserve">L-Methionine </t>
  </si>
  <si>
    <t xml:space="preserve">L-Phenylalanine </t>
  </si>
  <si>
    <t xml:space="preserve">L-Threonine </t>
  </si>
  <si>
    <t xml:space="preserve">L-Tryptophan </t>
  </si>
  <si>
    <t xml:space="preserve">L-Tyrosine </t>
  </si>
  <si>
    <t xml:space="preserve">L-Valine </t>
  </si>
  <si>
    <t>Compound</t>
  </si>
  <si>
    <t>g/L</t>
  </si>
  <si>
    <t>Dextrose</t>
  </si>
  <si>
    <t>FW</t>
  </si>
  <si>
    <t>L-Glutamine</t>
  </si>
  <si>
    <t>D-Ribose</t>
  </si>
  <si>
    <t>Sodium pyruvate</t>
  </si>
  <si>
    <t>Oxaloacetic acid</t>
  </si>
  <si>
    <t>Sodium acetate</t>
  </si>
  <si>
    <t>AA fract</t>
  </si>
  <si>
    <t>Other fract</t>
  </si>
  <si>
    <t>FA fract</t>
  </si>
  <si>
    <t>Solution</t>
  </si>
  <si>
    <t>AA mix</t>
  </si>
  <si>
    <t>FA mix</t>
  </si>
  <si>
    <t>Sodium nitrate</t>
  </si>
  <si>
    <t>Sodium nitrite</t>
  </si>
  <si>
    <t>Ammonium chloride</t>
  </si>
  <si>
    <t>fract in solution</t>
  </si>
  <si>
    <t>NaCl</t>
  </si>
  <si>
    <t>Na2SO4</t>
  </si>
  <si>
    <t>KCl</t>
  </si>
  <si>
    <t>NaBr</t>
  </si>
  <si>
    <t>H3BO3</t>
  </si>
  <si>
    <t>SrCl2</t>
  </si>
  <si>
    <t>NaF</t>
  </si>
  <si>
    <t>CoCl2</t>
  </si>
  <si>
    <t>Na2MoO4</t>
  </si>
  <si>
    <t>Na2SeO3</t>
  </si>
  <si>
    <t>NiCl2</t>
  </si>
  <si>
    <t>NaHCO3</t>
  </si>
  <si>
    <t>500 nM</t>
  </si>
  <si>
    <t>4 nM</t>
  </si>
  <si>
    <t>800 nM</t>
  </si>
  <si>
    <t>425 nM</t>
  </si>
  <si>
    <t>60 nM</t>
  </si>
  <si>
    <t>B1/Thiamine</t>
  </si>
  <si>
    <t>B6/Pyridoxine</t>
  </si>
  <si>
    <t>B2/Riboflavin</t>
  </si>
  <si>
    <t>B7/Biotin</t>
  </si>
  <si>
    <t>B3/Niacin</t>
  </si>
  <si>
    <t>B5/Pantothenate</t>
  </si>
  <si>
    <t>B9/Folic Acid</t>
  </si>
  <si>
    <t>Myo-inositol</t>
  </si>
  <si>
    <t>4-Aminobenzoic Acid</t>
  </si>
  <si>
    <t>final M</t>
  </si>
  <si>
    <t>KH2PO4</t>
  </si>
  <si>
    <t>g/100 mL</t>
  </si>
  <si>
    <t>Na</t>
  </si>
  <si>
    <t>Cl</t>
  </si>
  <si>
    <t>K</t>
  </si>
  <si>
    <t>Mg</t>
  </si>
  <si>
    <t>Ca</t>
  </si>
  <si>
    <t>PO4</t>
  </si>
  <si>
    <t>SO4</t>
  </si>
  <si>
    <t>Br</t>
  </si>
  <si>
    <t>B</t>
  </si>
  <si>
    <t>Sr</t>
  </si>
  <si>
    <t>F</t>
  </si>
  <si>
    <t>Fe</t>
  </si>
  <si>
    <t>x fold conc</t>
  </si>
  <si>
    <t>Basic salts</t>
  </si>
  <si>
    <t>g/100mL</t>
  </si>
  <si>
    <t>2. Add 10 uL trace metals, and any carbon/nitrogen mixes you desire to basic salts</t>
  </si>
  <si>
    <t>make separately, filter sterilize</t>
  </si>
  <si>
    <t>Recipe</t>
  </si>
  <si>
    <t>Final component concentrations (M)</t>
  </si>
  <si>
    <t>Final component concentrations (readable)</t>
  </si>
  <si>
    <t>543 mM</t>
  </si>
  <si>
    <t>10 mM</t>
  </si>
  <si>
    <t>51 µM</t>
  </si>
  <si>
    <t>800 µM</t>
  </si>
  <si>
    <t>90 µM</t>
  </si>
  <si>
    <t>55 µM</t>
  </si>
  <si>
    <t>Mg/Ca stock (20x)</t>
  </si>
  <si>
    <t>1. Combine basic salts together in 950 mL</t>
  </si>
  <si>
    <t>4. Combine Mg/Ca stock ingredients together and autoclave</t>
  </si>
  <si>
    <t>5. Combine iron/NTA together and autoclave</t>
  </si>
  <si>
    <t>7. Dispense in laminar flow hood</t>
  </si>
  <si>
    <t>50 mL Mg/Ca stock</t>
  </si>
  <si>
    <t>479 mM</t>
  </si>
  <si>
    <t>52 mM</t>
  </si>
  <si>
    <t>30 mM</t>
  </si>
  <si>
    <t>NTA NA2 salt</t>
  </si>
  <si>
    <t>3. Autoclave in a 2L bottle with lid tight, let cool completely to room temperature</t>
  </si>
  <si>
    <t>6. In laminar flow hood, add to RT basic salts:</t>
  </si>
  <si>
    <t>Isobutyric Acid</t>
  </si>
  <si>
    <t>Butyric Acid</t>
  </si>
  <si>
    <t>Valeric Acid</t>
  </si>
  <si>
    <t>Urea</t>
  </si>
  <si>
    <t>0.7 nM</t>
  </si>
  <si>
    <t>B12</t>
  </si>
  <si>
    <t>0.4 M</t>
  </si>
  <si>
    <t>9 nM</t>
  </si>
  <si>
    <t>1 nM</t>
  </si>
  <si>
    <t>References:</t>
  </si>
  <si>
    <t>BS, Mg/Ca- Kester et al. 1967; Giovannoi &amp; Ulrich 2007</t>
  </si>
  <si>
    <t>TM/Vit- w/ modification from Carini et al., 2013; also see Moore et al. 2007</t>
  </si>
  <si>
    <t>Iron stock (1000x)</t>
  </si>
  <si>
    <t>345 nM</t>
  </si>
  <si>
    <t>101 nM</t>
  </si>
  <si>
    <t>P- Justic et al. 1995; Dagg et al. 2004</t>
  </si>
  <si>
    <t>M</t>
  </si>
  <si>
    <t>35nM</t>
  </si>
  <si>
    <t>Fe- Carini et al. 2013; Giovannoni &amp; Ulrich 2007</t>
  </si>
  <si>
    <t>1 mL iron/NTA</t>
  </si>
  <si>
    <t>MnCl2 x 4H2O</t>
  </si>
  <si>
    <t>MgCl2 x 6H2O</t>
  </si>
  <si>
    <t>CaCl2 x 2H2O</t>
  </si>
  <si>
    <t>FeSO4 x 7H2O</t>
  </si>
  <si>
    <t>421 µM</t>
  </si>
  <si>
    <t>mL/100 mL</t>
  </si>
  <si>
    <t>Final M</t>
  </si>
  <si>
    <t>Octanoic Acid</t>
  </si>
  <si>
    <t>Decanoic Acid</t>
  </si>
  <si>
    <t>EtOH</t>
  </si>
  <si>
    <t>Vitamins (100000x)</t>
  </si>
  <si>
    <t>Trace metals (100000x)</t>
  </si>
  <si>
    <t>ZnSO4 X H2O</t>
  </si>
  <si>
    <t>0.5 nM</t>
  </si>
  <si>
    <t>0.3 nM</t>
  </si>
  <si>
    <t>Misc C &amp; N mix</t>
  </si>
  <si>
    <t>Stock M</t>
  </si>
  <si>
    <t>Density</t>
  </si>
  <si>
    <t xml:space="preserve">L-Arginine x HCl </t>
  </si>
  <si>
    <t xml:space="preserve">L-Histidine x HCl x H2O </t>
  </si>
  <si>
    <t xml:space="preserve">L-Lysine x HCl </t>
  </si>
  <si>
    <t>C per molecule</t>
  </si>
  <si>
    <t xml:space="preserve">final M C </t>
  </si>
  <si>
    <t>N per molecule</t>
  </si>
  <si>
    <t>final M N</t>
  </si>
  <si>
    <t>Totals</t>
  </si>
  <si>
    <t>10 uL vitamins</t>
  </si>
  <si>
    <t>Misc C &amp; N mix (2000x)</t>
  </si>
  <si>
    <t>a-ketoglutaric acid</t>
  </si>
  <si>
    <t>Organic</t>
  </si>
  <si>
    <t>Inorganic</t>
  </si>
  <si>
    <t>FA mix (2000000x)</t>
  </si>
  <si>
    <t>Add (L/L)</t>
  </si>
  <si>
    <t>Inorganic N mix (2000x)</t>
  </si>
  <si>
    <t>Inorganic N mix</t>
  </si>
  <si>
    <t>C + N Refs: Dagg et al. 2004; Rabalais et al. 1996; our measurements</t>
  </si>
  <si>
    <t>µL/L</t>
  </si>
  <si>
    <t>0ther 10% is from Urea above.</t>
  </si>
  <si>
    <t>HCO3</t>
  </si>
  <si>
    <t>33 mL Mg/Ca stock</t>
  </si>
  <si>
    <t>1. Combine basic salts together in 967 mL</t>
  </si>
  <si>
    <t>404 mM</t>
  </si>
  <si>
    <t>7 mM</t>
  </si>
  <si>
    <t>35 mM</t>
  </si>
  <si>
    <t>20 mM</t>
  </si>
  <si>
    <t>500 µM</t>
  </si>
  <si>
    <t>280 µM</t>
  </si>
  <si>
    <t>60 µM</t>
  </si>
  <si>
    <t>323 mM</t>
  </si>
  <si>
    <t>48 µM</t>
  </si>
  <si>
    <t>24 µM</t>
  </si>
  <si>
    <t>1. Combine basic salts together in 983 mL</t>
  </si>
  <si>
    <t>17 mL Mg/Ca stock</t>
  </si>
  <si>
    <t>166 mM</t>
  </si>
  <si>
    <t>181 mM</t>
  </si>
  <si>
    <t>3 mM</t>
  </si>
  <si>
    <t>17 mM</t>
  </si>
  <si>
    <t>266 µM</t>
  </si>
  <si>
    <t>140 µM</t>
  </si>
  <si>
    <t>30 µM</t>
  </si>
  <si>
    <t>0.272 M</t>
  </si>
  <si>
    <t>6.6 mM</t>
  </si>
  <si>
    <t>534 µM</t>
  </si>
  <si>
    <t>0.136 M</t>
  </si>
  <si>
    <t>3.3 mM</t>
  </si>
  <si>
    <t>JW3 (~1/3 JW1- use for very mixed environments/brackish)</t>
  </si>
  <si>
    <t>JW2 (~2/3 JW1- use for estuarine environments)</t>
  </si>
  <si>
    <t>Salinity</t>
  </si>
  <si>
    <t>8.5 mL Mg/Ca stock</t>
  </si>
  <si>
    <t>1. Combine basic salts together in 991.5 mL</t>
  </si>
  <si>
    <t>JW4 (~1/2 JW3- use for almost freshwater environments)</t>
  </si>
  <si>
    <t>68 mM</t>
  </si>
  <si>
    <t>1.6 mM</t>
  </si>
  <si>
    <t>5 mM</t>
  </si>
  <si>
    <t>133 µM</t>
  </si>
  <si>
    <t>70 µM</t>
  </si>
  <si>
    <t>15 µM</t>
  </si>
  <si>
    <t>12 µM</t>
  </si>
  <si>
    <t>26 µM</t>
  </si>
  <si>
    <t>8.7 mM</t>
  </si>
  <si>
    <t>1.7 mM</t>
  </si>
  <si>
    <t>g/2L</t>
  </si>
  <si>
    <t>g/1L</t>
  </si>
  <si>
    <t>Final component concentrations (g/L)</t>
  </si>
  <si>
    <t>BS, Mg/Ca- Kester et al. 1967; Giovannoi &amp; Stingl 2007</t>
  </si>
  <si>
    <t>(as P only)</t>
  </si>
  <si>
    <t>(as S only)</t>
  </si>
  <si>
    <t>20 uL</t>
  </si>
  <si>
    <t>500 UL</t>
  </si>
  <si>
    <t>0.5 uL</t>
  </si>
  <si>
    <t>500 uL</t>
  </si>
  <si>
    <t>JW1 (from Thrash et al., 2015)</t>
  </si>
  <si>
    <t>Human readable</t>
  </si>
  <si>
    <t>Si</t>
  </si>
  <si>
    <t>MgCl2 x 6H20</t>
  </si>
  <si>
    <t>CaCl2 x 2H20</t>
  </si>
  <si>
    <t>Iron stock (500x)</t>
  </si>
  <si>
    <t>FeSO4 x 7H20</t>
  </si>
  <si>
    <t>420 µM</t>
  </si>
  <si>
    <t>200 nM</t>
  </si>
  <si>
    <t>71 µM</t>
  </si>
  <si>
    <t>Trace metals (100,000x)</t>
  </si>
  <si>
    <t>MnCl2</t>
  </si>
  <si>
    <t>ZnSO4</t>
  </si>
  <si>
    <t>Vitamin mix (10,000x)</t>
  </si>
  <si>
    <t>Vitamin B12</t>
  </si>
  <si>
    <t>700 pM</t>
  </si>
  <si>
    <t>100 uL vitamins</t>
  </si>
  <si>
    <t>2 mL iron/NTA</t>
  </si>
  <si>
    <t>JWAMPFe</t>
  </si>
  <si>
    <t>Fe/P- Carini et al. 2013; Giovannoni &amp; Stingl 2007</t>
  </si>
  <si>
    <t>LSUCC Isolate</t>
  </si>
  <si>
    <t>OTU</t>
  </si>
  <si>
    <t>Order</t>
  </si>
  <si>
    <t>Closest phylogenetic neighbor</t>
  </si>
  <si>
    <t>Rank Abundance at CJ</t>
  </si>
  <si>
    <t>Rank Abundance at ARD</t>
  </si>
  <si>
    <t>Rank Abundance at JLB</t>
  </si>
  <si>
    <t>Rank Abundance at FWC</t>
  </si>
  <si>
    <t>Rank Abundance at LB</t>
  </si>
  <si>
    <t>Rank Abundance at Tbon</t>
  </si>
  <si>
    <t>Rank Abundance at CJ2</t>
  </si>
  <si>
    <t>LSUCC0092, 0107, 0236, 0267</t>
  </si>
  <si>
    <t>OTU275</t>
  </si>
  <si>
    <t>Alphaproteobacteria</t>
  </si>
  <si>
    <t>Altererythrobacter</t>
  </si>
  <si>
    <t>IMCC5003</t>
  </si>
  <si>
    <t>LSUCC0109, 0240</t>
  </si>
  <si>
    <t>LSUCC0202, 0211, 0212</t>
  </si>
  <si>
    <t>OTU210</t>
  </si>
  <si>
    <t>unclassified Rhodobacteraceae</t>
  </si>
  <si>
    <t>LSUCC0147</t>
  </si>
  <si>
    <t>OTU3724</t>
  </si>
  <si>
    <t xml:space="preserve">Maricaulis maris </t>
  </si>
  <si>
    <t>LSUCC0143</t>
  </si>
  <si>
    <t>OTU45</t>
  </si>
  <si>
    <t xml:space="preserve">Rhoderbacter </t>
  </si>
  <si>
    <t>IMCC1702</t>
  </si>
  <si>
    <t>LSUCC0149</t>
  </si>
  <si>
    <t>OTU79082</t>
  </si>
  <si>
    <t>unclassified Rhodobacterales</t>
  </si>
  <si>
    <t>LSUCC0255, 0259, 0228</t>
  </si>
  <si>
    <t>OTU9</t>
  </si>
  <si>
    <t xml:space="preserve"> unclassified Rhodobacterales</t>
  </si>
  <si>
    <t>HIMB11</t>
  </si>
  <si>
    <t>LSUCC0246</t>
  </si>
  <si>
    <t>Maritimibacter</t>
  </si>
  <si>
    <t>LSUCC0261</t>
  </si>
  <si>
    <t>OTU65</t>
  </si>
  <si>
    <t>Pelagibacter sp.</t>
  </si>
  <si>
    <t>IMCC9063, HIMB114</t>
  </si>
  <si>
    <t>LSUCC0245</t>
  </si>
  <si>
    <t>OTU10</t>
  </si>
  <si>
    <t>HIMB59</t>
  </si>
  <si>
    <t>LSUCC0225, 0226</t>
  </si>
  <si>
    <t>OTU25</t>
  </si>
  <si>
    <t>Puniceispirillum marinum</t>
  </si>
  <si>
    <t>IMCC1322</t>
  </si>
  <si>
    <t>LSUCC0134</t>
  </si>
  <si>
    <t>OTU2144</t>
  </si>
  <si>
    <t>Paraperlucidibaca sp.</t>
  </si>
  <si>
    <t>LSUCC0244</t>
  </si>
  <si>
    <t>OTU3773</t>
  </si>
  <si>
    <t xml:space="preserve">Stappia sp. </t>
  </si>
  <si>
    <t>LSUCC0136, 0141</t>
  </si>
  <si>
    <t>OTU311</t>
  </si>
  <si>
    <t xml:space="preserve">Betaproteobacteria </t>
  </si>
  <si>
    <t xml:space="preserve">Hydrogenaphaga </t>
  </si>
  <si>
    <t>LSUCC0113, 0117, 0123</t>
  </si>
  <si>
    <t>OTU28</t>
  </si>
  <si>
    <t>unclassified Betaproteobacteria</t>
  </si>
  <si>
    <t>LSUCC0142, 0146, 0148</t>
  </si>
  <si>
    <t>OTU60</t>
  </si>
  <si>
    <t>Limnohabitans</t>
  </si>
  <si>
    <t>LSUCC0249, 0254</t>
  </si>
  <si>
    <t>OTU61</t>
  </si>
  <si>
    <t>LSUCC0115, 0118, 0156, 0229</t>
  </si>
  <si>
    <t>OTU8</t>
  </si>
  <si>
    <t>Bacterium MWH-UniP4</t>
  </si>
  <si>
    <t>LSUCC0227, 0268</t>
  </si>
  <si>
    <t>OTU7</t>
  </si>
  <si>
    <t>OM43</t>
  </si>
  <si>
    <t>HIMB624</t>
  </si>
  <si>
    <t>LSUCC0130, 0135</t>
  </si>
  <si>
    <t>OTU139</t>
  </si>
  <si>
    <t>Betaproteobacteria</t>
  </si>
  <si>
    <t>unclassified Methylophilaceae</t>
  </si>
  <si>
    <t>LSUCC0122</t>
  </si>
  <si>
    <t>OTU57</t>
  </si>
  <si>
    <t xml:space="preserve">unclassified Oxalobacteraceae </t>
  </si>
  <si>
    <t>HTCC302</t>
  </si>
  <si>
    <t>LSUCC0041, 0093, 0096, 0218, 0220, 0222, 0258, 0264, 0270, 0272</t>
  </si>
  <si>
    <t>OTU55</t>
  </si>
  <si>
    <t>Gammaproteobacteria</t>
  </si>
  <si>
    <t>OM252</t>
  </si>
  <si>
    <t>HIMB30</t>
  </si>
  <si>
    <t>LSUCC0101, 0231, 0238, 0243, 0271</t>
  </si>
  <si>
    <t>OTU229</t>
  </si>
  <si>
    <t>unclassifed Oceanospirillales</t>
  </si>
  <si>
    <t>IMCC14953</t>
  </si>
  <si>
    <t>LSUCC0110, 0112</t>
  </si>
  <si>
    <t>OTU246</t>
  </si>
  <si>
    <t>Unclassified Gammaproteobacteria</t>
  </si>
  <si>
    <t>LSUCC0140</t>
  </si>
  <si>
    <t>OTU594</t>
  </si>
  <si>
    <t> unclassified Halieaceae</t>
  </si>
  <si>
    <t>LSUCC0045</t>
  </si>
  <si>
    <t>OTU49</t>
  </si>
  <si>
    <t>HTCC2080 HTCC2223</t>
  </si>
  <si>
    <t>OTU116</t>
  </si>
  <si>
    <t>OM241</t>
  </si>
  <si>
    <t>LSUCC0247</t>
  </si>
  <si>
    <t>OTU15</t>
  </si>
  <si>
    <t>HTCC2149</t>
  </si>
  <si>
    <t>LSUCC0057</t>
  </si>
  <si>
    <t>OTU3852</t>
  </si>
  <si>
    <t>SAR92</t>
  </si>
  <si>
    <t>HTCC2290, HTCC2120, HTCC2121, HTCC2207</t>
  </si>
  <si>
    <t>LSUCC00077</t>
  </si>
  <si>
    <t>OTU718</t>
  </si>
  <si>
    <t>unclassified Porticoccaceae</t>
  </si>
  <si>
    <t>IMCC2136</t>
  </si>
  <si>
    <t>LSUCC0034, 0210</t>
  </si>
  <si>
    <t>OTU19683</t>
  </si>
  <si>
    <t>Pseudoalteromonas</t>
  </si>
  <si>
    <t>LSUCC0039</t>
  </si>
  <si>
    <t>OTU123</t>
  </si>
  <si>
    <t>LSUCC0184</t>
  </si>
  <si>
    <t>LSUCC0176, 0180, 183, 0185, 0192, 0196, 0197, 0201</t>
  </si>
  <si>
    <t>OTU48056</t>
  </si>
  <si>
    <t>LSUCC0172</t>
  </si>
  <si>
    <t>OTU47561</t>
  </si>
  <si>
    <t>LSUCC0175</t>
  </si>
  <si>
    <t>OTU555</t>
  </si>
  <si>
    <t xml:space="preserve">Alteromonas </t>
  </si>
  <si>
    <t>LSUCC0042</t>
  </si>
  <si>
    <t>OTU9131</t>
  </si>
  <si>
    <t>Actinobacteria</t>
  </si>
  <si>
    <t>Micrococcus</t>
  </si>
  <si>
    <t>LSUCC0193</t>
  </si>
  <si>
    <t>OTU1141</t>
  </si>
  <si>
    <t xml:space="preserve">Phycicoccus </t>
  </si>
  <si>
    <t>LSUCC0097</t>
  </si>
  <si>
    <t>High throughput cultivation closest representative</t>
  </si>
  <si>
    <t>--</t>
  </si>
  <si>
    <r>
      <rPr>
        <b/>
        <sz val="12"/>
        <color theme="1"/>
        <rFont val="Calibri"/>
        <family val="2"/>
        <scheme val="minor"/>
      </rPr>
      <t>Table S1.</t>
    </r>
    <r>
      <rPr>
        <sz val="12"/>
        <color theme="1"/>
        <rFont val="Calibri"/>
        <family val="2"/>
        <scheme val="minor"/>
      </rPr>
      <t xml:space="preserve"> Phylogeny-based LSUCC groups, their best blast hit OTUrep, their Order classification, their nearest IMCC, HIMB, or HTCC representative, their rank abundance at each site. Highlighted cells indicate samples from which these taxa were isolated. OTUs with no value were assigned based on sequences in prefilters which were not considered as part of this study. </t>
    </r>
  </si>
  <si>
    <t>Site</t>
  </si>
  <si>
    <r>
      <t>PO</t>
    </r>
    <r>
      <rPr>
        <b/>
        <vertAlign val="subscript"/>
        <sz val="10"/>
        <color rgb="FF000000"/>
        <rFont val="Helvetica"/>
      </rPr>
      <t>4</t>
    </r>
    <r>
      <rPr>
        <b/>
        <vertAlign val="superscript"/>
        <sz val="10"/>
        <color rgb="FF000000"/>
        <rFont val="Helvetica"/>
      </rPr>
      <t>3-</t>
    </r>
    <r>
      <rPr>
        <b/>
        <sz val="10"/>
        <color rgb="FF000000"/>
        <rFont val="Helvetica"/>
      </rPr>
      <t>(μM)</t>
    </r>
  </si>
  <si>
    <r>
      <t xml:space="preserve"> SiO</t>
    </r>
    <r>
      <rPr>
        <b/>
        <vertAlign val="subscript"/>
        <sz val="10"/>
        <color rgb="FF000000"/>
        <rFont val="Helvetica"/>
      </rPr>
      <t>4</t>
    </r>
    <r>
      <rPr>
        <b/>
        <sz val="10"/>
        <color rgb="FF000000"/>
        <rFont val="Helvetica"/>
      </rPr>
      <t xml:space="preserve"> (μM)</t>
    </r>
  </si>
  <si>
    <r>
      <t>NO</t>
    </r>
    <r>
      <rPr>
        <b/>
        <vertAlign val="subscript"/>
        <sz val="10"/>
        <color rgb="FF000000"/>
        <rFont val="Helvetica"/>
      </rPr>
      <t>3</t>
    </r>
    <r>
      <rPr>
        <b/>
        <vertAlign val="superscript"/>
        <sz val="10"/>
        <color rgb="FF000000"/>
        <rFont val="Helvetica"/>
      </rPr>
      <t>-</t>
    </r>
    <r>
      <rPr>
        <b/>
        <sz val="10"/>
        <color rgb="FF000000"/>
        <rFont val="Helvetica"/>
      </rPr>
      <t xml:space="preserve"> (μM)</t>
    </r>
  </si>
  <si>
    <r>
      <t>NO</t>
    </r>
    <r>
      <rPr>
        <b/>
        <vertAlign val="subscript"/>
        <sz val="10"/>
        <color rgb="FF000000"/>
        <rFont val="Helvetica"/>
      </rPr>
      <t>2</t>
    </r>
    <r>
      <rPr>
        <b/>
        <vertAlign val="superscript"/>
        <sz val="10"/>
        <color rgb="FF000000"/>
        <rFont val="Helvetica"/>
      </rPr>
      <t>-</t>
    </r>
    <r>
      <rPr>
        <b/>
        <sz val="10"/>
        <color rgb="FF000000"/>
        <rFont val="Helvetica"/>
      </rPr>
      <t>(μM)</t>
    </r>
  </si>
  <si>
    <r>
      <t>NH</t>
    </r>
    <r>
      <rPr>
        <b/>
        <vertAlign val="subscript"/>
        <sz val="10"/>
        <color rgb="FF000000"/>
        <rFont val="Helvetica"/>
      </rPr>
      <t>4</t>
    </r>
    <r>
      <rPr>
        <b/>
        <vertAlign val="superscript"/>
        <sz val="10"/>
        <color rgb="FF000000"/>
        <rFont val="Helvetica"/>
      </rPr>
      <t>+</t>
    </r>
    <r>
      <rPr>
        <b/>
        <sz val="10"/>
        <color rgb="FF000000"/>
        <rFont val="Helvetica"/>
      </rPr>
      <t xml:space="preserve"> (μM)</t>
    </r>
  </si>
  <si>
    <t>Lat.</t>
  </si>
  <si>
    <t>Long.</t>
  </si>
  <si>
    <t>CJ</t>
  </si>
  <si>
    <t>ARD</t>
  </si>
  <si>
    <t>JLB</t>
  </si>
  <si>
    <t>FWC</t>
  </si>
  <si>
    <t>LB</t>
  </si>
  <si>
    <t>TBON</t>
  </si>
  <si>
    <t>CJ2</t>
  </si>
  <si>
    <t xml:space="preserve">L-Cystine x 2HCl </t>
  </si>
  <si>
    <t>Sodium citrate x 2H2O</t>
  </si>
  <si>
    <t>disodium succinate</t>
  </si>
  <si>
    <t>AA mix (50000x)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</si>
</sst>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000000"/>
      <name val="Calibri"/>
      <scheme val="minor"/>
    </font>
    <font>
      <sz val="12"/>
      <color rgb="FFFF0000"/>
      <name val="Calibri"/>
      <family val="2"/>
      <scheme val="minor"/>
    </font>
    <font>
      <sz val="12"/>
      <color rgb="FF3366FF"/>
      <name val="Calibri"/>
      <scheme val="minor"/>
    </font>
    <font>
      <sz val="12"/>
      <name val="Calibri"/>
      <scheme val="minor"/>
    </font>
    <font>
      <b/>
      <sz val="12"/>
      <color rgb="FF000000"/>
      <name val="Calibri"/>
      <family val="2"/>
      <scheme val="minor"/>
    </font>
    <font>
      <b/>
      <sz val="10"/>
      <color rgb="FF000000"/>
      <name val="Helvetica"/>
    </font>
    <font>
      <b/>
      <vertAlign val="subscript"/>
      <sz val="10"/>
      <color rgb="FF000000"/>
      <name val="Helvetica"/>
    </font>
    <font>
      <b/>
      <vertAlign val="superscript"/>
      <sz val="10"/>
      <color rgb="FF000000"/>
      <name val="Helvetica"/>
    </font>
    <font>
      <sz val="10"/>
      <color rgb="FF000000"/>
      <name val="Helvetica"/>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rgb="FFFFFF0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s>
  <cellStyleXfs count="54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9">
    <xf numFmtId="0" fontId="0" fillId="0" borderId="0" xfId="0"/>
    <xf numFmtId="0" fontId="0" fillId="0" borderId="0" xfId="0" applyFont="1"/>
    <xf numFmtId="0" fontId="3" fillId="0" borderId="0" xfId="0" applyFont="1"/>
    <xf numFmtId="0" fontId="0" fillId="2" borderId="0" xfId="0" applyFill="1"/>
    <xf numFmtId="0" fontId="0" fillId="3" borderId="0" xfId="0" applyFill="1"/>
    <xf numFmtId="0" fontId="0" fillId="0" borderId="0" xfId="0" applyFill="1"/>
    <xf numFmtId="0" fontId="4" fillId="0" borderId="0" xfId="0" applyFont="1"/>
    <xf numFmtId="0" fontId="0" fillId="4" borderId="0" xfId="0" applyFill="1"/>
    <xf numFmtId="0" fontId="5" fillId="0" borderId="0" xfId="0" applyFont="1"/>
    <xf numFmtId="0" fontId="6" fillId="0" borderId="0" xfId="0" applyFont="1"/>
    <xf numFmtId="0" fontId="7" fillId="0" borderId="0" xfId="0" applyFont="1"/>
    <xf numFmtId="0" fontId="5" fillId="0" borderId="0" xfId="0" applyFont="1" applyFill="1"/>
    <xf numFmtId="0" fontId="0" fillId="2" borderId="0" xfId="0" applyNumberFormat="1" applyFill="1"/>
    <xf numFmtId="0" fontId="0" fillId="0" borderId="0" xfId="0" applyNumberFormat="1" applyFill="1" applyAlignment="1">
      <alignment horizontal="right"/>
    </xf>
    <xf numFmtId="0" fontId="4" fillId="0" borderId="0" xfId="0" applyFont="1" applyFill="1"/>
    <xf numFmtId="0" fontId="0" fillId="0" borderId="0" xfId="0" applyNumberFormat="1"/>
    <xf numFmtId="0" fontId="4" fillId="0" borderId="0" xfId="0" applyNumberFormat="1" applyFont="1"/>
    <xf numFmtId="0" fontId="8" fillId="0" borderId="0" xfId="0" applyFont="1"/>
    <xf numFmtId="0" fontId="3" fillId="0" borderId="0" xfId="0" applyFont="1" applyFill="1"/>
    <xf numFmtId="0" fontId="0" fillId="0" borderId="0" xfId="0" applyFont="1" applyFill="1"/>
    <xf numFmtId="164" fontId="0" fillId="0" borderId="0" xfId="0" applyNumberFormat="1" applyFont="1" applyFill="1"/>
    <xf numFmtId="11" fontId="3" fillId="0" borderId="0" xfId="0" applyNumberFormat="1" applyFont="1"/>
    <xf numFmtId="11" fontId="0" fillId="0" borderId="0" xfId="0" applyNumberFormat="1" applyFont="1"/>
    <xf numFmtId="0" fontId="4" fillId="0" borderId="1" xfId="0" applyFont="1" applyBorder="1"/>
    <xf numFmtId="0" fontId="0" fillId="0" borderId="1" xfId="0" applyFont="1" applyBorder="1"/>
    <xf numFmtId="0" fontId="6" fillId="0" borderId="0" xfId="0" applyFont="1" applyFill="1"/>
    <xf numFmtId="0" fontId="5" fillId="4" borderId="0" xfId="0" applyFont="1" applyFill="1"/>
    <xf numFmtId="164" fontId="0" fillId="0" borderId="0" xfId="0" applyNumberFormat="1" applyFont="1"/>
    <xf numFmtId="0" fontId="0" fillId="0" borderId="0" xfId="0" applyAlignment="1">
      <alignment horizontal="right"/>
    </xf>
    <xf numFmtId="49" fontId="0" fillId="0" borderId="0" xfId="0" applyNumberFormat="1" applyAlignment="1">
      <alignment horizontal="right"/>
    </xf>
    <xf numFmtId="0" fontId="3" fillId="0" borderId="2" xfId="0" applyFont="1" applyBorder="1" applyAlignment="1">
      <alignment horizontal="left"/>
    </xf>
    <xf numFmtId="49" fontId="3" fillId="0" borderId="2" xfId="0" applyNumberFormat="1" applyFont="1" applyBorder="1" applyAlignment="1">
      <alignment horizontal="left"/>
    </xf>
    <xf numFmtId="0" fontId="3" fillId="0" borderId="2" xfId="0" applyFont="1" applyBorder="1" applyAlignment="1">
      <alignment horizontal="left" wrapText="1"/>
    </xf>
    <xf numFmtId="0" fontId="3" fillId="0" borderId="2" xfId="0" applyFont="1" applyFill="1" applyBorder="1" applyAlignment="1">
      <alignment horizontal="center" wrapText="1"/>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0" fillId="0" borderId="2" xfId="0" applyBorder="1"/>
    <xf numFmtId="0" fontId="0" fillId="5" borderId="2" xfId="0" applyFill="1" applyBorder="1"/>
    <xf numFmtId="0" fontId="4" fillId="0" borderId="2" xfId="0" applyFont="1" applyBorder="1" applyAlignment="1">
      <alignment horizontal="left" vertical="center"/>
    </xf>
    <xf numFmtId="0" fontId="0" fillId="0" borderId="2" xfId="0" applyFont="1" applyFill="1" applyBorder="1" applyAlignment="1">
      <alignment horizontal="left" vertical="center"/>
    </xf>
    <xf numFmtId="0" fontId="0" fillId="0" borderId="2" xfId="0" applyFont="1" applyFill="1" applyBorder="1" applyAlignment="1">
      <alignment horizontal="left" wrapText="1"/>
    </xf>
    <xf numFmtId="0" fontId="0" fillId="0" borderId="2" xfId="0" applyBorder="1" applyAlignment="1">
      <alignment horizontal="left" wrapText="1"/>
    </xf>
    <xf numFmtId="0" fontId="4" fillId="0" borderId="2" xfId="0" applyFont="1" applyFill="1" applyBorder="1" applyAlignment="1">
      <alignment horizontal="left" vertical="center" wrapText="1"/>
    </xf>
    <xf numFmtId="0" fontId="0" fillId="0" borderId="2" xfId="0" applyFont="1" applyBorder="1" applyAlignment="1">
      <alignment horizontal="left" wrapText="1"/>
    </xf>
    <xf numFmtId="0" fontId="4" fillId="0" borderId="2" xfId="0" applyFont="1" applyBorder="1" applyAlignment="1">
      <alignment horizontal="left" vertical="center" wrapText="1"/>
    </xf>
    <xf numFmtId="0" fontId="0" fillId="0" borderId="2" xfId="0" quotePrefix="1" applyBorder="1"/>
    <xf numFmtId="0" fontId="0" fillId="5" borderId="2" xfId="0" quotePrefix="1" applyFill="1" applyBorder="1"/>
    <xf numFmtId="0" fontId="0" fillId="0" borderId="2" xfId="0" quotePrefix="1" applyFill="1" applyBorder="1"/>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12" fillId="0" borderId="5" xfId="0" applyFont="1" applyBorder="1" applyAlignment="1">
      <alignment vertical="center"/>
    </xf>
    <xf numFmtId="0" fontId="12" fillId="0" borderId="6" xfId="0" applyFont="1" applyBorder="1" applyAlignment="1">
      <alignment horizontal="right" vertical="center"/>
    </xf>
    <xf numFmtId="0" fontId="12" fillId="0" borderId="6" xfId="0" applyFont="1" applyBorder="1" applyAlignment="1">
      <alignment horizontal="center" vertical="center"/>
    </xf>
    <xf numFmtId="0" fontId="12" fillId="0" borderId="7"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0" fillId="0" borderId="1" xfId="0" applyBorder="1" applyAlignment="1">
      <alignment wrapText="1"/>
    </xf>
    <xf numFmtId="0" fontId="0" fillId="0" borderId="1" xfId="0" applyBorder="1" applyAlignment="1"/>
  </cellXfs>
  <cellStyles count="5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topLeftCell="A3" workbookViewId="0">
      <selection activeCell="A59" sqref="A59"/>
    </sheetView>
  </sheetViews>
  <sheetFormatPr baseColWidth="10" defaultColWidth="8.83203125" defaultRowHeight="15" x14ac:dyDescent="0"/>
  <cols>
    <col min="1" max="1" width="20.6640625" bestFit="1" customWidth="1"/>
    <col min="2" max="2" width="9" bestFit="1" customWidth="1"/>
    <col min="3" max="3" width="9.5" customWidth="1"/>
    <col min="4" max="4" width="10.5" customWidth="1"/>
    <col min="5" max="5" width="11.83203125" customWidth="1"/>
    <col min="7" max="7" width="9.33203125" bestFit="1" customWidth="1"/>
    <col min="8" max="8" width="9" bestFit="1" customWidth="1"/>
    <col min="9" max="9" width="12.1640625" bestFit="1" customWidth="1"/>
    <col min="10" max="11" width="9" bestFit="1" customWidth="1"/>
    <col min="12" max="12" width="12.33203125" bestFit="1" customWidth="1"/>
    <col min="13" max="13" width="10.5" customWidth="1"/>
    <col min="14" max="14" width="12.1640625" customWidth="1"/>
    <col min="15" max="16" width="9" bestFit="1" customWidth="1"/>
    <col min="17" max="17" width="9.33203125" bestFit="1" customWidth="1"/>
    <col min="18" max="18" width="10" customWidth="1"/>
  </cols>
  <sheetData>
    <row r="1" spans="1:20">
      <c r="A1" s="2" t="s">
        <v>205</v>
      </c>
    </row>
    <row r="2" spans="1:20">
      <c r="A2" t="s">
        <v>69</v>
      </c>
      <c r="B2" t="s">
        <v>11</v>
      </c>
      <c r="C2" t="s">
        <v>9</v>
      </c>
      <c r="D2" t="s">
        <v>68</v>
      </c>
      <c r="E2" t="s">
        <v>53</v>
      </c>
      <c r="F2" t="s">
        <v>206</v>
      </c>
      <c r="G2" s="10" t="s">
        <v>56</v>
      </c>
      <c r="H2" s="10" t="s">
        <v>57</v>
      </c>
      <c r="I2" s="10" t="s">
        <v>58</v>
      </c>
      <c r="J2" s="10" t="s">
        <v>59</v>
      </c>
      <c r="K2" s="10" t="s">
        <v>60</v>
      </c>
      <c r="L2" s="10" t="s">
        <v>61</v>
      </c>
      <c r="M2" s="10" t="s">
        <v>62</v>
      </c>
      <c r="N2" s="10" t="s">
        <v>63</v>
      </c>
      <c r="O2" s="10" t="s">
        <v>64</v>
      </c>
      <c r="P2" s="10" t="s">
        <v>65</v>
      </c>
      <c r="Q2" s="10" t="s">
        <v>66</v>
      </c>
      <c r="R2" s="10" t="s">
        <v>67</v>
      </c>
      <c r="S2" s="10" t="s">
        <v>152</v>
      </c>
    </row>
    <row r="3" spans="1:20">
      <c r="A3" s="3" t="s">
        <v>27</v>
      </c>
      <c r="B3" s="3">
        <v>58.442999999999998</v>
      </c>
      <c r="C3" s="3">
        <v>23.84</v>
      </c>
      <c r="D3" s="3"/>
      <c r="E3" s="3">
        <f>ROUND(C3/B3, 6)</f>
        <v>0.40791899999999998</v>
      </c>
      <c r="F3" s="3" t="s">
        <v>100</v>
      </c>
      <c r="G3" s="3">
        <f>E3</f>
        <v>0.40791899999999998</v>
      </c>
      <c r="H3" s="3">
        <f>E3</f>
        <v>0.40791899999999998</v>
      </c>
      <c r="I3" s="3"/>
      <c r="J3" s="3"/>
      <c r="K3" s="3"/>
      <c r="L3" s="3"/>
      <c r="M3" s="3"/>
      <c r="N3" s="3"/>
      <c r="O3" s="3"/>
      <c r="P3" s="3"/>
      <c r="Q3" s="3"/>
      <c r="R3" s="3"/>
      <c r="S3" s="3"/>
      <c r="T3" s="5"/>
    </row>
    <row r="4" spans="1:20">
      <c r="A4" s="3" t="s">
        <v>29</v>
      </c>
      <c r="B4" s="3">
        <v>74.55</v>
      </c>
      <c r="C4" s="3">
        <v>0.746</v>
      </c>
      <c r="D4" s="3"/>
      <c r="E4" s="3">
        <f t="shared" ref="E4:E11" si="0">ROUND(C4/B4, 6)</f>
        <v>1.0007E-2</v>
      </c>
      <c r="F4" s="3" t="s">
        <v>77</v>
      </c>
      <c r="G4" s="3"/>
      <c r="H4" s="3">
        <f>E4</f>
        <v>1.0007E-2</v>
      </c>
      <c r="I4" s="3">
        <f>E4</f>
        <v>1.0007E-2</v>
      </c>
      <c r="J4" s="3"/>
      <c r="K4" s="3"/>
      <c r="L4" s="3"/>
      <c r="M4" s="3"/>
      <c r="N4" s="3"/>
      <c r="O4" s="3"/>
      <c r="P4" s="3"/>
      <c r="Q4" s="3"/>
      <c r="R4" s="3"/>
      <c r="S4" s="3"/>
      <c r="T4" s="5"/>
    </row>
    <row r="5" spans="1:20">
      <c r="A5" s="3" t="s">
        <v>38</v>
      </c>
      <c r="B5" s="3">
        <v>84.01</v>
      </c>
      <c r="C5" s="3">
        <v>0.84</v>
      </c>
      <c r="D5" s="3"/>
      <c r="E5" s="3">
        <f t="shared" si="0"/>
        <v>9.9989999999999992E-3</v>
      </c>
      <c r="F5" s="3" t="s">
        <v>77</v>
      </c>
      <c r="G5" s="3">
        <f>E5</f>
        <v>9.9989999999999992E-3</v>
      </c>
      <c r="H5" s="3"/>
      <c r="I5" s="3"/>
      <c r="J5" s="3"/>
      <c r="K5" s="3"/>
      <c r="L5" s="3"/>
      <c r="M5" s="3"/>
      <c r="N5" s="3"/>
      <c r="O5" s="3"/>
      <c r="P5" s="3"/>
      <c r="Q5" s="3"/>
      <c r="R5" s="3"/>
      <c r="S5" s="3">
        <f>E5</f>
        <v>9.9989999999999992E-3</v>
      </c>
      <c r="T5" s="5"/>
    </row>
    <row r="6" spans="1:20">
      <c r="A6" s="3" t="s">
        <v>28</v>
      </c>
      <c r="B6" s="3">
        <v>142.04</v>
      </c>
      <c r="C6" s="3">
        <v>4.2699999999999996</v>
      </c>
      <c r="D6" s="3"/>
      <c r="E6" s="3">
        <f t="shared" si="0"/>
        <v>3.0061999999999998E-2</v>
      </c>
      <c r="F6" s="3" t="s">
        <v>90</v>
      </c>
      <c r="G6" s="3">
        <f>E6*2</f>
        <v>6.0123999999999997E-2</v>
      </c>
      <c r="H6" s="3"/>
      <c r="I6" s="3"/>
      <c r="J6" s="3"/>
      <c r="K6" s="3"/>
      <c r="L6" s="3"/>
      <c r="M6" s="3">
        <f>E6</f>
        <v>3.0061999999999998E-2</v>
      </c>
      <c r="N6" s="3"/>
      <c r="O6" s="3"/>
      <c r="P6" s="3"/>
      <c r="Q6" s="3"/>
      <c r="R6" s="3"/>
      <c r="S6" s="3"/>
      <c r="T6" s="5"/>
    </row>
    <row r="7" spans="1:20">
      <c r="A7" s="3" t="s">
        <v>30</v>
      </c>
      <c r="B7" s="3">
        <v>102.89</v>
      </c>
      <c r="C7" s="3">
        <v>8.2299999999999998E-2</v>
      </c>
      <c r="D7" s="3"/>
      <c r="E7" s="3">
        <f t="shared" si="0"/>
        <v>8.0000000000000004E-4</v>
      </c>
      <c r="F7" s="3" t="s">
        <v>79</v>
      </c>
      <c r="G7" s="3">
        <f>E7</f>
        <v>8.0000000000000004E-4</v>
      </c>
      <c r="H7" s="3"/>
      <c r="I7" s="3"/>
      <c r="J7" s="3"/>
      <c r="K7" s="3"/>
      <c r="L7" s="3"/>
      <c r="M7" s="3"/>
      <c r="N7" s="3">
        <f>E7</f>
        <v>8.0000000000000004E-4</v>
      </c>
      <c r="O7" s="3"/>
      <c r="P7" s="3"/>
      <c r="Q7" s="3"/>
      <c r="R7" s="3"/>
      <c r="S7" s="3"/>
    </row>
    <row r="8" spans="1:20">
      <c r="A8" s="3" t="s">
        <v>31</v>
      </c>
      <c r="B8" s="3">
        <v>61.83</v>
      </c>
      <c r="C8" s="3">
        <v>2.5999999999999999E-2</v>
      </c>
      <c r="D8" s="3"/>
      <c r="E8" s="3">
        <f t="shared" si="0"/>
        <v>4.2099999999999999E-4</v>
      </c>
      <c r="F8" s="3" t="s">
        <v>118</v>
      </c>
      <c r="G8" s="3"/>
      <c r="H8" s="3"/>
      <c r="I8" s="3"/>
      <c r="J8" s="3"/>
      <c r="K8" s="3"/>
      <c r="L8" s="3"/>
      <c r="M8" s="3"/>
      <c r="N8" s="3"/>
      <c r="O8" s="3">
        <f>E8</f>
        <v>4.2099999999999999E-4</v>
      </c>
      <c r="P8" s="3"/>
      <c r="Q8" s="3"/>
      <c r="R8" s="3"/>
      <c r="S8" s="3"/>
      <c r="T8" s="5"/>
    </row>
    <row r="9" spans="1:20">
      <c r="A9" s="3" t="s">
        <v>32</v>
      </c>
      <c r="B9" s="3">
        <v>158.53</v>
      </c>
      <c r="C9" s="3">
        <v>1.4200000000000001E-2</v>
      </c>
      <c r="D9" s="3"/>
      <c r="E9" s="3">
        <f t="shared" si="0"/>
        <v>9.0000000000000006E-5</v>
      </c>
      <c r="F9" s="3" t="s">
        <v>80</v>
      </c>
      <c r="G9" s="3"/>
      <c r="H9" s="3">
        <f>E9</f>
        <v>9.0000000000000006E-5</v>
      </c>
      <c r="I9" s="3"/>
      <c r="J9" s="3"/>
      <c r="K9" s="3"/>
      <c r="L9" s="3"/>
      <c r="M9" s="3"/>
      <c r="N9" s="3"/>
      <c r="O9" s="3"/>
      <c r="P9" s="3">
        <f>E9</f>
        <v>9.0000000000000006E-5</v>
      </c>
      <c r="Q9" s="3"/>
      <c r="R9" s="3"/>
      <c r="S9" s="3"/>
      <c r="T9" s="5"/>
    </row>
    <row r="10" spans="1:20">
      <c r="A10" s="3" t="s">
        <v>33</v>
      </c>
      <c r="B10" s="3">
        <v>41.99</v>
      </c>
      <c r="C10" s="3">
        <v>2.3E-3</v>
      </c>
      <c r="D10" s="3"/>
      <c r="E10" s="3">
        <f t="shared" si="0"/>
        <v>5.5000000000000002E-5</v>
      </c>
      <c r="F10" s="3" t="s">
        <v>81</v>
      </c>
      <c r="G10" s="3">
        <f>E10</f>
        <v>5.5000000000000002E-5</v>
      </c>
      <c r="H10" s="3"/>
      <c r="I10" s="3"/>
      <c r="J10" s="3"/>
      <c r="K10" s="3"/>
      <c r="L10" s="3"/>
      <c r="M10" s="3"/>
      <c r="N10" s="3"/>
      <c r="O10" s="3"/>
      <c r="P10" s="3"/>
      <c r="Q10" s="3">
        <f>E10</f>
        <v>5.5000000000000002E-5</v>
      </c>
      <c r="R10" s="3"/>
      <c r="S10" s="3"/>
      <c r="T10" s="5"/>
    </row>
    <row r="11" spans="1:20">
      <c r="A11" s="3" t="s">
        <v>54</v>
      </c>
      <c r="B11" s="3">
        <v>136.09</v>
      </c>
      <c r="C11" s="3">
        <v>7.0000000000000001E-3</v>
      </c>
      <c r="D11" s="3"/>
      <c r="E11" s="3">
        <f t="shared" si="0"/>
        <v>5.1E-5</v>
      </c>
      <c r="F11" s="3" t="s">
        <v>78</v>
      </c>
      <c r="G11" s="3"/>
      <c r="H11" s="3"/>
      <c r="I11" s="3"/>
      <c r="J11" s="3"/>
      <c r="K11" s="3"/>
      <c r="L11" s="12">
        <v>5.1E-5</v>
      </c>
      <c r="M11" s="3"/>
      <c r="N11" s="3"/>
      <c r="O11" s="3"/>
      <c r="P11" s="3"/>
      <c r="Q11" s="3"/>
      <c r="R11" s="3"/>
      <c r="S11" s="3"/>
    </row>
    <row r="12" spans="1:20">
      <c r="A12" s="5"/>
      <c r="B12" s="5"/>
    </row>
    <row r="13" spans="1:20">
      <c r="A13" s="5" t="s">
        <v>82</v>
      </c>
      <c r="C13" t="s">
        <v>55</v>
      </c>
    </row>
    <row r="14" spans="1:20">
      <c r="A14" s="4" t="s">
        <v>115</v>
      </c>
      <c r="B14" s="4">
        <v>203.3</v>
      </c>
      <c r="C14" s="4">
        <v>21.2</v>
      </c>
      <c r="D14" s="4">
        <v>20</v>
      </c>
      <c r="E14" s="4">
        <f>ROUND(((C14/B14)*10)/D14, 6)</f>
        <v>5.2139999999999999E-2</v>
      </c>
      <c r="F14" s="4" t="s">
        <v>89</v>
      </c>
      <c r="G14" s="4"/>
      <c r="H14" s="4">
        <f>E14*2</f>
        <v>0.10428</v>
      </c>
      <c r="I14" s="4"/>
      <c r="J14" s="4">
        <f>E14</f>
        <v>5.2139999999999999E-2</v>
      </c>
      <c r="K14" s="4"/>
      <c r="L14" s="4"/>
      <c r="M14" s="4"/>
      <c r="N14" s="4"/>
      <c r="O14" s="4"/>
      <c r="P14" s="4"/>
      <c r="Q14" s="4"/>
      <c r="R14" s="4"/>
      <c r="S14" s="4"/>
      <c r="T14" s="5"/>
    </row>
    <row r="15" spans="1:20">
      <c r="A15" s="4" t="s">
        <v>116</v>
      </c>
      <c r="B15" s="4">
        <v>147.01</v>
      </c>
      <c r="C15" s="4">
        <v>3.04</v>
      </c>
      <c r="D15" s="4">
        <v>20</v>
      </c>
      <c r="E15" s="4">
        <f>ROUND(((C15/B15)*10)/D15, 6)</f>
        <v>1.0338999999999999E-2</v>
      </c>
      <c r="F15" s="4" t="s">
        <v>77</v>
      </c>
      <c r="G15" s="4"/>
      <c r="H15" s="4">
        <f>E15*2</f>
        <v>2.0677999999999998E-2</v>
      </c>
      <c r="I15" s="4"/>
      <c r="J15" s="4"/>
      <c r="K15" s="4">
        <f>E15</f>
        <v>1.0338999999999999E-2</v>
      </c>
      <c r="L15" s="4"/>
      <c r="M15" s="4"/>
      <c r="N15" s="4"/>
      <c r="O15" s="4"/>
      <c r="P15" s="4"/>
      <c r="Q15" s="4"/>
      <c r="R15" s="4"/>
      <c r="S15" s="4"/>
      <c r="T15" s="5"/>
    </row>
    <row r="16" spans="1:20" s="5" customFormat="1"/>
    <row r="17" spans="1:21">
      <c r="A17" t="s">
        <v>106</v>
      </c>
      <c r="C17" t="s">
        <v>70</v>
      </c>
      <c r="F17" s="5"/>
      <c r="G17" s="5"/>
      <c r="H17" s="5"/>
      <c r="I17" s="5"/>
      <c r="J17" s="5"/>
      <c r="K17" s="5"/>
      <c r="L17" s="5"/>
      <c r="M17" s="5"/>
      <c r="N17" s="5"/>
      <c r="O17" s="5"/>
      <c r="P17" s="5"/>
      <c r="Q17" s="5"/>
      <c r="R17" s="5"/>
      <c r="S17" s="5"/>
      <c r="T17" s="5"/>
    </row>
    <row r="18" spans="1:21">
      <c r="A18" s="7" t="s">
        <v>117</v>
      </c>
      <c r="B18" s="7">
        <v>278.01</v>
      </c>
      <c r="C18" s="7">
        <v>2.8E-3</v>
      </c>
      <c r="D18" s="7">
        <v>1000</v>
      </c>
      <c r="E18" s="7">
        <f>((C18/B18)*10)/D18</f>
        <v>1.0071580158987087E-7</v>
      </c>
      <c r="F18" s="7" t="s">
        <v>108</v>
      </c>
      <c r="G18" s="7"/>
      <c r="H18" s="7"/>
      <c r="I18" s="7"/>
      <c r="J18" s="7"/>
      <c r="K18" s="7"/>
      <c r="L18" s="7"/>
      <c r="M18" s="7">
        <f>E18</f>
        <v>1.0071580158987087E-7</v>
      </c>
      <c r="N18" s="7"/>
      <c r="O18" s="7"/>
      <c r="P18" s="7"/>
      <c r="Q18" s="7"/>
      <c r="R18" s="7">
        <f>E18</f>
        <v>1.0071580158987087E-7</v>
      </c>
      <c r="S18" s="7"/>
      <c r="T18" s="5"/>
    </row>
    <row r="19" spans="1:21">
      <c r="A19" s="7" t="s">
        <v>91</v>
      </c>
      <c r="B19" s="7">
        <v>235.1</v>
      </c>
      <c r="C19" s="7">
        <v>8.0999999999999996E-3</v>
      </c>
      <c r="D19" s="7">
        <v>1000</v>
      </c>
      <c r="E19" s="7">
        <f>((C19/B19)*10)/D19</f>
        <v>3.4453424074861757E-7</v>
      </c>
      <c r="F19" s="7" t="s">
        <v>107</v>
      </c>
      <c r="G19" s="7"/>
      <c r="H19" s="7"/>
      <c r="I19" s="7"/>
      <c r="J19" s="7"/>
      <c r="K19" s="7"/>
      <c r="L19" s="7"/>
      <c r="M19" s="7"/>
      <c r="N19" s="7"/>
      <c r="O19" s="7"/>
      <c r="P19" s="7"/>
      <c r="Q19" s="7"/>
      <c r="R19" s="7"/>
      <c r="S19" s="26"/>
      <c r="T19" s="11"/>
      <c r="U19" s="8"/>
    </row>
    <row r="20" spans="1:21">
      <c r="G20" s="9" t="s">
        <v>56</v>
      </c>
      <c r="H20" s="9" t="s">
        <v>57</v>
      </c>
      <c r="I20" s="9" t="s">
        <v>58</v>
      </c>
      <c r="J20" s="9" t="s">
        <v>59</v>
      </c>
      <c r="K20" s="9" t="s">
        <v>60</v>
      </c>
      <c r="L20" s="9" t="s">
        <v>61</v>
      </c>
      <c r="M20" s="9" t="s">
        <v>62</v>
      </c>
      <c r="N20" s="9" t="s">
        <v>63</v>
      </c>
      <c r="O20" s="9" t="s">
        <v>64</v>
      </c>
      <c r="P20" s="9" t="s">
        <v>65</v>
      </c>
      <c r="Q20" s="9" t="s">
        <v>66</v>
      </c>
      <c r="R20" s="9" t="s">
        <v>67</v>
      </c>
      <c r="S20" s="25" t="s">
        <v>152</v>
      </c>
      <c r="T20" s="11"/>
      <c r="U20" s="8"/>
    </row>
    <row r="21" spans="1:21">
      <c r="A21" s="9" t="s">
        <v>74</v>
      </c>
      <c r="B21" s="9"/>
      <c r="C21" s="9"/>
      <c r="D21" s="9"/>
      <c r="E21" s="9"/>
      <c r="F21" s="9"/>
      <c r="G21" s="9">
        <f t="shared" ref="G21:Q21" si="1">SUM(G3:G18)</f>
        <v>0.47889700000000002</v>
      </c>
      <c r="H21" s="9">
        <f t="shared" si="1"/>
        <v>0.54297399999999996</v>
      </c>
      <c r="I21" s="9">
        <f t="shared" si="1"/>
        <v>1.0007E-2</v>
      </c>
      <c r="J21" s="9">
        <f t="shared" si="1"/>
        <v>5.2139999999999999E-2</v>
      </c>
      <c r="K21" s="9">
        <f t="shared" si="1"/>
        <v>1.0338999999999999E-2</v>
      </c>
      <c r="L21" s="9">
        <f t="shared" si="1"/>
        <v>5.1E-5</v>
      </c>
      <c r="M21" s="9">
        <f t="shared" si="1"/>
        <v>3.0062100715801589E-2</v>
      </c>
      <c r="N21" s="9">
        <f t="shared" si="1"/>
        <v>8.0000000000000004E-4</v>
      </c>
      <c r="O21" s="9">
        <f t="shared" si="1"/>
        <v>4.2099999999999999E-4</v>
      </c>
      <c r="P21" s="9">
        <f t="shared" si="1"/>
        <v>9.0000000000000006E-5</v>
      </c>
      <c r="Q21" s="9">
        <f t="shared" si="1"/>
        <v>5.5000000000000002E-5</v>
      </c>
      <c r="R21" s="9">
        <f>SUM(R3:R18)</f>
        <v>1.0071580158987087E-7</v>
      </c>
      <c r="S21" s="9">
        <f>SUM(S3:S19)</f>
        <v>9.9989999999999992E-3</v>
      </c>
    </row>
    <row r="22" spans="1:21">
      <c r="A22" s="9" t="s">
        <v>75</v>
      </c>
      <c r="B22" s="9"/>
      <c r="C22" s="9"/>
      <c r="D22" s="9"/>
      <c r="E22" s="9"/>
      <c r="F22" s="9"/>
      <c r="G22" s="9" t="s">
        <v>88</v>
      </c>
      <c r="H22" s="9" t="s">
        <v>76</v>
      </c>
      <c r="I22" s="9" t="s">
        <v>77</v>
      </c>
      <c r="J22" s="9" t="s">
        <v>89</v>
      </c>
      <c r="K22" s="9" t="s">
        <v>77</v>
      </c>
      <c r="L22" s="9" t="s">
        <v>78</v>
      </c>
      <c r="M22" s="9" t="s">
        <v>90</v>
      </c>
      <c r="N22" s="9" t="s">
        <v>79</v>
      </c>
      <c r="O22" s="9" t="s">
        <v>118</v>
      </c>
      <c r="P22" s="9" t="s">
        <v>80</v>
      </c>
      <c r="Q22" s="9" t="s">
        <v>81</v>
      </c>
      <c r="R22" s="9" t="s">
        <v>108</v>
      </c>
      <c r="S22" s="9" t="s">
        <v>77</v>
      </c>
    </row>
    <row r="23" spans="1:21">
      <c r="A23" t="s">
        <v>197</v>
      </c>
      <c r="G23">
        <f>G21*22.99</f>
        <v>11.00984203</v>
      </c>
      <c r="H23">
        <f>H21*35.45</f>
        <v>19.2484283</v>
      </c>
      <c r="I23">
        <f>I21*39.1</f>
        <v>0.3912737</v>
      </c>
      <c r="J23">
        <f>J21*24.3</f>
        <v>1.267002</v>
      </c>
      <c r="K23">
        <f>K21*40.08</f>
        <v>0.41438711999999994</v>
      </c>
      <c r="L23">
        <f>L21*30.97</f>
        <v>1.5794699999999999E-3</v>
      </c>
      <c r="M23">
        <f>M21*32.06</f>
        <v>0.96379094894859907</v>
      </c>
      <c r="N23">
        <f>N21*79.9</f>
        <v>6.3920000000000005E-2</v>
      </c>
      <c r="O23">
        <f>O21*10.81</f>
        <v>4.5510100000000003E-3</v>
      </c>
      <c r="P23">
        <f>P21*87.62</f>
        <v>7.8858000000000001E-3</v>
      </c>
      <c r="Q23">
        <f>Q21*18.998</f>
        <v>1.0448900000000001E-3</v>
      </c>
      <c r="R23">
        <f>R21*55.85</f>
        <v>5.6249775187942877E-6</v>
      </c>
      <c r="S23" s="5"/>
      <c r="T23" s="5"/>
    </row>
    <row r="24" spans="1:21">
      <c r="L24" t="s">
        <v>199</v>
      </c>
      <c r="M24" t="s">
        <v>200</v>
      </c>
      <c r="S24" s="5"/>
      <c r="T24" s="5"/>
    </row>
    <row r="25" spans="1:21">
      <c r="S25" s="5"/>
      <c r="T25" s="5"/>
    </row>
    <row r="26" spans="1:21">
      <c r="A26" s="18" t="s">
        <v>125</v>
      </c>
      <c r="B26" s="19" t="s">
        <v>11</v>
      </c>
      <c r="C26" s="19" t="s">
        <v>55</v>
      </c>
      <c r="D26" s="5"/>
      <c r="E26" s="5"/>
      <c r="F26" s="13"/>
      <c r="G26" t="s">
        <v>72</v>
      </c>
    </row>
    <row r="27" spans="1:21">
      <c r="A27" s="19" t="s">
        <v>114</v>
      </c>
      <c r="B27" s="19">
        <v>197.91</v>
      </c>
      <c r="C27" s="20">
        <v>1.7999999999999999E-2</v>
      </c>
      <c r="D27" s="5">
        <v>100000</v>
      </c>
      <c r="E27" s="5">
        <f t="shared" ref="E27:E32" si="2">((C27/B27)*10)/D27</f>
        <v>9.0950432014552062E-9</v>
      </c>
      <c r="F27" s="13" t="s">
        <v>101</v>
      </c>
    </row>
    <row r="28" spans="1:21">
      <c r="A28" s="19" t="s">
        <v>126</v>
      </c>
      <c r="B28" s="19">
        <v>179.47</v>
      </c>
      <c r="C28" s="20">
        <v>2E-3</v>
      </c>
      <c r="D28" s="5">
        <v>100000</v>
      </c>
      <c r="E28" s="5">
        <f t="shared" si="2"/>
        <v>1.1143923775561374E-9</v>
      </c>
      <c r="F28" s="13" t="s">
        <v>102</v>
      </c>
      <c r="K28" s="5"/>
      <c r="L28" s="5" t="s">
        <v>181</v>
      </c>
      <c r="M28" s="5">
        <f>(H21*35.5)*1.803</f>
        <v>34.753865330999993</v>
      </c>
    </row>
    <row r="29" spans="1:21">
      <c r="A29" s="19" t="s">
        <v>34</v>
      </c>
      <c r="B29" s="19">
        <v>129.839</v>
      </c>
      <c r="C29" s="20">
        <v>6.4919499999999998E-4</v>
      </c>
      <c r="D29" s="5">
        <v>100000</v>
      </c>
      <c r="E29" s="5">
        <f t="shared" si="2"/>
        <v>4.9999999999999993E-10</v>
      </c>
      <c r="F29" s="13" t="s">
        <v>127</v>
      </c>
      <c r="K29" s="5"/>
      <c r="L29" s="5"/>
      <c r="M29" s="5"/>
    </row>
    <row r="30" spans="1:21">
      <c r="A30" s="19" t="s">
        <v>35</v>
      </c>
      <c r="B30" s="19">
        <v>205.92</v>
      </c>
      <c r="C30" s="20">
        <v>6.5693999999999995E-4</v>
      </c>
      <c r="D30" s="5">
        <v>100000</v>
      </c>
      <c r="E30" s="5">
        <f t="shared" si="2"/>
        <v>3.1902680652680648E-10</v>
      </c>
      <c r="F30" s="13" t="s">
        <v>128</v>
      </c>
      <c r="K30" s="5"/>
      <c r="L30" s="5"/>
      <c r="M30" s="5"/>
    </row>
    <row r="31" spans="1:21">
      <c r="A31" s="19" t="s">
        <v>36</v>
      </c>
      <c r="B31" s="19">
        <v>172.94</v>
      </c>
      <c r="C31" s="20">
        <v>1.7294000000000001E-3</v>
      </c>
      <c r="D31" s="5">
        <v>100000</v>
      </c>
      <c r="E31" s="5">
        <f t="shared" si="2"/>
        <v>1.0000000000000001E-9</v>
      </c>
      <c r="F31" s="13" t="s">
        <v>102</v>
      </c>
      <c r="K31" s="5"/>
      <c r="L31" s="5"/>
      <c r="M31" s="5"/>
    </row>
    <row r="32" spans="1:21">
      <c r="A32" s="19" t="s">
        <v>37</v>
      </c>
      <c r="B32" s="19">
        <v>129.5994</v>
      </c>
      <c r="C32" s="20">
        <v>1.2959940000000002E-3</v>
      </c>
      <c r="D32" s="5">
        <v>100000</v>
      </c>
      <c r="E32" s="5">
        <f t="shared" si="2"/>
        <v>1.0000000000000001E-9</v>
      </c>
      <c r="F32" s="13" t="s">
        <v>102</v>
      </c>
      <c r="K32" s="5"/>
      <c r="L32" s="5"/>
      <c r="M32" s="5"/>
    </row>
    <row r="33" spans="1:14">
      <c r="E33" s="5"/>
    </row>
    <row r="34" spans="1:14">
      <c r="A34" s="18" t="s">
        <v>124</v>
      </c>
      <c r="B34" s="5" t="s">
        <v>11</v>
      </c>
      <c r="C34" s="5" t="s">
        <v>55</v>
      </c>
      <c r="D34" s="5"/>
      <c r="E34" s="5"/>
      <c r="F34" s="13"/>
      <c r="G34" t="s">
        <v>72</v>
      </c>
      <c r="L34" t="s">
        <v>11</v>
      </c>
      <c r="M34" t="s">
        <v>9</v>
      </c>
      <c r="N34" t="s">
        <v>110</v>
      </c>
    </row>
    <row r="35" spans="1:14">
      <c r="A35" s="5" t="s">
        <v>44</v>
      </c>
      <c r="B35" s="5">
        <v>337.27</v>
      </c>
      <c r="C35" s="5">
        <v>1.69</v>
      </c>
      <c r="D35" s="14">
        <v>100000</v>
      </c>
      <c r="E35" s="5">
        <f t="shared" ref="E35:E44" si="3">((C35/B35)*10)/D35</f>
        <v>5.0108221899368456E-7</v>
      </c>
      <c r="F35" s="13" t="s">
        <v>39</v>
      </c>
      <c r="L35" s="7">
        <v>278.01</v>
      </c>
      <c r="M35">
        <v>1.0000000000000001E-5</v>
      </c>
      <c r="N35" s="15">
        <f>M35/L35</f>
        <v>3.5969929139239601E-8</v>
      </c>
    </row>
    <row r="36" spans="1:14">
      <c r="A36" s="5" t="s">
        <v>46</v>
      </c>
      <c r="B36" s="5">
        <v>376.36</v>
      </c>
      <c r="C36" s="5">
        <v>2.5999999999999999E-3</v>
      </c>
      <c r="D36" s="14">
        <v>100000</v>
      </c>
      <c r="E36" s="5">
        <f t="shared" si="3"/>
        <v>6.9082793070464442E-10</v>
      </c>
      <c r="F36" s="13" t="s">
        <v>98</v>
      </c>
      <c r="N36">
        <v>3.5899999999999997E-8</v>
      </c>
    </row>
    <row r="37" spans="1:14">
      <c r="A37" s="5" t="s">
        <v>48</v>
      </c>
      <c r="B37" s="5">
        <v>123.12</v>
      </c>
      <c r="C37" s="5">
        <v>0.98499999999999999</v>
      </c>
      <c r="D37" s="14">
        <v>100000</v>
      </c>
      <c r="E37" s="5">
        <f t="shared" si="3"/>
        <v>8.0003248862897974E-7</v>
      </c>
      <c r="F37" s="13" t="s">
        <v>41</v>
      </c>
      <c r="N37" t="s">
        <v>111</v>
      </c>
    </row>
    <row r="38" spans="1:14">
      <c r="A38" s="5" t="s">
        <v>49</v>
      </c>
      <c r="B38" s="5">
        <v>238.27</v>
      </c>
      <c r="C38" s="5">
        <v>1.0129999999999999</v>
      </c>
      <c r="D38" s="14">
        <v>100000</v>
      </c>
      <c r="E38" s="5">
        <f t="shared" si="3"/>
        <v>4.2514794141100433E-7</v>
      </c>
      <c r="F38" s="13" t="s">
        <v>42</v>
      </c>
    </row>
    <row r="39" spans="1:14">
      <c r="A39" s="5" t="s">
        <v>45</v>
      </c>
      <c r="B39" s="5">
        <v>205.64</v>
      </c>
      <c r="C39" s="5">
        <v>1.028</v>
      </c>
      <c r="D39" s="14">
        <v>100000</v>
      </c>
      <c r="E39" s="5">
        <f t="shared" si="3"/>
        <v>4.9990274265707063E-7</v>
      </c>
      <c r="F39" s="13" t="s">
        <v>39</v>
      </c>
    </row>
    <row r="40" spans="1:14">
      <c r="A40" s="5" t="s">
        <v>47</v>
      </c>
      <c r="B40" s="5">
        <v>244.31</v>
      </c>
      <c r="C40" s="5">
        <v>9.7999999999999997E-3</v>
      </c>
      <c r="D40" s="14">
        <v>100000</v>
      </c>
      <c r="E40" s="5">
        <f t="shared" si="3"/>
        <v>4.0112971225082883E-9</v>
      </c>
      <c r="F40" s="13" t="s">
        <v>40</v>
      </c>
    </row>
    <row r="41" spans="1:14">
      <c r="A41" s="5" t="s">
        <v>50</v>
      </c>
      <c r="B41" s="5">
        <v>441.4</v>
      </c>
      <c r="C41" s="5">
        <v>1.77E-2</v>
      </c>
      <c r="D41" s="14">
        <v>100000</v>
      </c>
      <c r="E41" s="5">
        <f t="shared" si="3"/>
        <v>4.0099682827367471E-9</v>
      </c>
      <c r="F41" s="13" t="s">
        <v>40</v>
      </c>
    </row>
    <row r="42" spans="1:14">
      <c r="A42" s="5" t="s">
        <v>99</v>
      </c>
      <c r="B42" s="5">
        <v>1355.37</v>
      </c>
      <c r="C42" s="5">
        <v>9.4999999999999998E-3</v>
      </c>
      <c r="D42" s="14">
        <v>100000</v>
      </c>
      <c r="E42" s="5">
        <f t="shared" si="3"/>
        <v>7.0091561713775586E-10</v>
      </c>
      <c r="F42" s="13" t="s">
        <v>98</v>
      </c>
    </row>
    <row r="43" spans="1:14">
      <c r="A43" s="5" t="s">
        <v>51</v>
      </c>
      <c r="B43" s="5">
        <v>180.16</v>
      </c>
      <c r="C43" s="5">
        <v>0.90100000000000002</v>
      </c>
      <c r="D43" s="14">
        <v>100000</v>
      </c>
      <c r="E43" s="5">
        <f t="shared" si="3"/>
        <v>5.0011101243339257E-7</v>
      </c>
      <c r="F43" s="13" t="s">
        <v>39</v>
      </c>
    </row>
    <row r="44" spans="1:14">
      <c r="A44" s="5" t="s">
        <v>52</v>
      </c>
      <c r="B44" s="5">
        <v>137.13999999999999</v>
      </c>
      <c r="C44" s="5">
        <v>8.2299999999999998E-2</v>
      </c>
      <c r="D44" s="14">
        <v>100000</v>
      </c>
      <c r="E44" s="5">
        <f t="shared" si="3"/>
        <v>6.0011666909727283E-8</v>
      </c>
      <c r="F44" s="13" t="s">
        <v>43</v>
      </c>
    </row>
    <row r="46" spans="1:14">
      <c r="A46" t="s">
        <v>103</v>
      </c>
    </row>
    <row r="47" spans="1:14">
      <c r="A47" t="s">
        <v>198</v>
      </c>
      <c r="C47" s="6"/>
    </row>
    <row r="48" spans="1:14">
      <c r="A48" t="s">
        <v>224</v>
      </c>
      <c r="C48" s="6"/>
    </row>
    <row r="49" spans="1:8">
      <c r="A49" t="s">
        <v>105</v>
      </c>
      <c r="C49" s="6"/>
    </row>
    <row r="50" spans="1:8">
      <c r="C50" s="6"/>
    </row>
    <row r="51" spans="1:8">
      <c r="C51" s="6"/>
    </row>
    <row r="52" spans="1:8">
      <c r="C52" s="6"/>
    </row>
    <row r="53" spans="1:8">
      <c r="A53" s="8" t="s">
        <v>73</v>
      </c>
      <c r="C53" s="6"/>
    </row>
    <row r="54" spans="1:8">
      <c r="A54" s="8" t="s">
        <v>83</v>
      </c>
      <c r="C54" s="6"/>
    </row>
    <row r="55" spans="1:8">
      <c r="A55" s="8" t="s">
        <v>71</v>
      </c>
      <c r="C55" s="6"/>
      <c r="G55" s="6" t="s">
        <v>21</v>
      </c>
      <c r="H55" t="s">
        <v>201</v>
      </c>
    </row>
    <row r="56" spans="1:8">
      <c r="A56" s="8" t="s">
        <v>92</v>
      </c>
      <c r="C56" s="6"/>
      <c r="G56" s="6" t="s">
        <v>129</v>
      </c>
      <c r="H56" t="s">
        <v>202</v>
      </c>
    </row>
    <row r="57" spans="1:8">
      <c r="A57" s="8" t="s">
        <v>84</v>
      </c>
      <c r="C57" s="6"/>
      <c r="G57" s="6" t="s">
        <v>22</v>
      </c>
      <c r="H57" t="s">
        <v>203</v>
      </c>
    </row>
    <row r="58" spans="1:8">
      <c r="A58" s="8" t="s">
        <v>85</v>
      </c>
      <c r="C58" s="6"/>
      <c r="G58" s="6" t="s">
        <v>148</v>
      </c>
      <c r="H58" t="s">
        <v>204</v>
      </c>
    </row>
    <row r="59" spans="1:8">
      <c r="A59" s="8" t="s">
        <v>93</v>
      </c>
      <c r="C59" s="6"/>
    </row>
    <row r="60" spans="1:8">
      <c r="B60" s="8" t="s">
        <v>140</v>
      </c>
    </row>
    <row r="61" spans="1:8">
      <c r="A61" s="1"/>
      <c r="B61" s="8" t="s">
        <v>87</v>
      </c>
    </row>
    <row r="62" spans="1:8">
      <c r="A62" s="1"/>
      <c r="B62" s="8" t="s">
        <v>113</v>
      </c>
    </row>
    <row r="63" spans="1:8">
      <c r="A63" s="8" t="s">
        <v>86</v>
      </c>
    </row>
    <row r="70" spans="1:2">
      <c r="A70" s="1"/>
    </row>
    <row r="71" spans="1:2">
      <c r="A71" s="1"/>
      <c r="B71" s="1"/>
    </row>
    <row r="72" spans="1:2">
      <c r="A72" s="1"/>
      <c r="B72" s="1"/>
    </row>
    <row r="73" spans="1:2">
      <c r="A73" s="1"/>
    </row>
    <row r="74" spans="1:2">
      <c r="A74" s="1"/>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topLeftCell="A4" workbookViewId="0">
      <selection activeCell="L23" sqref="L23"/>
    </sheetView>
  </sheetViews>
  <sheetFormatPr baseColWidth="10" defaultColWidth="8.83203125" defaultRowHeight="15" x14ac:dyDescent="0"/>
  <cols>
    <col min="1" max="1" width="20.6640625" bestFit="1" customWidth="1"/>
    <col min="2" max="2" width="9" bestFit="1" customWidth="1"/>
    <col min="3" max="3" width="9.5" customWidth="1"/>
    <col min="4" max="4" width="10.5" customWidth="1"/>
    <col min="5" max="5" width="11.83203125" customWidth="1"/>
    <col min="7" max="7" width="9.33203125" bestFit="1" customWidth="1"/>
    <col min="8" max="8" width="9" bestFit="1" customWidth="1"/>
    <col min="9" max="9" width="12.1640625" bestFit="1" customWidth="1"/>
    <col min="10" max="11" width="9" bestFit="1" customWidth="1"/>
    <col min="12" max="12" width="12.33203125" bestFit="1" customWidth="1"/>
    <col min="13" max="13" width="10.5" customWidth="1"/>
    <col min="14" max="14" width="12.1640625" customWidth="1"/>
    <col min="15" max="16" width="9" bestFit="1" customWidth="1"/>
    <col min="17" max="17" width="9.33203125" bestFit="1" customWidth="1"/>
    <col min="18" max="18" width="10" customWidth="1"/>
  </cols>
  <sheetData>
    <row r="1" spans="1:20">
      <c r="A1" s="2" t="s">
        <v>180</v>
      </c>
    </row>
    <row r="2" spans="1:20">
      <c r="A2" t="s">
        <v>69</v>
      </c>
      <c r="B2" t="s">
        <v>11</v>
      </c>
      <c r="C2" t="s">
        <v>9</v>
      </c>
      <c r="D2" t="s">
        <v>68</v>
      </c>
      <c r="E2" t="s">
        <v>53</v>
      </c>
      <c r="F2" t="s">
        <v>206</v>
      </c>
      <c r="G2" s="10" t="s">
        <v>56</v>
      </c>
      <c r="H2" s="10" t="s">
        <v>57</v>
      </c>
      <c r="I2" s="10" t="s">
        <v>58</v>
      </c>
      <c r="J2" s="10" t="s">
        <v>59</v>
      </c>
      <c r="K2" s="10" t="s">
        <v>60</v>
      </c>
      <c r="L2" s="10" t="s">
        <v>61</v>
      </c>
      <c r="M2" s="10" t="s">
        <v>62</v>
      </c>
      <c r="N2" s="10" t="s">
        <v>63</v>
      </c>
      <c r="O2" s="10" t="s">
        <v>64</v>
      </c>
      <c r="P2" s="10" t="s">
        <v>65</v>
      </c>
      <c r="Q2" s="10" t="s">
        <v>66</v>
      </c>
      <c r="R2" s="10" t="s">
        <v>67</v>
      </c>
      <c r="S2" s="10" t="s">
        <v>152</v>
      </c>
    </row>
    <row r="3" spans="1:20">
      <c r="A3" s="3" t="s">
        <v>27</v>
      </c>
      <c r="B3" s="3">
        <v>58.442999999999998</v>
      </c>
      <c r="C3" s="3">
        <v>15.901280000000002</v>
      </c>
      <c r="D3" s="3"/>
      <c r="E3" s="3">
        <f t="shared" ref="E3:E11" si="0">ROUND(C3/B3, 6)</f>
        <v>0.27208199999999999</v>
      </c>
      <c r="F3" s="3" t="s">
        <v>174</v>
      </c>
      <c r="G3" s="3">
        <f>E3</f>
        <v>0.27208199999999999</v>
      </c>
      <c r="H3" s="3">
        <f>E3</f>
        <v>0.27208199999999999</v>
      </c>
      <c r="I3" s="3"/>
      <c r="J3" s="3"/>
      <c r="K3" s="3"/>
      <c r="L3" s="3"/>
      <c r="M3" s="3"/>
      <c r="N3" s="3"/>
      <c r="O3" s="3"/>
      <c r="P3" s="3"/>
      <c r="Q3" s="3"/>
      <c r="R3" s="3"/>
      <c r="S3" s="3"/>
      <c r="T3" s="5"/>
    </row>
    <row r="4" spans="1:20">
      <c r="A4" s="3" t="s">
        <v>29</v>
      </c>
      <c r="B4" s="3">
        <v>74.55</v>
      </c>
      <c r="C4" s="3">
        <v>0.49758200000000002</v>
      </c>
      <c r="D4" s="3"/>
      <c r="E4" s="3">
        <f t="shared" si="0"/>
        <v>6.6740000000000002E-3</v>
      </c>
      <c r="F4" s="3" t="s">
        <v>175</v>
      </c>
      <c r="G4" s="3"/>
      <c r="H4" s="3">
        <f>E4</f>
        <v>6.6740000000000002E-3</v>
      </c>
      <c r="I4" s="3">
        <f>E4</f>
        <v>6.6740000000000002E-3</v>
      </c>
      <c r="J4" s="3"/>
      <c r="K4" s="3"/>
      <c r="L4" s="3"/>
      <c r="M4" s="3"/>
      <c r="N4" s="3"/>
      <c r="O4" s="3"/>
      <c r="P4" s="3"/>
      <c r="Q4" s="3"/>
      <c r="R4" s="3"/>
      <c r="S4" s="3"/>
      <c r="T4" s="5"/>
    </row>
    <row r="5" spans="1:20">
      <c r="A5" s="3" t="s">
        <v>38</v>
      </c>
      <c r="B5" s="3">
        <v>84.01</v>
      </c>
      <c r="C5" s="3">
        <v>0.84</v>
      </c>
      <c r="D5" s="3"/>
      <c r="E5" s="3">
        <f t="shared" si="0"/>
        <v>9.9989999999999992E-3</v>
      </c>
      <c r="F5" s="3" t="s">
        <v>77</v>
      </c>
      <c r="G5" s="3">
        <f>E5</f>
        <v>9.9989999999999992E-3</v>
      </c>
      <c r="H5" s="3"/>
      <c r="I5" s="3"/>
      <c r="J5" s="3"/>
      <c r="K5" s="3"/>
      <c r="L5" s="3"/>
      <c r="M5" s="3"/>
      <c r="N5" s="3"/>
      <c r="O5" s="3"/>
      <c r="P5" s="3"/>
      <c r="Q5" s="3"/>
      <c r="R5" s="3"/>
      <c r="S5" s="3">
        <f>E5</f>
        <v>9.9989999999999992E-3</v>
      </c>
      <c r="T5" s="5"/>
    </row>
    <row r="6" spans="1:20">
      <c r="A6" s="3" t="s">
        <v>28</v>
      </c>
      <c r="B6" s="3">
        <v>142.04</v>
      </c>
      <c r="C6" s="3">
        <v>2.84809</v>
      </c>
      <c r="D6" s="3"/>
      <c r="E6" s="3">
        <f t="shared" si="0"/>
        <v>2.0050999999999999E-2</v>
      </c>
      <c r="F6" s="3" t="s">
        <v>158</v>
      </c>
      <c r="G6" s="3">
        <f>E6*2</f>
        <v>4.0101999999999999E-2</v>
      </c>
      <c r="H6" s="3"/>
      <c r="I6" s="3"/>
      <c r="J6" s="3"/>
      <c r="K6" s="3"/>
      <c r="L6" s="3"/>
      <c r="M6" s="3">
        <f>E6</f>
        <v>2.0050999999999999E-2</v>
      </c>
      <c r="N6" s="3"/>
      <c r="O6" s="3"/>
      <c r="P6" s="3"/>
      <c r="Q6" s="3"/>
      <c r="R6" s="3"/>
      <c r="S6" s="3"/>
      <c r="T6" s="5"/>
    </row>
    <row r="7" spans="1:20">
      <c r="A7" s="3" t="s">
        <v>30</v>
      </c>
      <c r="B7" s="3">
        <v>102.89</v>
      </c>
      <c r="C7" s="3">
        <v>5.4894100000000001E-2</v>
      </c>
      <c r="D7" s="3"/>
      <c r="E7" s="3">
        <f t="shared" si="0"/>
        <v>5.3399999999999997E-4</v>
      </c>
      <c r="F7" s="3" t="s">
        <v>176</v>
      </c>
      <c r="G7" s="3">
        <f>E7</f>
        <v>5.3399999999999997E-4</v>
      </c>
      <c r="H7" s="3"/>
      <c r="I7" s="3"/>
      <c r="J7" s="3"/>
      <c r="K7" s="3"/>
      <c r="L7" s="3"/>
      <c r="M7" s="3"/>
      <c r="N7" s="3">
        <f>E7</f>
        <v>5.3399999999999997E-4</v>
      </c>
      <c r="O7" s="3"/>
      <c r="P7" s="3"/>
      <c r="Q7" s="3"/>
      <c r="R7" s="3"/>
      <c r="S7" s="3"/>
    </row>
    <row r="8" spans="1:20">
      <c r="A8" s="3" t="s">
        <v>31</v>
      </c>
      <c r="B8" s="3">
        <v>61.83</v>
      </c>
      <c r="C8" s="3">
        <v>1.7342E-2</v>
      </c>
      <c r="D8" s="3"/>
      <c r="E8" s="3">
        <f t="shared" si="0"/>
        <v>2.7999999999999998E-4</v>
      </c>
      <c r="F8" s="3" t="s">
        <v>160</v>
      </c>
      <c r="G8" s="3"/>
      <c r="H8" s="3"/>
      <c r="I8" s="3"/>
      <c r="J8" s="3"/>
      <c r="K8" s="3"/>
      <c r="L8" s="3"/>
      <c r="M8" s="3"/>
      <c r="N8" s="3"/>
      <c r="O8" s="3">
        <f>E8</f>
        <v>2.7999999999999998E-4</v>
      </c>
      <c r="P8" s="3"/>
      <c r="Q8" s="3"/>
      <c r="R8" s="3"/>
      <c r="S8" s="3"/>
      <c r="T8" s="5"/>
    </row>
    <row r="9" spans="1:20">
      <c r="A9" s="3" t="s">
        <v>32</v>
      </c>
      <c r="B9" s="3">
        <v>158.53</v>
      </c>
      <c r="C9" s="3">
        <v>9.4714000000000013E-3</v>
      </c>
      <c r="D9" s="3"/>
      <c r="E9" s="3">
        <f t="shared" si="0"/>
        <v>6.0000000000000002E-5</v>
      </c>
      <c r="F9" s="3" t="s">
        <v>161</v>
      </c>
      <c r="G9" s="3"/>
      <c r="H9" s="3">
        <f>E9</f>
        <v>6.0000000000000002E-5</v>
      </c>
      <c r="I9" s="3"/>
      <c r="J9" s="3"/>
      <c r="K9" s="3"/>
      <c r="L9" s="3"/>
      <c r="M9" s="3"/>
      <c r="N9" s="3"/>
      <c r="O9" s="3"/>
      <c r="P9" s="3">
        <f>E9</f>
        <v>6.0000000000000002E-5</v>
      </c>
      <c r="Q9" s="3"/>
      <c r="R9" s="3"/>
      <c r="S9" s="3"/>
      <c r="T9" s="5"/>
    </row>
    <row r="10" spans="1:20">
      <c r="A10" s="3" t="s">
        <v>33</v>
      </c>
      <c r="B10" s="3">
        <v>41.99</v>
      </c>
      <c r="C10" s="3">
        <v>2E-3</v>
      </c>
      <c r="D10" s="3"/>
      <c r="E10" s="3">
        <f t="shared" si="0"/>
        <v>4.8000000000000001E-5</v>
      </c>
      <c r="F10" s="3" t="s">
        <v>163</v>
      </c>
      <c r="G10" s="3">
        <f>E10</f>
        <v>4.8000000000000001E-5</v>
      </c>
      <c r="H10" s="3"/>
      <c r="I10" s="3"/>
      <c r="J10" s="3"/>
      <c r="K10" s="3"/>
      <c r="L10" s="3"/>
      <c r="M10" s="3"/>
      <c r="N10" s="3"/>
      <c r="O10" s="3"/>
      <c r="P10" s="3"/>
      <c r="Q10" s="3">
        <f>E10</f>
        <v>4.8000000000000001E-5</v>
      </c>
      <c r="R10" s="3"/>
      <c r="S10" s="3"/>
      <c r="T10" s="5"/>
    </row>
    <row r="11" spans="1:20">
      <c r="A11" s="3" t="s">
        <v>54</v>
      </c>
      <c r="B11" s="3">
        <v>136.09</v>
      </c>
      <c r="C11" s="3">
        <v>7.0000000000000001E-3</v>
      </c>
      <c r="D11" s="3"/>
      <c r="E11" s="3">
        <f t="shared" si="0"/>
        <v>5.1E-5</v>
      </c>
      <c r="F11" s="3" t="s">
        <v>78</v>
      </c>
      <c r="G11" s="3"/>
      <c r="H11" s="3"/>
      <c r="I11" s="3"/>
      <c r="J11" s="3"/>
      <c r="K11" s="3"/>
      <c r="L11" s="12">
        <v>5.1E-5</v>
      </c>
      <c r="M11" s="3"/>
      <c r="N11" s="3"/>
      <c r="O11" s="3"/>
      <c r="P11" s="3"/>
      <c r="Q11" s="3"/>
      <c r="R11" s="3"/>
      <c r="S11" s="3"/>
    </row>
    <row r="12" spans="1:20">
      <c r="A12" s="5"/>
      <c r="B12" s="5"/>
    </row>
    <row r="13" spans="1:20">
      <c r="A13" s="5" t="s">
        <v>82</v>
      </c>
      <c r="C13" t="s">
        <v>55</v>
      </c>
    </row>
    <row r="14" spans="1:20">
      <c r="A14" s="4" t="s">
        <v>115</v>
      </c>
      <c r="B14" s="4">
        <v>203.3</v>
      </c>
      <c r="C14" s="4">
        <v>21.2</v>
      </c>
      <c r="D14" s="4">
        <v>20</v>
      </c>
      <c r="E14" s="4">
        <f>ROUND((((C14/B14)*10)/D14)*0.667, 6)</f>
        <v>3.4777000000000002E-2</v>
      </c>
      <c r="F14" s="4" t="s">
        <v>157</v>
      </c>
      <c r="G14" s="4"/>
      <c r="H14" s="4">
        <f>E14*2</f>
        <v>6.9554000000000005E-2</v>
      </c>
      <c r="I14" s="4"/>
      <c r="J14" s="4">
        <f>E14</f>
        <v>3.4777000000000002E-2</v>
      </c>
      <c r="K14" s="4"/>
      <c r="L14" s="4"/>
      <c r="M14" s="4"/>
      <c r="N14" s="4"/>
      <c r="O14" s="4"/>
      <c r="P14" s="4"/>
      <c r="Q14" s="4"/>
      <c r="R14" s="4"/>
      <c r="S14" s="4"/>
      <c r="T14" s="5"/>
    </row>
    <row r="15" spans="1:20">
      <c r="A15" s="4" t="s">
        <v>116</v>
      </c>
      <c r="B15" s="4">
        <v>147.01</v>
      </c>
      <c r="C15" s="4">
        <v>3.04</v>
      </c>
      <c r="D15" s="4">
        <v>20</v>
      </c>
      <c r="E15" s="4">
        <f>ROUND((((C15/B15)*10)/D15)*0.667, 6)</f>
        <v>6.8960000000000002E-3</v>
      </c>
      <c r="F15" s="4" t="s">
        <v>156</v>
      </c>
      <c r="G15" s="4"/>
      <c r="H15" s="4">
        <f>E15*2</f>
        <v>1.3792E-2</v>
      </c>
      <c r="I15" s="4"/>
      <c r="J15" s="4"/>
      <c r="K15" s="4">
        <f>E15</f>
        <v>6.8960000000000002E-3</v>
      </c>
      <c r="L15" s="4"/>
      <c r="M15" s="4"/>
      <c r="N15" s="4"/>
      <c r="O15" s="4"/>
      <c r="P15" s="4"/>
      <c r="Q15" s="4"/>
      <c r="R15" s="4"/>
      <c r="S15" s="4"/>
      <c r="T15" s="5"/>
    </row>
    <row r="16" spans="1:20" s="5" customFormat="1"/>
    <row r="17" spans="1:21">
      <c r="A17" t="s">
        <v>106</v>
      </c>
      <c r="C17" t="s">
        <v>70</v>
      </c>
      <c r="F17" s="5"/>
      <c r="G17" s="5"/>
      <c r="H17" s="5"/>
      <c r="I17" s="5"/>
      <c r="J17" s="5"/>
      <c r="K17" s="5"/>
      <c r="L17" s="5"/>
      <c r="M17" s="5"/>
      <c r="N17" s="5"/>
      <c r="O17" s="5"/>
      <c r="P17" s="5"/>
      <c r="Q17" s="5"/>
      <c r="R17" s="5"/>
      <c r="S17" s="5"/>
      <c r="T17" s="5"/>
    </row>
    <row r="18" spans="1:21">
      <c r="A18" s="7" t="s">
        <v>117</v>
      </c>
      <c r="B18" s="7">
        <v>278.01</v>
      </c>
      <c r="C18" s="7">
        <v>2.8E-3</v>
      </c>
      <c r="D18" s="7">
        <v>1000</v>
      </c>
      <c r="E18" s="7">
        <f>((C18/B18)*10)/D18</f>
        <v>1.0071580158987087E-7</v>
      </c>
      <c r="F18" s="7" t="s">
        <v>108</v>
      </c>
      <c r="G18" s="7"/>
      <c r="H18" s="7"/>
      <c r="I18" s="7"/>
      <c r="J18" s="7"/>
      <c r="K18" s="7"/>
      <c r="L18" s="7"/>
      <c r="M18" s="7">
        <f>E18</f>
        <v>1.0071580158987087E-7</v>
      </c>
      <c r="N18" s="7"/>
      <c r="O18" s="7"/>
      <c r="P18" s="7"/>
      <c r="Q18" s="7"/>
      <c r="R18" s="7">
        <f>E18</f>
        <v>1.0071580158987087E-7</v>
      </c>
      <c r="S18" s="7"/>
      <c r="T18" s="5"/>
    </row>
    <row r="19" spans="1:21">
      <c r="A19" s="7" t="s">
        <v>91</v>
      </c>
      <c r="B19" s="7">
        <v>235.1</v>
      </c>
      <c r="C19" s="7">
        <v>8.0999999999999996E-3</v>
      </c>
      <c r="D19" s="7">
        <v>1000</v>
      </c>
      <c r="E19" s="7">
        <f>((C19/B19)*10)/D19</f>
        <v>3.4453424074861757E-7</v>
      </c>
      <c r="F19" s="7" t="s">
        <v>107</v>
      </c>
      <c r="G19" s="7"/>
      <c r="H19" s="7"/>
      <c r="I19" s="7"/>
      <c r="J19" s="7"/>
      <c r="K19" s="7"/>
      <c r="L19" s="7"/>
      <c r="M19" s="7"/>
      <c r="N19" s="7"/>
      <c r="O19" s="7"/>
      <c r="P19" s="7"/>
      <c r="Q19" s="7"/>
      <c r="R19" s="7"/>
      <c r="S19" s="26"/>
      <c r="T19" s="11"/>
      <c r="U19" s="8"/>
    </row>
    <row r="20" spans="1:21">
      <c r="G20" s="9" t="s">
        <v>56</v>
      </c>
      <c r="H20" s="9" t="s">
        <v>57</v>
      </c>
      <c r="I20" s="9" t="s">
        <v>58</v>
      </c>
      <c r="J20" s="9" t="s">
        <v>59</v>
      </c>
      <c r="K20" s="9" t="s">
        <v>60</v>
      </c>
      <c r="L20" s="9" t="s">
        <v>61</v>
      </c>
      <c r="M20" s="9" t="s">
        <v>62</v>
      </c>
      <c r="N20" s="9" t="s">
        <v>63</v>
      </c>
      <c r="O20" s="9" t="s">
        <v>64</v>
      </c>
      <c r="P20" s="9" t="s">
        <v>65</v>
      </c>
      <c r="Q20" s="9" t="s">
        <v>66</v>
      </c>
      <c r="R20" s="9" t="s">
        <v>67</v>
      </c>
      <c r="S20" s="25" t="s">
        <v>152</v>
      </c>
      <c r="T20" s="11"/>
      <c r="U20" s="8"/>
    </row>
    <row r="21" spans="1:21">
      <c r="A21" s="9" t="s">
        <v>74</v>
      </c>
      <c r="B21" s="9"/>
      <c r="C21" s="9"/>
      <c r="D21" s="9"/>
      <c r="E21" s="9"/>
      <c r="F21" s="9"/>
      <c r="G21" s="9">
        <f t="shared" ref="G21:R21" si="1">SUM(G3:G18)</f>
        <v>0.32276499999999997</v>
      </c>
      <c r="H21" s="9">
        <f t="shared" si="1"/>
        <v>0.36216200000000004</v>
      </c>
      <c r="I21" s="9">
        <f t="shared" si="1"/>
        <v>6.6740000000000002E-3</v>
      </c>
      <c r="J21" s="9">
        <f t="shared" si="1"/>
        <v>3.4777000000000002E-2</v>
      </c>
      <c r="K21" s="9">
        <f t="shared" si="1"/>
        <v>6.8960000000000002E-3</v>
      </c>
      <c r="L21" s="9">
        <f t="shared" si="1"/>
        <v>5.1E-5</v>
      </c>
      <c r="M21" s="9">
        <f t="shared" si="1"/>
        <v>2.005110071580159E-2</v>
      </c>
      <c r="N21" s="9">
        <f t="shared" si="1"/>
        <v>5.3399999999999997E-4</v>
      </c>
      <c r="O21" s="9">
        <f t="shared" si="1"/>
        <v>2.7999999999999998E-4</v>
      </c>
      <c r="P21" s="9">
        <f t="shared" si="1"/>
        <v>6.0000000000000002E-5</v>
      </c>
      <c r="Q21" s="9">
        <f t="shared" si="1"/>
        <v>4.8000000000000001E-5</v>
      </c>
      <c r="R21" s="9">
        <f t="shared" si="1"/>
        <v>1.0071580158987087E-7</v>
      </c>
      <c r="S21" s="9">
        <f>SUM(S3:S19)</f>
        <v>9.9989999999999992E-3</v>
      </c>
    </row>
    <row r="22" spans="1:21">
      <c r="A22" s="9" t="s">
        <v>75</v>
      </c>
      <c r="B22" s="9"/>
      <c r="C22" s="9"/>
      <c r="D22" s="9"/>
      <c r="E22" s="9"/>
      <c r="F22" s="9"/>
      <c r="G22" s="9" t="s">
        <v>162</v>
      </c>
      <c r="H22" s="9" t="s">
        <v>155</v>
      </c>
      <c r="I22" s="9" t="s">
        <v>156</v>
      </c>
      <c r="J22" s="9" t="s">
        <v>157</v>
      </c>
      <c r="K22" s="9" t="s">
        <v>156</v>
      </c>
      <c r="L22" s="9" t="s">
        <v>78</v>
      </c>
      <c r="M22" s="9" t="s">
        <v>158</v>
      </c>
      <c r="N22" s="9" t="s">
        <v>159</v>
      </c>
      <c r="O22" s="9" t="s">
        <v>160</v>
      </c>
      <c r="P22" s="9" t="s">
        <v>161</v>
      </c>
      <c r="Q22" s="9" t="s">
        <v>163</v>
      </c>
      <c r="R22" s="9" t="s">
        <v>108</v>
      </c>
      <c r="S22" s="9" t="s">
        <v>77</v>
      </c>
    </row>
    <row r="23" spans="1:21">
      <c r="A23" t="s">
        <v>197</v>
      </c>
      <c r="G23">
        <f>G21*22.99</f>
        <v>7.4203673499999985</v>
      </c>
      <c r="H23">
        <f>H21*35.45</f>
        <v>12.838642900000002</v>
      </c>
      <c r="I23">
        <f>I21*39.1</f>
        <v>0.2609534</v>
      </c>
      <c r="J23">
        <f>J21*24.3</f>
        <v>0.84508110000000003</v>
      </c>
      <c r="K23">
        <f>K21*40.08</f>
        <v>0.27639167999999997</v>
      </c>
      <c r="L23">
        <f>L21*30.97</f>
        <v>1.5794699999999999E-3</v>
      </c>
      <c r="M23">
        <f>M21*32.06</f>
        <v>0.64283828894859907</v>
      </c>
      <c r="N23">
        <f>N21*79.9</f>
        <v>4.2666599999999999E-2</v>
      </c>
      <c r="O23">
        <f>O21*10.81</f>
        <v>3.0268000000000001E-3</v>
      </c>
      <c r="P23">
        <f>P21*87.62</f>
        <v>5.2572000000000001E-3</v>
      </c>
      <c r="Q23">
        <f>Q21*18.998</f>
        <v>9.1190400000000006E-4</v>
      </c>
      <c r="R23">
        <f>R21*55.85</f>
        <v>5.6249775187942877E-6</v>
      </c>
      <c r="S23" s="5"/>
      <c r="T23" s="5"/>
    </row>
    <row r="24" spans="1:21">
      <c r="S24" s="5"/>
      <c r="T24" s="5"/>
    </row>
    <row r="25" spans="1:21">
      <c r="A25" s="18" t="s">
        <v>125</v>
      </c>
      <c r="B25" s="19" t="s">
        <v>11</v>
      </c>
      <c r="C25" s="19" t="s">
        <v>55</v>
      </c>
      <c r="D25" s="5"/>
      <c r="E25" s="5"/>
      <c r="F25" s="13"/>
      <c r="G25" t="s">
        <v>72</v>
      </c>
    </row>
    <row r="26" spans="1:21">
      <c r="A26" s="19" t="s">
        <v>114</v>
      </c>
      <c r="B26" s="19">
        <v>197.91</v>
      </c>
      <c r="C26" s="20">
        <v>1.7999999999999999E-2</v>
      </c>
      <c r="D26" s="5">
        <v>100000</v>
      </c>
      <c r="E26" s="5">
        <f t="shared" ref="E26:E31" si="2">((C26/B26)*10)/D26</f>
        <v>9.0950432014552062E-9</v>
      </c>
      <c r="F26" s="13" t="s">
        <v>101</v>
      </c>
    </row>
    <row r="27" spans="1:21">
      <c r="A27" s="19" t="s">
        <v>126</v>
      </c>
      <c r="B27" s="19">
        <v>179.47</v>
      </c>
      <c r="C27" s="20">
        <v>2E-3</v>
      </c>
      <c r="D27" s="5">
        <v>100000</v>
      </c>
      <c r="E27" s="5">
        <f t="shared" si="2"/>
        <v>1.1143923775561374E-9</v>
      </c>
      <c r="F27" s="13" t="s">
        <v>102</v>
      </c>
      <c r="K27" s="5"/>
      <c r="L27" s="5" t="s">
        <v>181</v>
      </c>
      <c r="M27" s="5">
        <f>(H21*35.5)*1.803</f>
        <v>23.180722053</v>
      </c>
    </row>
    <row r="28" spans="1:21">
      <c r="A28" s="19" t="s">
        <v>34</v>
      </c>
      <c r="B28" s="19">
        <v>129.839</v>
      </c>
      <c r="C28" s="20">
        <v>6.4919499999999998E-4</v>
      </c>
      <c r="D28" s="5">
        <v>100000</v>
      </c>
      <c r="E28" s="5">
        <f t="shared" si="2"/>
        <v>4.9999999999999993E-10</v>
      </c>
      <c r="F28" s="13" t="s">
        <v>127</v>
      </c>
      <c r="K28" s="5"/>
      <c r="L28" s="5"/>
      <c r="M28" s="5"/>
    </row>
    <row r="29" spans="1:21">
      <c r="A29" s="19" t="s">
        <v>35</v>
      </c>
      <c r="B29" s="19">
        <v>205.92</v>
      </c>
      <c r="C29" s="20">
        <v>6.5693999999999995E-4</v>
      </c>
      <c r="D29" s="5">
        <v>100000</v>
      </c>
      <c r="E29" s="5">
        <f t="shared" si="2"/>
        <v>3.1902680652680648E-10</v>
      </c>
      <c r="F29" s="13" t="s">
        <v>128</v>
      </c>
      <c r="K29" s="5"/>
      <c r="L29" s="5"/>
      <c r="M29" s="5"/>
    </row>
    <row r="30" spans="1:21">
      <c r="A30" s="19" t="s">
        <v>36</v>
      </c>
      <c r="B30" s="19">
        <v>172.94</v>
      </c>
      <c r="C30" s="20">
        <v>1.7294000000000001E-3</v>
      </c>
      <c r="D30" s="5">
        <v>100000</v>
      </c>
      <c r="E30" s="5">
        <f t="shared" si="2"/>
        <v>1.0000000000000001E-9</v>
      </c>
      <c r="F30" s="13" t="s">
        <v>102</v>
      </c>
      <c r="K30" s="5"/>
      <c r="L30" s="5"/>
      <c r="M30" s="5"/>
    </row>
    <row r="31" spans="1:21">
      <c r="A31" s="19" t="s">
        <v>37</v>
      </c>
      <c r="B31" s="19">
        <v>129.5994</v>
      </c>
      <c r="C31" s="20">
        <v>1.2959940000000002E-3</v>
      </c>
      <c r="D31" s="5">
        <v>100000</v>
      </c>
      <c r="E31" s="5">
        <f t="shared" si="2"/>
        <v>1.0000000000000001E-9</v>
      </c>
      <c r="F31" s="13" t="s">
        <v>102</v>
      </c>
      <c r="K31" s="5"/>
      <c r="L31" s="5"/>
      <c r="M31" s="5"/>
    </row>
    <row r="32" spans="1:21">
      <c r="E32" s="5"/>
    </row>
    <row r="33" spans="1:14">
      <c r="A33" s="18" t="s">
        <v>124</v>
      </c>
      <c r="B33" s="5" t="s">
        <v>11</v>
      </c>
      <c r="C33" s="5" t="s">
        <v>55</v>
      </c>
      <c r="D33" s="5"/>
      <c r="E33" s="5"/>
      <c r="F33" s="13"/>
      <c r="G33" t="s">
        <v>72</v>
      </c>
      <c r="L33" t="s">
        <v>11</v>
      </c>
      <c r="M33" t="s">
        <v>9</v>
      </c>
      <c r="N33" t="s">
        <v>110</v>
      </c>
    </row>
    <row r="34" spans="1:14">
      <c r="A34" s="5" t="s">
        <v>44</v>
      </c>
      <c r="B34" s="5">
        <v>337.27</v>
      </c>
      <c r="C34" s="5">
        <v>1.69</v>
      </c>
      <c r="D34" s="14">
        <v>100000</v>
      </c>
      <c r="E34" s="5">
        <f t="shared" ref="E34:E43" si="3">((C34/B34)*10)/D34</f>
        <v>5.0108221899368456E-7</v>
      </c>
      <c r="F34" s="13" t="s">
        <v>39</v>
      </c>
      <c r="L34" s="7">
        <v>278.01</v>
      </c>
      <c r="M34">
        <v>1.0000000000000001E-5</v>
      </c>
      <c r="N34" s="15">
        <f>M34/L34</f>
        <v>3.5969929139239601E-8</v>
      </c>
    </row>
    <row r="35" spans="1:14">
      <c r="A35" s="5" t="s">
        <v>46</v>
      </c>
      <c r="B35" s="5">
        <v>376.36</v>
      </c>
      <c r="C35" s="5">
        <v>2.5999999999999999E-3</v>
      </c>
      <c r="D35" s="14">
        <v>100000</v>
      </c>
      <c r="E35" s="5">
        <f t="shared" si="3"/>
        <v>6.9082793070464442E-10</v>
      </c>
      <c r="F35" s="13" t="s">
        <v>98</v>
      </c>
      <c r="N35">
        <v>3.5899999999999997E-8</v>
      </c>
    </row>
    <row r="36" spans="1:14">
      <c r="A36" s="5" t="s">
        <v>48</v>
      </c>
      <c r="B36" s="5">
        <v>123.12</v>
      </c>
      <c r="C36" s="5">
        <v>0.98499999999999999</v>
      </c>
      <c r="D36" s="14">
        <v>100000</v>
      </c>
      <c r="E36" s="5">
        <f t="shared" si="3"/>
        <v>8.0003248862897974E-7</v>
      </c>
      <c r="F36" s="13" t="s">
        <v>41</v>
      </c>
      <c r="N36" t="s">
        <v>111</v>
      </c>
    </row>
    <row r="37" spans="1:14">
      <c r="A37" s="5" t="s">
        <v>49</v>
      </c>
      <c r="B37" s="5">
        <v>238.27</v>
      </c>
      <c r="C37" s="5">
        <v>1.0129999999999999</v>
      </c>
      <c r="D37" s="14">
        <v>100000</v>
      </c>
      <c r="E37" s="5">
        <f t="shared" si="3"/>
        <v>4.2514794141100433E-7</v>
      </c>
      <c r="F37" s="13" t="s">
        <v>42</v>
      </c>
    </row>
    <row r="38" spans="1:14">
      <c r="A38" s="5" t="s">
        <v>45</v>
      </c>
      <c r="B38" s="5">
        <v>205.64</v>
      </c>
      <c r="C38" s="5">
        <v>1.028</v>
      </c>
      <c r="D38" s="14">
        <v>100000</v>
      </c>
      <c r="E38" s="5">
        <f t="shared" si="3"/>
        <v>4.9990274265707063E-7</v>
      </c>
      <c r="F38" s="13" t="s">
        <v>39</v>
      </c>
    </row>
    <row r="39" spans="1:14">
      <c r="A39" s="5" t="s">
        <v>47</v>
      </c>
      <c r="B39" s="5">
        <v>244.31</v>
      </c>
      <c r="C39" s="5">
        <v>9.7999999999999997E-3</v>
      </c>
      <c r="D39" s="14">
        <v>100000</v>
      </c>
      <c r="E39" s="5">
        <f t="shared" si="3"/>
        <v>4.0112971225082883E-9</v>
      </c>
      <c r="F39" s="13" t="s">
        <v>40</v>
      </c>
    </row>
    <row r="40" spans="1:14">
      <c r="A40" s="5" t="s">
        <v>50</v>
      </c>
      <c r="B40" s="5">
        <v>441.4</v>
      </c>
      <c r="C40" s="5">
        <v>1.77E-2</v>
      </c>
      <c r="D40" s="14">
        <v>100000</v>
      </c>
      <c r="E40" s="5">
        <f t="shared" si="3"/>
        <v>4.0099682827367471E-9</v>
      </c>
      <c r="F40" s="13" t="s">
        <v>40</v>
      </c>
    </row>
    <row r="41" spans="1:14">
      <c r="A41" s="5" t="s">
        <v>99</v>
      </c>
      <c r="B41" s="5">
        <v>1355.37</v>
      </c>
      <c r="C41" s="5">
        <v>9.4999999999999998E-3</v>
      </c>
      <c r="D41" s="14">
        <v>100000</v>
      </c>
      <c r="E41" s="5">
        <f t="shared" si="3"/>
        <v>7.0091561713775586E-10</v>
      </c>
      <c r="F41" s="13" t="s">
        <v>98</v>
      </c>
    </row>
    <row r="42" spans="1:14">
      <c r="A42" s="5" t="s">
        <v>51</v>
      </c>
      <c r="B42" s="5">
        <v>180.16</v>
      </c>
      <c r="C42" s="5">
        <v>0.90100000000000002</v>
      </c>
      <c r="D42" s="14">
        <v>100000</v>
      </c>
      <c r="E42" s="5">
        <f t="shared" si="3"/>
        <v>5.0011101243339257E-7</v>
      </c>
      <c r="F42" s="13" t="s">
        <v>39</v>
      </c>
    </row>
    <row r="43" spans="1:14">
      <c r="A43" s="5" t="s">
        <v>52</v>
      </c>
      <c r="B43" s="5">
        <v>137.13999999999999</v>
      </c>
      <c r="C43" s="5">
        <v>8.2299999999999998E-2</v>
      </c>
      <c r="D43" s="14">
        <v>100000</v>
      </c>
      <c r="E43" s="5">
        <f t="shared" si="3"/>
        <v>6.0011666909727283E-8</v>
      </c>
      <c r="F43" s="13" t="s">
        <v>43</v>
      </c>
    </row>
    <row r="45" spans="1:14">
      <c r="A45" t="s">
        <v>103</v>
      </c>
    </row>
    <row r="46" spans="1:14">
      <c r="A46" t="s">
        <v>104</v>
      </c>
      <c r="C46" s="6"/>
    </row>
    <row r="47" spans="1:14">
      <c r="A47" t="s">
        <v>112</v>
      </c>
      <c r="C47" s="6"/>
    </row>
    <row r="48" spans="1:14">
      <c r="A48" t="s">
        <v>109</v>
      </c>
      <c r="C48" s="6"/>
    </row>
    <row r="49" spans="1:8">
      <c r="A49" t="s">
        <v>105</v>
      </c>
      <c r="C49" s="6"/>
    </row>
    <row r="50" spans="1:8">
      <c r="C50" s="6"/>
    </row>
    <row r="51" spans="1:8">
      <c r="C51" s="6"/>
    </row>
    <row r="52" spans="1:8">
      <c r="A52" s="8" t="s">
        <v>73</v>
      </c>
      <c r="C52" s="6"/>
    </row>
    <row r="53" spans="1:8">
      <c r="A53" s="8" t="s">
        <v>154</v>
      </c>
      <c r="C53" s="6"/>
    </row>
    <row r="54" spans="1:8">
      <c r="A54" s="8" t="s">
        <v>71</v>
      </c>
      <c r="C54" s="6"/>
      <c r="G54" s="6" t="s">
        <v>21</v>
      </c>
      <c r="H54">
        <v>20</v>
      </c>
    </row>
    <row r="55" spans="1:8">
      <c r="A55" s="8" t="s">
        <v>92</v>
      </c>
      <c r="C55" s="6"/>
      <c r="G55" s="6" t="s">
        <v>129</v>
      </c>
      <c r="H55">
        <v>500</v>
      </c>
    </row>
    <row r="56" spans="1:8">
      <c r="A56" s="8" t="s">
        <v>84</v>
      </c>
      <c r="C56" s="6"/>
      <c r="G56" s="6" t="s">
        <v>22</v>
      </c>
      <c r="H56">
        <v>0.5</v>
      </c>
    </row>
    <row r="57" spans="1:8">
      <c r="A57" s="8" t="s">
        <v>85</v>
      </c>
      <c r="C57" s="6"/>
      <c r="G57" s="6" t="s">
        <v>148</v>
      </c>
      <c r="H57">
        <v>500</v>
      </c>
    </row>
    <row r="58" spans="1:8">
      <c r="A58" s="8" t="s">
        <v>93</v>
      </c>
      <c r="C58" s="6"/>
    </row>
    <row r="59" spans="1:8">
      <c r="B59" s="8" t="s">
        <v>140</v>
      </c>
    </row>
    <row r="60" spans="1:8">
      <c r="A60" s="1"/>
      <c r="B60" s="8" t="s">
        <v>153</v>
      </c>
    </row>
    <row r="61" spans="1:8">
      <c r="A61" s="1"/>
      <c r="B61" s="8" t="s">
        <v>113</v>
      </c>
    </row>
    <row r="62" spans="1:8">
      <c r="A62" s="8" t="s">
        <v>86</v>
      </c>
    </row>
    <row r="69" spans="1:2">
      <c r="A69" s="1"/>
    </row>
    <row r="70" spans="1:2">
      <c r="A70" s="1"/>
      <c r="B70" s="1"/>
    </row>
    <row r="71" spans="1:2">
      <c r="A71" s="1"/>
      <c r="B71" s="1"/>
    </row>
    <row r="72" spans="1:2">
      <c r="A72" s="1"/>
    </row>
    <row r="73" spans="1:2">
      <c r="A73" s="1"/>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topLeftCell="A6" workbookViewId="0">
      <selection activeCell="F2" sqref="F2"/>
    </sheetView>
  </sheetViews>
  <sheetFormatPr baseColWidth="10" defaultColWidth="8.83203125" defaultRowHeight="15" x14ac:dyDescent="0"/>
  <cols>
    <col min="1" max="1" width="20.6640625" bestFit="1" customWidth="1"/>
    <col min="2" max="2" width="9" bestFit="1" customWidth="1"/>
    <col min="3" max="3" width="9.5" customWidth="1"/>
    <col min="4" max="4" width="10.5" customWidth="1"/>
    <col min="5" max="5" width="11.83203125" customWidth="1"/>
    <col min="7" max="7" width="9.33203125" bestFit="1" customWidth="1"/>
    <col min="8" max="8" width="9" bestFit="1" customWidth="1"/>
    <col min="9" max="9" width="12.1640625" bestFit="1" customWidth="1"/>
    <col min="10" max="11" width="9" bestFit="1" customWidth="1"/>
    <col min="12" max="12" width="12.33203125" bestFit="1" customWidth="1"/>
    <col min="13" max="13" width="10.5" customWidth="1"/>
    <col min="14" max="14" width="12.1640625" customWidth="1"/>
    <col min="15" max="16" width="9" bestFit="1" customWidth="1"/>
    <col min="17" max="17" width="9.33203125" bestFit="1" customWidth="1"/>
    <col min="18" max="18" width="10" customWidth="1"/>
  </cols>
  <sheetData>
    <row r="1" spans="1:20">
      <c r="A1" s="2" t="s">
        <v>179</v>
      </c>
    </row>
    <row r="2" spans="1:20">
      <c r="A2" t="s">
        <v>69</v>
      </c>
      <c r="B2" t="s">
        <v>11</v>
      </c>
      <c r="C2" t="s">
        <v>9</v>
      </c>
      <c r="D2" t="s">
        <v>68</v>
      </c>
      <c r="E2" t="s">
        <v>53</v>
      </c>
      <c r="F2" t="s">
        <v>206</v>
      </c>
      <c r="G2" s="10" t="s">
        <v>56</v>
      </c>
      <c r="H2" s="10" t="s">
        <v>57</v>
      </c>
      <c r="I2" s="10" t="s">
        <v>58</v>
      </c>
      <c r="J2" s="10" t="s">
        <v>59</v>
      </c>
      <c r="K2" s="10" t="s">
        <v>60</v>
      </c>
      <c r="L2" s="10" t="s">
        <v>61</v>
      </c>
      <c r="M2" s="10" t="s">
        <v>62</v>
      </c>
      <c r="N2" s="10" t="s">
        <v>63</v>
      </c>
      <c r="O2" s="10" t="s">
        <v>64</v>
      </c>
      <c r="P2" s="10" t="s">
        <v>65</v>
      </c>
      <c r="Q2" s="10" t="s">
        <v>66</v>
      </c>
      <c r="R2" s="10" t="s">
        <v>67</v>
      </c>
      <c r="S2" s="10" t="s">
        <v>152</v>
      </c>
    </row>
    <row r="3" spans="1:20">
      <c r="A3" s="3" t="s">
        <v>27</v>
      </c>
      <c r="B3" s="3">
        <v>58.442999999999998</v>
      </c>
      <c r="C3" s="3">
        <v>7.93872</v>
      </c>
      <c r="D3" s="3"/>
      <c r="E3" s="3">
        <f t="shared" ref="E3:E11" si="0">ROUND(C3/B3, 6)</f>
        <v>0.13583700000000001</v>
      </c>
      <c r="F3" s="3" t="s">
        <v>177</v>
      </c>
      <c r="G3" s="3">
        <f>E3</f>
        <v>0.13583700000000001</v>
      </c>
      <c r="H3" s="3">
        <f>E3</f>
        <v>0.13583700000000001</v>
      </c>
      <c r="I3" s="3"/>
      <c r="J3" s="3"/>
      <c r="K3" s="3"/>
      <c r="L3" s="3"/>
      <c r="M3" s="3"/>
      <c r="N3" s="3"/>
      <c r="O3" s="3"/>
      <c r="P3" s="3"/>
      <c r="Q3" s="3"/>
      <c r="R3" s="3"/>
      <c r="S3" s="3"/>
      <c r="T3" s="5"/>
    </row>
    <row r="4" spans="1:20">
      <c r="A4" s="3" t="s">
        <v>29</v>
      </c>
      <c r="B4" s="3">
        <v>74.55</v>
      </c>
      <c r="C4" s="3">
        <v>0.248418</v>
      </c>
      <c r="D4" s="3"/>
      <c r="E4" s="3">
        <f t="shared" si="0"/>
        <v>3.3319999999999999E-3</v>
      </c>
      <c r="F4" s="3" t="s">
        <v>178</v>
      </c>
      <c r="G4" s="3"/>
      <c r="H4" s="3">
        <f>E4</f>
        <v>3.3319999999999999E-3</v>
      </c>
      <c r="I4" s="3">
        <f>E4</f>
        <v>3.3319999999999999E-3</v>
      </c>
      <c r="J4" s="3"/>
      <c r="K4" s="3"/>
      <c r="L4" s="3"/>
      <c r="M4" s="3"/>
      <c r="N4" s="3"/>
      <c r="O4" s="3"/>
      <c r="P4" s="3"/>
      <c r="Q4" s="3"/>
      <c r="R4" s="3"/>
      <c r="S4" s="3"/>
      <c r="T4" s="5"/>
    </row>
    <row r="5" spans="1:20">
      <c r="A5" s="3" t="s">
        <v>38</v>
      </c>
      <c r="B5" s="3">
        <v>84.01</v>
      </c>
      <c r="C5" s="3">
        <v>0.84</v>
      </c>
      <c r="D5" s="3"/>
      <c r="E5" s="3">
        <f t="shared" si="0"/>
        <v>9.9989999999999992E-3</v>
      </c>
      <c r="F5" s="3" t="s">
        <v>77</v>
      </c>
      <c r="G5" s="3">
        <f>E5</f>
        <v>9.9989999999999992E-3</v>
      </c>
      <c r="H5" s="3"/>
      <c r="I5" s="3"/>
      <c r="J5" s="3"/>
      <c r="K5" s="3"/>
      <c r="L5" s="3"/>
      <c r="M5" s="3"/>
      <c r="N5" s="3"/>
      <c r="O5" s="3"/>
      <c r="P5" s="3"/>
      <c r="Q5" s="3"/>
      <c r="R5" s="3"/>
      <c r="S5" s="3">
        <f>E5</f>
        <v>9.9989999999999992E-3</v>
      </c>
      <c r="T5" s="5"/>
    </row>
    <row r="6" spans="1:20">
      <c r="A6" s="3" t="s">
        <v>28</v>
      </c>
      <c r="B6" s="3">
        <v>142.04</v>
      </c>
      <c r="C6" s="3">
        <v>1.42191</v>
      </c>
      <c r="D6" s="3"/>
      <c r="E6" s="3">
        <f t="shared" si="0"/>
        <v>1.0011000000000001E-2</v>
      </c>
      <c r="F6" s="3" t="s">
        <v>77</v>
      </c>
      <c r="G6" s="3">
        <f>E6*2</f>
        <v>2.0022000000000002E-2</v>
      </c>
      <c r="H6" s="3"/>
      <c r="I6" s="3"/>
      <c r="J6" s="3"/>
      <c r="K6" s="3"/>
      <c r="L6" s="3"/>
      <c r="M6" s="3">
        <f>E6</f>
        <v>1.0011000000000001E-2</v>
      </c>
      <c r="N6" s="3"/>
      <c r="O6" s="3"/>
      <c r="P6" s="3"/>
      <c r="Q6" s="3"/>
      <c r="R6" s="3"/>
      <c r="S6" s="3"/>
      <c r="T6" s="5"/>
    </row>
    <row r="7" spans="1:20">
      <c r="A7" s="3" t="s">
        <v>30</v>
      </c>
      <c r="B7" s="3">
        <v>102.89</v>
      </c>
      <c r="C7" s="3">
        <v>2.74059E-2</v>
      </c>
      <c r="D7" s="3"/>
      <c r="E7" s="3">
        <f t="shared" si="0"/>
        <v>2.6600000000000001E-4</v>
      </c>
      <c r="F7" s="3" t="s">
        <v>171</v>
      </c>
      <c r="G7" s="3">
        <f>E7</f>
        <v>2.6600000000000001E-4</v>
      </c>
      <c r="H7" s="3"/>
      <c r="I7" s="3"/>
      <c r="J7" s="3"/>
      <c r="K7" s="3"/>
      <c r="L7" s="3"/>
      <c r="M7" s="3"/>
      <c r="N7" s="3">
        <f>E7</f>
        <v>2.6600000000000001E-4</v>
      </c>
      <c r="O7" s="3"/>
      <c r="P7" s="3"/>
      <c r="Q7" s="3"/>
      <c r="R7" s="3"/>
      <c r="S7" s="3"/>
    </row>
    <row r="8" spans="1:20">
      <c r="A8" s="3" t="s">
        <v>31</v>
      </c>
      <c r="B8" s="3">
        <v>61.83</v>
      </c>
      <c r="C8" s="3">
        <v>8.6580000000000008E-3</v>
      </c>
      <c r="D8" s="3"/>
      <c r="E8" s="3">
        <f t="shared" si="0"/>
        <v>1.3999999999999999E-4</v>
      </c>
      <c r="F8" s="3" t="s">
        <v>172</v>
      </c>
      <c r="G8" s="3"/>
      <c r="H8" s="3"/>
      <c r="I8" s="3"/>
      <c r="J8" s="3"/>
      <c r="K8" s="3"/>
      <c r="L8" s="3"/>
      <c r="M8" s="3"/>
      <c r="N8" s="3"/>
      <c r="O8" s="3">
        <f>E8</f>
        <v>1.3999999999999999E-4</v>
      </c>
      <c r="P8" s="3"/>
      <c r="Q8" s="3"/>
      <c r="R8" s="3"/>
      <c r="S8" s="3"/>
      <c r="T8" s="5"/>
    </row>
    <row r="9" spans="1:20">
      <c r="A9" s="3" t="s">
        <v>32</v>
      </c>
      <c r="B9" s="3">
        <v>158.53</v>
      </c>
      <c r="C9" s="3">
        <v>4.7286000000000003E-3</v>
      </c>
      <c r="D9" s="3"/>
      <c r="E9" s="3">
        <f t="shared" si="0"/>
        <v>3.0000000000000001E-5</v>
      </c>
      <c r="F9" s="3" t="s">
        <v>173</v>
      </c>
      <c r="G9" s="3"/>
      <c r="H9" s="3">
        <f>E9</f>
        <v>3.0000000000000001E-5</v>
      </c>
      <c r="I9" s="3"/>
      <c r="J9" s="3"/>
      <c r="K9" s="3"/>
      <c r="L9" s="3"/>
      <c r="M9" s="3"/>
      <c r="N9" s="3"/>
      <c r="O9" s="3"/>
      <c r="P9" s="3">
        <f>E9</f>
        <v>3.0000000000000001E-5</v>
      </c>
      <c r="Q9" s="3"/>
      <c r="R9" s="3"/>
      <c r="S9" s="3"/>
      <c r="T9" s="5"/>
    </row>
    <row r="10" spans="1:20">
      <c r="A10" s="3" t="s">
        <v>33</v>
      </c>
      <c r="B10" s="3">
        <v>41.99</v>
      </c>
      <c r="C10" s="3">
        <v>1E-3</v>
      </c>
      <c r="D10" s="3"/>
      <c r="E10" s="3">
        <f t="shared" si="0"/>
        <v>2.4000000000000001E-5</v>
      </c>
      <c r="F10" s="3" t="s">
        <v>164</v>
      </c>
      <c r="G10" s="3">
        <f>E10</f>
        <v>2.4000000000000001E-5</v>
      </c>
      <c r="H10" s="3"/>
      <c r="I10" s="3"/>
      <c r="J10" s="3"/>
      <c r="K10" s="3"/>
      <c r="L10" s="3"/>
      <c r="M10" s="3"/>
      <c r="N10" s="3"/>
      <c r="O10" s="3"/>
      <c r="P10" s="3"/>
      <c r="Q10" s="3">
        <f>E10</f>
        <v>2.4000000000000001E-5</v>
      </c>
      <c r="R10" s="3"/>
      <c r="S10" s="3"/>
      <c r="T10" s="5"/>
    </row>
    <row r="11" spans="1:20">
      <c r="A11" s="3" t="s">
        <v>54</v>
      </c>
      <c r="B11" s="3">
        <v>136.09</v>
      </c>
      <c r="C11" s="3">
        <v>7.0000000000000001E-3</v>
      </c>
      <c r="D11" s="3"/>
      <c r="E11" s="3">
        <f t="shared" si="0"/>
        <v>5.1E-5</v>
      </c>
      <c r="F11" s="3" t="s">
        <v>78</v>
      </c>
      <c r="G11" s="3"/>
      <c r="H11" s="3"/>
      <c r="I11" s="3"/>
      <c r="J11" s="3"/>
      <c r="K11" s="3"/>
      <c r="L11" s="12">
        <v>5.1E-5</v>
      </c>
      <c r="M11" s="3"/>
      <c r="N11" s="3"/>
      <c r="O11" s="3"/>
      <c r="P11" s="3"/>
      <c r="Q11" s="3"/>
      <c r="R11" s="3"/>
      <c r="S11" s="3"/>
    </row>
    <row r="12" spans="1:20">
      <c r="A12" s="5"/>
      <c r="B12" s="5"/>
    </row>
    <row r="13" spans="1:20">
      <c r="A13" s="5" t="s">
        <v>82</v>
      </c>
      <c r="C13" t="s">
        <v>55</v>
      </c>
    </row>
    <row r="14" spans="1:20">
      <c r="A14" s="4" t="s">
        <v>115</v>
      </c>
      <c r="B14" s="4">
        <v>203.3</v>
      </c>
      <c r="C14" s="4">
        <v>21.2</v>
      </c>
      <c r="D14" s="4">
        <v>20</v>
      </c>
      <c r="E14" s="4">
        <f>ROUND((((C14/B14)*10)/D14)*0.333, 6)</f>
        <v>1.7363E-2</v>
      </c>
      <c r="F14" s="4" t="s">
        <v>170</v>
      </c>
      <c r="G14" s="4"/>
      <c r="H14" s="4">
        <f>E14*2</f>
        <v>3.4726E-2</v>
      </c>
      <c r="I14" s="4"/>
      <c r="J14" s="4">
        <f>E14</f>
        <v>1.7363E-2</v>
      </c>
      <c r="K14" s="4"/>
      <c r="L14" s="4"/>
      <c r="M14" s="4"/>
      <c r="N14" s="4"/>
      <c r="O14" s="4"/>
      <c r="P14" s="4"/>
      <c r="Q14" s="4"/>
      <c r="R14" s="4"/>
      <c r="S14" s="4"/>
      <c r="T14" s="5"/>
    </row>
    <row r="15" spans="1:20">
      <c r="A15" s="4" t="s">
        <v>116</v>
      </c>
      <c r="B15" s="4">
        <v>147.01</v>
      </c>
      <c r="C15" s="4">
        <v>3.04</v>
      </c>
      <c r="D15" s="4">
        <v>20</v>
      </c>
      <c r="E15" s="4">
        <f>ROUND((((C15/B15)*10)/D15)*0.333, 6)</f>
        <v>3.4429999999999999E-3</v>
      </c>
      <c r="F15" s="4" t="s">
        <v>169</v>
      </c>
      <c r="G15" s="4"/>
      <c r="H15" s="4">
        <f>E15*2</f>
        <v>6.8859999999999998E-3</v>
      </c>
      <c r="I15" s="4"/>
      <c r="J15" s="4"/>
      <c r="K15" s="4">
        <f>E15</f>
        <v>3.4429999999999999E-3</v>
      </c>
      <c r="L15" s="4"/>
      <c r="M15" s="4"/>
      <c r="N15" s="4"/>
      <c r="O15" s="4"/>
      <c r="P15" s="4"/>
      <c r="Q15" s="4"/>
      <c r="R15" s="4"/>
      <c r="S15" s="4"/>
      <c r="T15" s="5"/>
    </row>
    <row r="16" spans="1:20" s="5" customFormat="1"/>
    <row r="17" spans="1:21">
      <c r="A17" t="s">
        <v>106</v>
      </c>
      <c r="C17" t="s">
        <v>70</v>
      </c>
      <c r="F17" s="5"/>
      <c r="G17" s="5"/>
      <c r="H17" s="5"/>
      <c r="I17" s="5"/>
      <c r="J17" s="5"/>
      <c r="K17" s="5"/>
      <c r="L17" s="5"/>
      <c r="M17" s="5"/>
      <c r="N17" s="5"/>
      <c r="O17" s="5"/>
      <c r="P17" s="5"/>
      <c r="Q17" s="5"/>
      <c r="R17" s="5"/>
      <c r="S17" s="5"/>
      <c r="T17" s="5"/>
    </row>
    <row r="18" spans="1:21">
      <c r="A18" s="7" t="s">
        <v>117</v>
      </c>
      <c r="B18" s="7">
        <v>278.01</v>
      </c>
      <c r="C18" s="7">
        <v>2.8E-3</v>
      </c>
      <c r="D18" s="7">
        <v>1000</v>
      </c>
      <c r="E18" s="7">
        <f>((C18/B18)*10)/D18</f>
        <v>1.0071580158987087E-7</v>
      </c>
      <c r="F18" s="7" t="s">
        <v>108</v>
      </c>
      <c r="G18" s="7"/>
      <c r="H18" s="7"/>
      <c r="I18" s="7"/>
      <c r="J18" s="7"/>
      <c r="K18" s="7"/>
      <c r="L18" s="7"/>
      <c r="M18" s="7">
        <f>E18</f>
        <v>1.0071580158987087E-7</v>
      </c>
      <c r="N18" s="7"/>
      <c r="O18" s="7"/>
      <c r="P18" s="7"/>
      <c r="Q18" s="7"/>
      <c r="R18" s="7">
        <f>E18</f>
        <v>1.0071580158987087E-7</v>
      </c>
      <c r="S18" s="7"/>
      <c r="T18" s="5"/>
    </row>
    <row r="19" spans="1:21">
      <c r="A19" s="7" t="s">
        <v>91</v>
      </c>
      <c r="B19" s="7">
        <v>235.1</v>
      </c>
      <c r="C19" s="7">
        <v>8.0999999999999996E-3</v>
      </c>
      <c r="D19" s="7">
        <v>1000</v>
      </c>
      <c r="E19" s="7">
        <f>((C19/B19)*10)/D19</f>
        <v>3.4453424074861757E-7</v>
      </c>
      <c r="F19" s="7" t="s">
        <v>107</v>
      </c>
      <c r="G19" s="7"/>
      <c r="H19" s="7"/>
      <c r="I19" s="7"/>
      <c r="J19" s="7"/>
      <c r="K19" s="7"/>
      <c r="L19" s="7"/>
      <c r="M19" s="7"/>
      <c r="N19" s="7"/>
      <c r="O19" s="7"/>
      <c r="P19" s="7"/>
      <c r="Q19" s="7"/>
      <c r="R19" s="7"/>
      <c r="S19" s="26"/>
      <c r="T19" s="11"/>
      <c r="U19" s="8"/>
    </row>
    <row r="20" spans="1:21">
      <c r="G20" s="9" t="s">
        <v>56</v>
      </c>
      <c r="H20" s="9" t="s">
        <v>57</v>
      </c>
      <c r="I20" s="9" t="s">
        <v>58</v>
      </c>
      <c r="J20" s="9" t="s">
        <v>59</v>
      </c>
      <c r="K20" s="9" t="s">
        <v>60</v>
      </c>
      <c r="L20" s="9" t="s">
        <v>61</v>
      </c>
      <c r="M20" s="9" t="s">
        <v>62</v>
      </c>
      <c r="N20" s="9" t="s">
        <v>63</v>
      </c>
      <c r="O20" s="9" t="s">
        <v>64</v>
      </c>
      <c r="P20" s="9" t="s">
        <v>65</v>
      </c>
      <c r="Q20" s="9" t="s">
        <v>66</v>
      </c>
      <c r="R20" s="9" t="s">
        <v>67</v>
      </c>
      <c r="S20" s="25" t="s">
        <v>152</v>
      </c>
      <c r="T20" s="11"/>
      <c r="U20" s="8"/>
    </row>
    <row r="21" spans="1:21">
      <c r="A21" s="9" t="s">
        <v>74</v>
      </c>
      <c r="B21" s="9"/>
      <c r="C21" s="9"/>
      <c r="D21" s="9"/>
      <c r="E21" s="9"/>
      <c r="F21" s="9"/>
      <c r="G21" s="9">
        <f t="shared" ref="G21:R21" si="1">SUM(G3:G18)</f>
        <v>0.16614800000000002</v>
      </c>
      <c r="H21" s="9">
        <f t="shared" si="1"/>
        <v>0.18081100000000003</v>
      </c>
      <c r="I21" s="9">
        <f t="shared" si="1"/>
        <v>3.3319999999999999E-3</v>
      </c>
      <c r="J21" s="9">
        <f t="shared" si="1"/>
        <v>1.7363E-2</v>
      </c>
      <c r="K21" s="9">
        <f t="shared" si="1"/>
        <v>3.4429999999999999E-3</v>
      </c>
      <c r="L21" s="9">
        <f t="shared" si="1"/>
        <v>5.1E-5</v>
      </c>
      <c r="M21" s="9">
        <f t="shared" si="1"/>
        <v>1.001110071580159E-2</v>
      </c>
      <c r="N21" s="9">
        <f t="shared" si="1"/>
        <v>2.6600000000000001E-4</v>
      </c>
      <c r="O21" s="9">
        <f t="shared" si="1"/>
        <v>1.3999999999999999E-4</v>
      </c>
      <c r="P21" s="9">
        <f t="shared" si="1"/>
        <v>3.0000000000000001E-5</v>
      </c>
      <c r="Q21" s="9">
        <f t="shared" si="1"/>
        <v>2.4000000000000001E-5</v>
      </c>
      <c r="R21" s="9">
        <f t="shared" si="1"/>
        <v>1.0071580158987087E-7</v>
      </c>
      <c r="S21" s="9">
        <f>SUM(S3:S19)</f>
        <v>9.9989999999999992E-3</v>
      </c>
    </row>
    <row r="22" spans="1:21">
      <c r="A22" s="9" t="s">
        <v>75</v>
      </c>
      <c r="B22" s="9"/>
      <c r="C22" s="9"/>
      <c r="D22" s="9"/>
      <c r="E22" s="9"/>
      <c r="F22" s="9"/>
      <c r="G22" s="9" t="s">
        <v>167</v>
      </c>
      <c r="H22" s="9" t="s">
        <v>168</v>
      </c>
      <c r="I22" s="9" t="s">
        <v>169</v>
      </c>
      <c r="J22" s="9" t="s">
        <v>170</v>
      </c>
      <c r="K22" s="9" t="s">
        <v>169</v>
      </c>
      <c r="L22" s="9" t="s">
        <v>78</v>
      </c>
      <c r="M22" s="9" t="s">
        <v>77</v>
      </c>
      <c r="N22" s="9" t="s">
        <v>171</v>
      </c>
      <c r="O22" s="9" t="s">
        <v>172</v>
      </c>
      <c r="P22" s="9" t="s">
        <v>173</v>
      </c>
      <c r="Q22" s="9" t="s">
        <v>164</v>
      </c>
      <c r="R22" s="9" t="s">
        <v>108</v>
      </c>
      <c r="S22" s="9" t="s">
        <v>77</v>
      </c>
    </row>
    <row r="23" spans="1:21">
      <c r="A23" t="s">
        <v>197</v>
      </c>
      <c r="G23">
        <f>G21*22.99</f>
        <v>3.8197425200000001</v>
      </c>
      <c r="H23">
        <f>H21*35.45</f>
        <v>6.4097499500000019</v>
      </c>
      <c r="I23">
        <f>I21*39.1</f>
        <v>0.13028120000000001</v>
      </c>
      <c r="J23">
        <f>J21*24.3</f>
        <v>0.42192089999999999</v>
      </c>
      <c r="K23">
        <f>K21*40.08</f>
        <v>0.13799544</v>
      </c>
      <c r="L23">
        <f>L21*30.97</f>
        <v>1.5794699999999999E-3</v>
      </c>
      <c r="M23">
        <f>M21*32.06</f>
        <v>0.320955888948599</v>
      </c>
      <c r="N23">
        <f>N21*79.9</f>
        <v>2.1253400000000002E-2</v>
      </c>
      <c r="O23">
        <f>O21*10.81</f>
        <v>1.5134E-3</v>
      </c>
      <c r="P23">
        <f>P21*87.62</f>
        <v>2.6286E-3</v>
      </c>
      <c r="Q23">
        <f>Q21*18.998</f>
        <v>4.5595200000000003E-4</v>
      </c>
      <c r="R23">
        <f>R21*55.85</f>
        <v>5.6249775187942877E-6</v>
      </c>
      <c r="S23" s="5"/>
      <c r="T23" s="5"/>
    </row>
    <row r="24" spans="1:21">
      <c r="S24" s="5"/>
      <c r="T24" s="5"/>
    </row>
    <row r="25" spans="1:21">
      <c r="A25" s="18" t="s">
        <v>125</v>
      </c>
      <c r="B25" s="19" t="s">
        <v>11</v>
      </c>
      <c r="C25" s="19" t="s">
        <v>55</v>
      </c>
      <c r="D25" s="5"/>
      <c r="E25" s="5"/>
      <c r="F25" s="13"/>
      <c r="G25" t="s">
        <v>72</v>
      </c>
    </row>
    <row r="26" spans="1:21">
      <c r="A26" s="19" t="s">
        <v>114</v>
      </c>
      <c r="B26" s="19">
        <v>197.91</v>
      </c>
      <c r="C26" s="20">
        <v>1.7999999999999999E-2</v>
      </c>
      <c r="D26" s="5">
        <v>100000</v>
      </c>
      <c r="E26" s="5">
        <f t="shared" ref="E26:E31" si="2">((C26/B26)*10)/D26</f>
        <v>9.0950432014552062E-9</v>
      </c>
      <c r="F26" s="13" t="s">
        <v>101</v>
      </c>
    </row>
    <row r="27" spans="1:21">
      <c r="A27" s="19" t="s">
        <v>126</v>
      </c>
      <c r="B27" s="19">
        <v>179.47</v>
      </c>
      <c r="C27" s="20">
        <v>2E-3</v>
      </c>
      <c r="D27" s="5">
        <v>100000</v>
      </c>
      <c r="E27" s="5">
        <f t="shared" si="2"/>
        <v>1.1143923775561374E-9</v>
      </c>
      <c r="F27" s="13" t="s">
        <v>102</v>
      </c>
      <c r="K27" s="5"/>
      <c r="L27" s="5" t="s">
        <v>181</v>
      </c>
      <c r="M27" s="5">
        <f>(H21*35.5)*1.803</f>
        <v>11.573079271500001</v>
      </c>
    </row>
    <row r="28" spans="1:21">
      <c r="A28" s="19" t="s">
        <v>34</v>
      </c>
      <c r="B28" s="19">
        <v>129.839</v>
      </c>
      <c r="C28" s="20">
        <v>6.4919499999999998E-4</v>
      </c>
      <c r="D28" s="5">
        <v>100000</v>
      </c>
      <c r="E28" s="5">
        <f t="shared" si="2"/>
        <v>4.9999999999999993E-10</v>
      </c>
      <c r="F28" s="13" t="s">
        <v>127</v>
      </c>
      <c r="K28" s="5"/>
      <c r="L28" s="5"/>
      <c r="M28" s="5"/>
    </row>
    <row r="29" spans="1:21">
      <c r="A29" s="19" t="s">
        <v>35</v>
      </c>
      <c r="B29" s="19">
        <v>205.92</v>
      </c>
      <c r="C29" s="20">
        <v>6.5693999999999995E-4</v>
      </c>
      <c r="D29" s="5">
        <v>100000</v>
      </c>
      <c r="E29" s="5">
        <f t="shared" si="2"/>
        <v>3.1902680652680648E-10</v>
      </c>
      <c r="F29" s="13" t="s">
        <v>128</v>
      </c>
      <c r="K29" s="5"/>
      <c r="L29" s="5"/>
      <c r="M29" s="5"/>
    </row>
    <row r="30" spans="1:21">
      <c r="A30" s="19" t="s">
        <v>36</v>
      </c>
      <c r="B30" s="19">
        <v>172.94</v>
      </c>
      <c r="C30" s="20">
        <v>1.7294000000000001E-3</v>
      </c>
      <c r="D30" s="5">
        <v>100000</v>
      </c>
      <c r="E30" s="5">
        <f t="shared" si="2"/>
        <v>1.0000000000000001E-9</v>
      </c>
      <c r="F30" s="13" t="s">
        <v>102</v>
      </c>
      <c r="K30" s="5"/>
      <c r="L30" s="5"/>
      <c r="M30" s="5"/>
    </row>
    <row r="31" spans="1:21">
      <c r="A31" s="19" t="s">
        <v>37</v>
      </c>
      <c r="B31" s="19">
        <v>129.5994</v>
      </c>
      <c r="C31" s="20">
        <v>1.2959940000000002E-3</v>
      </c>
      <c r="D31" s="5">
        <v>100000</v>
      </c>
      <c r="E31" s="5">
        <f t="shared" si="2"/>
        <v>1.0000000000000001E-9</v>
      </c>
      <c r="F31" s="13" t="s">
        <v>102</v>
      </c>
      <c r="K31" s="5"/>
      <c r="L31" s="5"/>
      <c r="M31" s="5"/>
    </row>
    <row r="32" spans="1:21">
      <c r="E32" s="5"/>
    </row>
    <row r="33" spans="1:14">
      <c r="A33" s="18" t="s">
        <v>124</v>
      </c>
      <c r="B33" s="5" t="s">
        <v>11</v>
      </c>
      <c r="C33" s="5" t="s">
        <v>55</v>
      </c>
      <c r="D33" s="5"/>
      <c r="E33" s="5"/>
      <c r="F33" s="13"/>
      <c r="G33" t="s">
        <v>72</v>
      </c>
      <c r="L33" t="s">
        <v>11</v>
      </c>
      <c r="M33" t="s">
        <v>9</v>
      </c>
      <c r="N33" t="s">
        <v>110</v>
      </c>
    </row>
    <row r="34" spans="1:14">
      <c r="A34" s="5" t="s">
        <v>44</v>
      </c>
      <c r="B34" s="5">
        <v>337.27</v>
      </c>
      <c r="C34" s="5">
        <v>1.69</v>
      </c>
      <c r="D34" s="14">
        <v>100000</v>
      </c>
      <c r="E34" s="5">
        <f t="shared" ref="E34:E43" si="3">((C34/B34)*10)/D34</f>
        <v>5.0108221899368456E-7</v>
      </c>
      <c r="F34" s="13" t="s">
        <v>39</v>
      </c>
      <c r="L34" s="7">
        <v>278.01</v>
      </c>
      <c r="M34">
        <v>1.0000000000000001E-5</v>
      </c>
      <c r="N34" s="15">
        <f>M34/L34</f>
        <v>3.5969929139239601E-8</v>
      </c>
    </row>
    <row r="35" spans="1:14">
      <c r="A35" s="5" t="s">
        <v>46</v>
      </c>
      <c r="B35" s="5">
        <v>376.36</v>
      </c>
      <c r="C35" s="5">
        <v>2.5999999999999999E-3</v>
      </c>
      <c r="D35" s="14">
        <v>100000</v>
      </c>
      <c r="E35" s="5">
        <f t="shared" si="3"/>
        <v>6.9082793070464442E-10</v>
      </c>
      <c r="F35" s="13" t="s">
        <v>98</v>
      </c>
      <c r="N35">
        <v>3.5899999999999997E-8</v>
      </c>
    </row>
    <row r="36" spans="1:14">
      <c r="A36" s="5" t="s">
        <v>48</v>
      </c>
      <c r="B36" s="5">
        <v>123.12</v>
      </c>
      <c r="C36" s="5">
        <v>0.98499999999999999</v>
      </c>
      <c r="D36" s="14">
        <v>100000</v>
      </c>
      <c r="E36" s="5">
        <f t="shared" si="3"/>
        <v>8.0003248862897974E-7</v>
      </c>
      <c r="F36" s="13" t="s">
        <v>41</v>
      </c>
      <c r="N36" t="s">
        <v>111</v>
      </c>
    </row>
    <row r="37" spans="1:14">
      <c r="A37" s="5" t="s">
        <v>49</v>
      </c>
      <c r="B37" s="5">
        <v>238.27</v>
      </c>
      <c r="C37" s="5">
        <v>1.0129999999999999</v>
      </c>
      <c r="D37" s="14">
        <v>100000</v>
      </c>
      <c r="E37" s="5">
        <f t="shared" si="3"/>
        <v>4.2514794141100433E-7</v>
      </c>
      <c r="F37" s="13" t="s">
        <v>42</v>
      </c>
    </row>
    <row r="38" spans="1:14">
      <c r="A38" s="5" t="s">
        <v>45</v>
      </c>
      <c r="B38" s="5">
        <v>205.64</v>
      </c>
      <c r="C38" s="5">
        <v>1.028</v>
      </c>
      <c r="D38" s="14">
        <v>100000</v>
      </c>
      <c r="E38" s="5">
        <f t="shared" si="3"/>
        <v>4.9990274265707063E-7</v>
      </c>
      <c r="F38" s="13" t="s">
        <v>39</v>
      </c>
    </row>
    <row r="39" spans="1:14">
      <c r="A39" s="5" t="s">
        <v>47</v>
      </c>
      <c r="B39" s="5">
        <v>244.31</v>
      </c>
      <c r="C39" s="5">
        <v>9.7999999999999997E-3</v>
      </c>
      <c r="D39" s="14">
        <v>100000</v>
      </c>
      <c r="E39" s="5">
        <f t="shared" si="3"/>
        <v>4.0112971225082883E-9</v>
      </c>
      <c r="F39" s="13" t="s">
        <v>40</v>
      </c>
    </row>
    <row r="40" spans="1:14">
      <c r="A40" s="5" t="s">
        <v>50</v>
      </c>
      <c r="B40" s="5">
        <v>441.4</v>
      </c>
      <c r="C40" s="5">
        <v>1.77E-2</v>
      </c>
      <c r="D40" s="14">
        <v>100000</v>
      </c>
      <c r="E40" s="5">
        <f t="shared" si="3"/>
        <v>4.0099682827367471E-9</v>
      </c>
      <c r="F40" s="13" t="s">
        <v>40</v>
      </c>
    </row>
    <row r="41" spans="1:14">
      <c r="A41" s="5" t="s">
        <v>99</v>
      </c>
      <c r="B41" s="5">
        <v>1355.37</v>
      </c>
      <c r="C41" s="5">
        <v>9.4999999999999998E-3</v>
      </c>
      <c r="D41" s="14">
        <v>100000</v>
      </c>
      <c r="E41" s="5">
        <f t="shared" si="3"/>
        <v>7.0091561713775586E-10</v>
      </c>
      <c r="F41" s="13" t="s">
        <v>98</v>
      </c>
    </row>
    <row r="42" spans="1:14">
      <c r="A42" s="5" t="s">
        <v>51</v>
      </c>
      <c r="B42" s="5">
        <v>180.16</v>
      </c>
      <c r="C42" s="5">
        <v>0.90100000000000002</v>
      </c>
      <c r="D42" s="14">
        <v>100000</v>
      </c>
      <c r="E42" s="5">
        <f t="shared" si="3"/>
        <v>5.0011101243339257E-7</v>
      </c>
      <c r="F42" s="13" t="s">
        <v>39</v>
      </c>
    </row>
    <row r="43" spans="1:14">
      <c r="A43" s="5" t="s">
        <v>52</v>
      </c>
      <c r="B43" s="5">
        <v>137.13999999999999</v>
      </c>
      <c r="C43" s="5">
        <v>8.2299999999999998E-2</v>
      </c>
      <c r="D43" s="14">
        <v>100000</v>
      </c>
      <c r="E43" s="5">
        <f t="shared" si="3"/>
        <v>6.0011666909727283E-8</v>
      </c>
      <c r="F43" s="13" t="s">
        <v>43</v>
      </c>
    </row>
    <row r="45" spans="1:14">
      <c r="A45" t="s">
        <v>103</v>
      </c>
    </row>
    <row r="46" spans="1:14">
      <c r="A46" t="s">
        <v>104</v>
      </c>
      <c r="C46" s="6"/>
    </row>
    <row r="47" spans="1:14">
      <c r="A47" t="s">
        <v>112</v>
      </c>
      <c r="C47" s="6"/>
    </row>
    <row r="48" spans="1:14">
      <c r="A48" t="s">
        <v>109</v>
      </c>
      <c r="C48" s="6"/>
    </row>
    <row r="49" spans="1:8">
      <c r="A49" t="s">
        <v>105</v>
      </c>
      <c r="C49" s="6"/>
    </row>
    <row r="50" spans="1:8">
      <c r="C50" s="6"/>
    </row>
    <row r="51" spans="1:8">
      <c r="C51" s="6"/>
    </row>
    <row r="52" spans="1:8">
      <c r="A52" s="8" t="s">
        <v>73</v>
      </c>
      <c r="C52" s="6"/>
    </row>
    <row r="53" spans="1:8">
      <c r="A53" s="8" t="s">
        <v>165</v>
      </c>
      <c r="C53" s="6"/>
    </row>
    <row r="54" spans="1:8">
      <c r="A54" s="8" t="s">
        <v>71</v>
      </c>
      <c r="C54" s="6"/>
      <c r="G54" s="6" t="s">
        <v>21</v>
      </c>
      <c r="H54">
        <v>20</v>
      </c>
    </row>
    <row r="55" spans="1:8">
      <c r="A55" s="8" t="s">
        <v>92</v>
      </c>
      <c r="C55" s="6"/>
      <c r="G55" s="6" t="s">
        <v>129</v>
      </c>
      <c r="H55">
        <v>500</v>
      </c>
    </row>
    <row r="56" spans="1:8">
      <c r="A56" s="8" t="s">
        <v>84</v>
      </c>
      <c r="C56" s="6"/>
      <c r="G56" s="6" t="s">
        <v>22</v>
      </c>
      <c r="H56">
        <v>0.5</v>
      </c>
    </row>
    <row r="57" spans="1:8">
      <c r="A57" s="8" t="s">
        <v>85</v>
      </c>
      <c r="C57" s="6"/>
      <c r="G57" s="6" t="s">
        <v>148</v>
      </c>
      <c r="H57">
        <v>500</v>
      </c>
    </row>
    <row r="58" spans="1:8">
      <c r="A58" s="8" t="s">
        <v>93</v>
      </c>
      <c r="C58" s="6"/>
    </row>
    <row r="59" spans="1:8">
      <c r="B59" s="8" t="s">
        <v>140</v>
      </c>
    </row>
    <row r="60" spans="1:8">
      <c r="A60" s="1"/>
      <c r="B60" s="8" t="s">
        <v>166</v>
      </c>
    </row>
    <row r="61" spans="1:8">
      <c r="A61" s="1"/>
      <c r="B61" s="8" t="s">
        <v>113</v>
      </c>
    </row>
    <row r="62" spans="1:8">
      <c r="A62" s="8" t="s">
        <v>86</v>
      </c>
    </row>
    <row r="69" spans="1:2">
      <c r="A69" s="1"/>
    </row>
    <row r="70" spans="1:2">
      <c r="A70" s="1"/>
      <c r="B70" s="1"/>
    </row>
    <row r="71" spans="1:2">
      <c r="A71" s="1"/>
      <c r="B71" s="1"/>
    </row>
    <row r="72" spans="1:2">
      <c r="A72" s="1"/>
    </row>
    <row r="73" spans="1:2">
      <c r="A73" s="1"/>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topLeftCell="B1" workbookViewId="0">
      <selection activeCell="L23" sqref="L23"/>
    </sheetView>
  </sheetViews>
  <sheetFormatPr baseColWidth="10" defaultColWidth="8.83203125" defaultRowHeight="15" x14ac:dyDescent="0"/>
  <cols>
    <col min="1" max="1" width="20.6640625" bestFit="1" customWidth="1"/>
    <col min="2" max="2" width="9" bestFit="1" customWidth="1"/>
    <col min="3" max="3" width="9.5" customWidth="1"/>
    <col min="4" max="4" width="10.5" customWidth="1"/>
    <col min="5" max="5" width="11.83203125" customWidth="1"/>
    <col min="7" max="7" width="9.33203125" bestFit="1" customWidth="1"/>
    <col min="8" max="8" width="9" bestFit="1" customWidth="1"/>
    <col min="9" max="9" width="12.1640625" bestFit="1" customWidth="1"/>
    <col min="10" max="11" width="9" bestFit="1" customWidth="1"/>
    <col min="12" max="12" width="12.33203125" bestFit="1" customWidth="1"/>
    <col min="13" max="13" width="10.5" customWidth="1"/>
    <col min="14" max="14" width="12.1640625" customWidth="1"/>
    <col min="15" max="16" width="9" bestFit="1" customWidth="1"/>
    <col min="17" max="17" width="9.33203125" bestFit="1" customWidth="1"/>
    <col min="18" max="18" width="10" customWidth="1"/>
    <col min="24" max="24" width="7.6640625" customWidth="1"/>
  </cols>
  <sheetData>
    <row r="1" spans="1:25">
      <c r="A1" s="2" t="s">
        <v>184</v>
      </c>
    </row>
    <row r="2" spans="1:25">
      <c r="A2" t="s">
        <v>69</v>
      </c>
      <c r="B2" t="s">
        <v>11</v>
      </c>
      <c r="C2" t="s">
        <v>9</v>
      </c>
      <c r="D2" t="s">
        <v>68</v>
      </c>
      <c r="E2" t="s">
        <v>53</v>
      </c>
      <c r="F2" t="s">
        <v>206</v>
      </c>
      <c r="G2" s="10" t="s">
        <v>56</v>
      </c>
      <c r="H2" s="10" t="s">
        <v>57</v>
      </c>
      <c r="I2" s="10" t="s">
        <v>58</v>
      </c>
      <c r="J2" s="10" t="s">
        <v>59</v>
      </c>
      <c r="K2" s="10" t="s">
        <v>60</v>
      </c>
      <c r="L2" s="10" t="s">
        <v>61</v>
      </c>
      <c r="M2" s="10" t="s">
        <v>62</v>
      </c>
      <c r="N2" s="10" t="s">
        <v>63</v>
      </c>
      <c r="O2" s="10" t="s">
        <v>64</v>
      </c>
      <c r="P2" s="10" t="s">
        <v>65</v>
      </c>
      <c r="Q2" s="10" t="s">
        <v>66</v>
      </c>
      <c r="R2" s="10" t="s">
        <v>67</v>
      </c>
      <c r="S2" s="10" t="s">
        <v>152</v>
      </c>
      <c r="W2" s="10" t="s">
        <v>195</v>
      </c>
      <c r="Y2" t="s">
        <v>196</v>
      </c>
    </row>
    <row r="3" spans="1:25">
      <c r="A3" s="3" t="s">
        <v>27</v>
      </c>
      <c r="B3" s="3">
        <v>58.442999999999998</v>
      </c>
      <c r="C3" s="3">
        <v>3.96936</v>
      </c>
      <c r="D3" s="3"/>
      <c r="E3" s="3">
        <f t="shared" ref="E3:E11" si="0">ROUND(C3/B3, 6)</f>
        <v>6.7918000000000006E-2</v>
      </c>
      <c r="F3" s="3" t="s">
        <v>185</v>
      </c>
      <c r="G3" s="3">
        <f>E3</f>
        <v>6.7918000000000006E-2</v>
      </c>
      <c r="H3" s="3">
        <f>E3</f>
        <v>6.7918000000000006E-2</v>
      </c>
      <c r="I3" s="3"/>
      <c r="J3" s="3"/>
      <c r="K3" s="3"/>
      <c r="L3" s="3"/>
      <c r="M3" s="3"/>
      <c r="N3" s="3"/>
      <c r="O3" s="3"/>
      <c r="P3" s="3"/>
      <c r="Q3" s="3"/>
      <c r="R3" s="3"/>
      <c r="S3" s="3"/>
      <c r="T3" s="5"/>
      <c r="U3" s="5"/>
      <c r="V3" s="5"/>
      <c r="W3" s="3">
        <f>2*3.96936</f>
        <v>7.93872</v>
      </c>
      <c r="X3" s="3" t="s">
        <v>27</v>
      </c>
      <c r="Y3" s="3">
        <v>3.96936</v>
      </c>
    </row>
    <row r="4" spans="1:25">
      <c r="A4" s="3" t="s">
        <v>29</v>
      </c>
      <c r="B4" s="3">
        <v>74.55</v>
      </c>
      <c r="C4" s="3">
        <v>0.124209</v>
      </c>
      <c r="D4" s="3"/>
      <c r="E4" s="3">
        <f t="shared" si="0"/>
        <v>1.6659999999999999E-3</v>
      </c>
      <c r="F4" s="3" t="s">
        <v>186</v>
      </c>
      <c r="G4" s="3"/>
      <c r="H4" s="3">
        <f>E4</f>
        <v>1.6659999999999999E-3</v>
      </c>
      <c r="I4" s="3">
        <f>E4</f>
        <v>1.6659999999999999E-3</v>
      </c>
      <c r="J4" s="3"/>
      <c r="K4" s="3"/>
      <c r="L4" s="3"/>
      <c r="M4" s="3"/>
      <c r="N4" s="3"/>
      <c r="O4" s="3"/>
      <c r="P4" s="3"/>
      <c r="Q4" s="3"/>
      <c r="R4" s="3"/>
      <c r="S4" s="3"/>
      <c r="T4" s="5"/>
      <c r="U4" s="5"/>
      <c r="V4" s="5"/>
      <c r="W4" s="3">
        <f>2*0.124209</f>
        <v>0.248418</v>
      </c>
      <c r="X4" s="3" t="s">
        <v>29</v>
      </c>
      <c r="Y4" s="3">
        <v>0.124209</v>
      </c>
    </row>
    <row r="5" spans="1:25">
      <c r="A5" s="3" t="s">
        <v>38</v>
      </c>
      <c r="B5" s="3">
        <v>84.01</v>
      </c>
      <c r="C5" s="3">
        <v>0.84</v>
      </c>
      <c r="D5" s="3"/>
      <c r="E5" s="3">
        <f t="shared" si="0"/>
        <v>9.9989999999999992E-3</v>
      </c>
      <c r="F5" s="3" t="s">
        <v>77</v>
      </c>
      <c r="G5" s="3">
        <f>E5</f>
        <v>9.9989999999999992E-3</v>
      </c>
      <c r="H5" s="3"/>
      <c r="I5" s="3"/>
      <c r="J5" s="3"/>
      <c r="K5" s="3"/>
      <c r="L5" s="3"/>
      <c r="M5" s="3"/>
      <c r="N5" s="3"/>
      <c r="O5" s="3"/>
      <c r="P5" s="3"/>
      <c r="Q5" s="3"/>
      <c r="R5" s="3"/>
      <c r="S5" s="3">
        <f>E5</f>
        <v>9.9989999999999992E-3</v>
      </c>
      <c r="T5" s="5"/>
      <c r="U5" s="5"/>
      <c r="V5" s="5"/>
      <c r="W5" s="3">
        <f>2*0.84</f>
        <v>1.68</v>
      </c>
      <c r="X5" s="3" t="s">
        <v>38</v>
      </c>
      <c r="Y5" s="3">
        <v>0.84</v>
      </c>
    </row>
    <row r="6" spans="1:25">
      <c r="A6" s="3" t="s">
        <v>28</v>
      </c>
      <c r="B6" s="3">
        <v>142.04</v>
      </c>
      <c r="C6" s="3">
        <v>0.710955</v>
      </c>
      <c r="D6" s="3"/>
      <c r="E6" s="3">
        <f t="shared" si="0"/>
        <v>5.0049999999999999E-3</v>
      </c>
      <c r="F6" s="3" t="s">
        <v>187</v>
      </c>
      <c r="G6" s="3">
        <f>E6*2</f>
        <v>1.001E-2</v>
      </c>
      <c r="H6" s="3"/>
      <c r="I6" s="3"/>
      <c r="J6" s="3"/>
      <c r="K6" s="3"/>
      <c r="L6" s="3"/>
      <c r="M6" s="3">
        <f>E6</f>
        <v>5.0049999999999999E-3</v>
      </c>
      <c r="N6" s="3"/>
      <c r="O6" s="3"/>
      <c r="P6" s="3"/>
      <c r="Q6" s="3"/>
      <c r="R6" s="3"/>
      <c r="S6" s="3"/>
      <c r="T6" s="5"/>
      <c r="U6" s="5"/>
      <c r="V6" s="5"/>
      <c r="W6" s="3">
        <f>2*0.710955</f>
        <v>1.42191</v>
      </c>
      <c r="X6" s="3" t="s">
        <v>28</v>
      </c>
      <c r="Y6" s="3">
        <v>0.710955</v>
      </c>
    </row>
    <row r="7" spans="1:25">
      <c r="A7" s="3" t="s">
        <v>30</v>
      </c>
      <c r="B7" s="3">
        <v>102.89</v>
      </c>
      <c r="C7" s="3">
        <v>1.370295E-2</v>
      </c>
      <c r="D7" s="3"/>
      <c r="E7" s="3">
        <f t="shared" si="0"/>
        <v>1.3300000000000001E-4</v>
      </c>
      <c r="F7" s="3" t="s">
        <v>188</v>
      </c>
      <c r="G7" s="3">
        <f>E7</f>
        <v>1.3300000000000001E-4</v>
      </c>
      <c r="H7" s="3"/>
      <c r="I7" s="3"/>
      <c r="J7" s="3"/>
      <c r="K7" s="3"/>
      <c r="L7" s="3"/>
      <c r="M7" s="3"/>
      <c r="N7" s="3">
        <f>E7</f>
        <v>1.3300000000000001E-4</v>
      </c>
      <c r="O7" s="3"/>
      <c r="P7" s="3"/>
      <c r="Q7" s="3"/>
      <c r="R7" s="3"/>
      <c r="S7" s="3"/>
      <c r="W7" s="3">
        <f>2*0.01370295</f>
        <v>2.74059E-2</v>
      </c>
      <c r="X7" s="3" t="s">
        <v>30</v>
      </c>
      <c r="Y7" s="3">
        <v>1.370295E-2</v>
      </c>
    </row>
    <row r="8" spans="1:25">
      <c r="A8" s="3" t="s">
        <v>31</v>
      </c>
      <c r="B8" s="3">
        <v>61.83</v>
      </c>
      <c r="C8" s="3">
        <v>4.3290000000000004E-3</v>
      </c>
      <c r="D8" s="3"/>
      <c r="E8" s="3">
        <f t="shared" si="0"/>
        <v>6.9999999999999994E-5</v>
      </c>
      <c r="F8" s="3" t="s">
        <v>189</v>
      </c>
      <c r="G8" s="3"/>
      <c r="H8" s="3"/>
      <c r="I8" s="3"/>
      <c r="J8" s="3"/>
      <c r="K8" s="3"/>
      <c r="L8" s="3"/>
      <c r="M8" s="3"/>
      <c r="N8" s="3"/>
      <c r="O8" s="3">
        <f>E8</f>
        <v>6.9999999999999994E-5</v>
      </c>
      <c r="P8" s="3"/>
      <c r="Q8" s="3"/>
      <c r="R8" s="3"/>
      <c r="S8" s="3"/>
      <c r="T8" s="5"/>
      <c r="U8" s="5"/>
      <c r="V8" s="5"/>
      <c r="W8" s="3">
        <f>2*0.004329</f>
        <v>8.6580000000000008E-3</v>
      </c>
      <c r="X8" s="3" t="s">
        <v>31</v>
      </c>
      <c r="Y8" s="3">
        <v>4.3290000000000004E-3</v>
      </c>
    </row>
    <row r="9" spans="1:25">
      <c r="A9" s="3" t="s">
        <v>32</v>
      </c>
      <c r="B9" s="3">
        <v>158.53</v>
      </c>
      <c r="C9" s="3">
        <v>2.3643000000000002E-3</v>
      </c>
      <c r="D9" s="3"/>
      <c r="E9" s="3">
        <f t="shared" si="0"/>
        <v>1.5E-5</v>
      </c>
      <c r="F9" s="3" t="s">
        <v>190</v>
      </c>
      <c r="G9" s="3"/>
      <c r="H9" s="3">
        <f>E9</f>
        <v>1.5E-5</v>
      </c>
      <c r="I9" s="3"/>
      <c r="J9" s="3"/>
      <c r="K9" s="3"/>
      <c r="L9" s="3"/>
      <c r="M9" s="3"/>
      <c r="N9" s="3"/>
      <c r="O9" s="3"/>
      <c r="P9" s="3">
        <f>E9</f>
        <v>1.5E-5</v>
      </c>
      <c r="Q9" s="3"/>
      <c r="R9" s="3"/>
      <c r="S9" s="3"/>
      <c r="T9" s="5"/>
      <c r="U9" s="5"/>
      <c r="V9" s="5"/>
      <c r="W9" s="3">
        <f>2*0.0023643</f>
        <v>4.7286000000000003E-3</v>
      </c>
      <c r="X9" s="3" t="s">
        <v>32</v>
      </c>
      <c r="Y9" s="3">
        <v>2.3643000000000002E-3</v>
      </c>
    </row>
    <row r="10" spans="1:25">
      <c r="A10" s="3" t="s">
        <v>33</v>
      </c>
      <c r="B10" s="3">
        <v>41.99</v>
      </c>
      <c r="C10" s="3">
        <v>5.0000000000000001E-4</v>
      </c>
      <c r="D10" s="3"/>
      <c r="E10" s="3">
        <f t="shared" si="0"/>
        <v>1.2E-5</v>
      </c>
      <c r="F10" s="3" t="s">
        <v>191</v>
      </c>
      <c r="G10" s="3">
        <f>E10</f>
        <v>1.2E-5</v>
      </c>
      <c r="H10" s="3"/>
      <c r="I10" s="3"/>
      <c r="J10" s="3"/>
      <c r="K10" s="3"/>
      <c r="L10" s="3"/>
      <c r="M10" s="3"/>
      <c r="N10" s="3"/>
      <c r="O10" s="3"/>
      <c r="P10" s="3"/>
      <c r="Q10" s="3">
        <f>E10</f>
        <v>1.2E-5</v>
      </c>
      <c r="R10" s="3"/>
      <c r="S10" s="3"/>
      <c r="T10" s="5"/>
      <c r="U10" s="5"/>
      <c r="V10" s="5"/>
      <c r="W10" s="3">
        <f>2*0.0005</f>
        <v>1E-3</v>
      </c>
      <c r="X10" s="3" t="s">
        <v>33</v>
      </c>
      <c r="Y10" s="3">
        <v>5.0000000000000001E-4</v>
      </c>
    </row>
    <row r="11" spans="1:25">
      <c r="A11" s="3" t="s">
        <v>54</v>
      </c>
      <c r="B11" s="3">
        <v>136.09</v>
      </c>
      <c r="C11" s="3">
        <v>3.5000000000000001E-3</v>
      </c>
      <c r="D11" s="3"/>
      <c r="E11" s="3">
        <f t="shared" si="0"/>
        <v>2.5999999999999998E-5</v>
      </c>
      <c r="F11" s="3" t="s">
        <v>192</v>
      </c>
      <c r="G11" s="3"/>
      <c r="H11" s="3"/>
      <c r="I11" s="3"/>
      <c r="J11" s="3"/>
      <c r="K11" s="3"/>
      <c r="L11" s="12">
        <f>E11</f>
        <v>2.5999999999999998E-5</v>
      </c>
      <c r="M11" s="3"/>
      <c r="N11" s="3"/>
      <c r="O11" s="3"/>
      <c r="P11" s="3"/>
      <c r="Q11" s="3"/>
      <c r="R11" s="3"/>
      <c r="S11" s="3"/>
      <c r="W11" s="3">
        <f>2*0.0035</f>
        <v>7.0000000000000001E-3</v>
      </c>
      <c r="X11" s="3" t="s">
        <v>54</v>
      </c>
      <c r="Y11" s="3">
        <v>3.5000000000000001E-3</v>
      </c>
    </row>
    <row r="12" spans="1:25">
      <c r="A12" s="5"/>
      <c r="B12" s="5"/>
    </row>
    <row r="13" spans="1:25">
      <c r="A13" s="5" t="s">
        <v>82</v>
      </c>
      <c r="C13" t="s">
        <v>55</v>
      </c>
    </row>
    <row r="14" spans="1:25">
      <c r="A14" s="4" t="s">
        <v>115</v>
      </c>
      <c r="B14" s="4">
        <v>203.3</v>
      </c>
      <c r="C14" s="4">
        <v>21.2</v>
      </c>
      <c r="D14" s="4">
        <v>20</v>
      </c>
      <c r="E14" s="4">
        <f>ROUND((((C14/B14)*10)/D14)*0.167, 6)</f>
        <v>8.7069999999999995E-3</v>
      </c>
      <c r="F14" s="4" t="s">
        <v>193</v>
      </c>
      <c r="G14" s="4"/>
      <c r="H14" s="4">
        <f>E14*2</f>
        <v>1.7413999999999999E-2</v>
      </c>
      <c r="I14" s="4"/>
      <c r="J14" s="4">
        <f>E14</f>
        <v>8.7069999999999995E-3</v>
      </c>
      <c r="K14" s="4"/>
      <c r="L14" s="4"/>
      <c r="M14" s="4"/>
      <c r="N14" s="4"/>
      <c r="O14" s="4"/>
      <c r="P14" s="4"/>
      <c r="Q14" s="4"/>
      <c r="R14" s="4"/>
      <c r="S14" s="4"/>
      <c r="T14" s="5"/>
      <c r="U14" s="5"/>
      <c r="V14" s="5"/>
    </row>
    <row r="15" spans="1:25">
      <c r="A15" s="4" t="s">
        <v>116</v>
      </c>
      <c r="B15" s="4">
        <v>147.01</v>
      </c>
      <c r="C15" s="4">
        <v>3.04</v>
      </c>
      <c r="D15" s="4">
        <v>20</v>
      </c>
      <c r="E15" s="4">
        <f>ROUND((((C15/B15)*10)/D15)*0.167, 6)</f>
        <v>1.727E-3</v>
      </c>
      <c r="F15" s="4" t="s">
        <v>194</v>
      </c>
      <c r="G15" s="4"/>
      <c r="H15" s="4">
        <f>E15*2</f>
        <v>3.454E-3</v>
      </c>
      <c r="I15" s="4"/>
      <c r="J15" s="4"/>
      <c r="K15" s="4">
        <f>E15</f>
        <v>1.727E-3</v>
      </c>
      <c r="L15" s="4"/>
      <c r="M15" s="4"/>
      <c r="N15" s="4"/>
      <c r="O15" s="4"/>
      <c r="P15" s="4"/>
      <c r="Q15" s="4"/>
      <c r="R15" s="4"/>
      <c r="S15" s="4"/>
      <c r="T15" s="5"/>
      <c r="U15" s="5"/>
      <c r="V15" s="5"/>
    </row>
    <row r="16" spans="1:25" s="5" customFormat="1"/>
    <row r="17" spans="1:23">
      <c r="A17" t="s">
        <v>106</v>
      </c>
      <c r="C17" t="s">
        <v>70</v>
      </c>
      <c r="F17" s="5"/>
      <c r="G17" s="5"/>
      <c r="H17" s="5"/>
      <c r="I17" s="5"/>
      <c r="J17" s="5"/>
      <c r="K17" s="5"/>
      <c r="L17" s="5"/>
      <c r="M17" s="5"/>
      <c r="N17" s="5"/>
      <c r="O17" s="5"/>
      <c r="P17" s="5"/>
      <c r="Q17" s="5"/>
      <c r="R17" s="5"/>
      <c r="S17" s="5"/>
      <c r="T17" s="5"/>
      <c r="U17" s="5"/>
      <c r="V17" s="5"/>
    </row>
    <row r="18" spans="1:23">
      <c r="A18" s="7" t="s">
        <v>117</v>
      </c>
      <c r="B18" s="7">
        <v>278.01</v>
      </c>
      <c r="C18" s="7">
        <v>2.8E-3</v>
      </c>
      <c r="D18" s="7">
        <v>1000</v>
      </c>
      <c r="E18" s="7">
        <f>((C18/B18)*10)/D18</f>
        <v>1.0071580158987087E-7</v>
      </c>
      <c r="F18" s="7" t="s">
        <v>108</v>
      </c>
      <c r="G18" s="7"/>
      <c r="H18" s="7"/>
      <c r="I18" s="7"/>
      <c r="J18" s="7"/>
      <c r="K18" s="7"/>
      <c r="L18" s="7"/>
      <c r="M18" s="7">
        <f>E18</f>
        <v>1.0071580158987087E-7</v>
      </c>
      <c r="N18" s="7"/>
      <c r="O18" s="7"/>
      <c r="P18" s="7"/>
      <c r="Q18" s="7"/>
      <c r="R18" s="7">
        <f>E18</f>
        <v>1.0071580158987087E-7</v>
      </c>
      <c r="S18" s="7"/>
      <c r="T18" s="5"/>
      <c r="U18" s="5"/>
      <c r="V18" s="5"/>
    </row>
    <row r="19" spans="1:23">
      <c r="A19" s="7" t="s">
        <v>91</v>
      </c>
      <c r="B19" s="7">
        <v>235.1</v>
      </c>
      <c r="C19" s="7">
        <v>8.0999999999999996E-3</v>
      </c>
      <c r="D19" s="7">
        <v>1000</v>
      </c>
      <c r="E19" s="7">
        <f>((C19/B19)*10)/D19</f>
        <v>3.4453424074861757E-7</v>
      </c>
      <c r="F19" s="7" t="s">
        <v>107</v>
      </c>
      <c r="G19" s="7"/>
      <c r="H19" s="7"/>
      <c r="I19" s="7"/>
      <c r="J19" s="7"/>
      <c r="K19" s="7"/>
      <c r="L19" s="7"/>
      <c r="M19" s="7"/>
      <c r="N19" s="7"/>
      <c r="O19" s="7"/>
      <c r="P19" s="7"/>
      <c r="Q19" s="7"/>
      <c r="R19" s="7"/>
      <c r="S19" s="26"/>
      <c r="T19" s="11"/>
      <c r="U19" s="11"/>
      <c r="V19" s="11"/>
      <c r="W19" s="8"/>
    </row>
    <row r="20" spans="1:23">
      <c r="G20" s="9" t="s">
        <v>56</v>
      </c>
      <c r="H20" s="9" t="s">
        <v>57</v>
      </c>
      <c r="I20" s="9" t="s">
        <v>58</v>
      </c>
      <c r="J20" s="9" t="s">
        <v>59</v>
      </c>
      <c r="K20" s="9" t="s">
        <v>60</v>
      </c>
      <c r="L20" s="9" t="s">
        <v>61</v>
      </c>
      <c r="M20" s="9" t="s">
        <v>62</v>
      </c>
      <c r="N20" s="9" t="s">
        <v>63</v>
      </c>
      <c r="O20" s="9" t="s">
        <v>64</v>
      </c>
      <c r="P20" s="9" t="s">
        <v>65</v>
      </c>
      <c r="Q20" s="9" t="s">
        <v>66</v>
      </c>
      <c r="R20" s="9" t="s">
        <v>67</v>
      </c>
      <c r="S20" s="25" t="s">
        <v>152</v>
      </c>
      <c r="T20" s="11"/>
      <c r="U20" s="11"/>
      <c r="V20" s="11"/>
      <c r="W20" s="8"/>
    </row>
    <row r="21" spans="1:23">
      <c r="A21" s="9" t="s">
        <v>74</v>
      </c>
      <c r="B21" s="9"/>
      <c r="C21" s="9"/>
      <c r="D21" s="9"/>
      <c r="E21" s="9"/>
      <c r="F21" s="9"/>
      <c r="G21" s="9">
        <f t="shared" ref="G21:R21" si="1">SUM(G3:G18)</f>
        <v>8.8071999999999998E-2</v>
      </c>
      <c r="H21" s="9">
        <f t="shared" si="1"/>
        <v>9.0467000000000006E-2</v>
      </c>
      <c r="I21" s="9">
        <f t="shared" si="1"/>
        <v>1.6659999999999999E-3</v>
      </c>
      <c r="J21" s="9">
        <f t="shared" si="1"/>
        <v>8.7069999999999995E-3</v>
      </c>
      <c r="K21" s="9">
        <f t="shared" si="1"/>
        <v>1.727E-3</v>
      </c>
      <c r="L21" s="9">
        <f>SUM(L3:L18)</f>
        <v>2.5999999999999998E-5</v>
      </c>
      <c r="M21" s="9">
        <f t="shared" si="1"/>
        <v>5.0051007158015901E-3</v>
      </c>
      <c r="N21" s="9">
        <f t="shared" si="1"/>
        <v>1.3300000000000001E-4</v>
      </c>
      <c r="O21" s="9">
        <f t="shared" si="1"/>
        <v>6.9999999999999994E-5</v>
      </c>
      <c r="P21" s="9">
        <f t="shared" si="1"/>
        <v>1.5E-5</v>
      </c>
      <c r="Q21" s="9">
        <f t="shared" si="1"/>
        <v>1.2E-5</v>
      </c>
      <c r="R21" s="9">
        <f t="shared" si="1"/>
        <v>1.0071580158987087E-7</v>
      </c>
      <c r="S21" s="9">
        <f>SUM(S3:S19)</f>
        <v>9.9989999999999992E-3</v>
      </c>
    </row>
    <row r="22" spans="1:23">
      <c r="A22" s="9" t="s">
        <v>75</v>
      </c>
      <c r="B22" s="9"/>
      <c r="C22" s="9"/>
      <c r="D22" s="9"/>
      <c r="E22" s="9"/>
      <c r="F22" s="9"/>
      <c r="G22" s="9" t="s">
        <v>167</v>
      </c>
      <c r="H22" s="9" t="s">
        <v>168</v>
      </c>
      <c r="I22" s="9" t="s">
        <v>169</v>
      </c>
      <c r="J22" s="9" t="s">
        <v>170</v>
      </c>
      <c r="K22" s="9" t="s">
        <v>169</v>
      </c>
      <c r="L22" s="9" t="s">
        <v>192</v>
      </c>
      <c r="M22" s="9" t="s">
        <v>77</v>
      </c>
      <c r="N22" s="9" t="s">
        <v>171</v>
      </c>
      <c r="O22" s="9" t="s">
        <v>172</v>
      </c>
      <c r="P22" s="9" t="s">
        <v>173</v>
      </c>
      <c r="Q22" s="9" t="s">
        <v>164</v>
      </c>
      <c r="R22" s="9" t="s">
        <v>108</v>
      </c>
      <c r="S22" s="9" t="s">
        <v>77</v>
      </c>
    </row>
    <row r="23" spans="1:23">
      <c r="A23" t="s">
        <v>197</v>
      </c>
      <c r="G23">
        <f>G21*22.99</f>
        <v>2.0247752799999996</v>
      </c>
      <c r="H23">
        <f>H21*35.45</f>
        <v>3.2070551500000004</v>
      </c>
      <c r="I23">
        <f>I21*39.1</f>
        <v>6.5140600000000007E-2</v>
      </c>
      <c r="J23">
        <f>J21*24.3</f>
        <v>0.21158009999999999</v>
      </c>
      <c r="K23">
        <f>K21*40.08</f>
        <v>6.9218160000000001E-2</v>
      </c>
      <c r="L23">
        <f>L21*30.97</f>
        <v>8.0521999999999994E-4</v>
      </c>
      <c r="M23">
        <f>M21*32.06</f>
        <v>0.160463528948599</v>
      </c>
      <c r="N23">
        <f>N21*79.9</f>
        <v>1.0626700000000001E-2</v>
      </c>
      <c r="O23">
        <f>O21*10.81</f>
        <v>7.5670000000000002E-4</v>
      </c>
      <c r="P23">
        <f>P21*87.62</f>
        <v>1.3143E-3</v>
      </c>
      <c r="Q23">
        <f>Q21*18.998</f>
        <v>2.2797600000000001E-4</v>
      </c>
      <c r="R23">
        <f>R21*55.85</f>
        <v>5.6249775187942877E-6</v>
      </c>
      <c r="S23" s="5"/>
      <c r="T23" s="5"/>
    </row>
    <row r="24" spans="1:23">
      <c r="S24" s="5"/>
      <c r="T24" s="5"/>
      <c r="U24" s="5"/>
      <c r="V24" s="5"/>
    </row>
    <row r="25" spans="1:23">
      <c r="A25" s="18" t="s">
        <v>125</v>
      </c>
      <c r="B25" s="19" t="s">
        <v>11</v>
      </c>
      <c r="C25" s="19" t="s">
        <v>55</v>
      </c>
      <c r="D25" s="5"/>
      <c r="E25" s="5"/>
      <c r="F25" s="13"/>
      <c r="G25" t="s">
        <v>72</v>
      </c>
    </row>
    <row r="26" spans="1:23">
      <c r="A26" s="19" t="s">
        <v>114</v>
      </c>
      <c r="B26" s="19">
        <v>197.91</v>
      </c>
      <c r="C26" s="20">
        <v>1.7999999999999999E-2</v>
      </c>
      <c r="D26" s="5">
        <v>100000</v>
      </c>
      <c r="E26" s="5">
        <f t="shared" ref="E26:E31" si="2">((C26/B26)*10)/D26</f>
        <v>9.0950432014552062E-9</v>
      </c>
      <c r="F26" s="13" t="s">
        <v>101</v>
      </c>
    </row>
    <row r="27" spans="1:23">
      <c r="A27" s="19" t="s">
        <v>126</v>
      </c>
      <c r="B27" s="19">
        <v>179.47</v>
      </c>
      <c r="C27" s="20">
        <v>2E-3</v>
      </c>
      <c r="D27" s="5">
        <v>100000</v>
      </c>
      <c r="E27" s="5">
        <f t="shared" si="2"/>
        <v>1.1143923775561374E-9</v>
      </c>
      <c r="F27" s="13" t="s">
        <v>102</v>
      </c>
      <c r="K27" s="5"/>
      <c r="L27" s="5" t="s">
        <v>181</v>
      </c>
      <c r="M27" s="5">
        <f>(H21*35.5)*1.803</f>
        <v>5.7904760355000002</v>
      </c>
    </row>
    <row r="28" spans="1:23">
      <c r="A28" s="19" t="s">
        <v>34</v>
      </c>
      <c r="B28" s="19">
        <v>129.839</v>
      </c>
      <c r="C28" s="20">
        <v>6.4919499999999998E-4</v>
      </c>
      <c r="D28" s="5">
        <v>100000</v>
      </c>
      <c r="E28" s="5">
        <f t="shared" si="2"/>
        <v>4.9999999999999993E-10</v>
      </c>
      <c r="F28" s="13" t="s">
        <v>127</v>
      </c>
      <c r="K28" s="5"/>
      <c r="L28" s="5"/>
      <c r="M28" s="5"/>
    </row>
    <row r="29" spans="1:23">
      <c r="A29" s="19" t="s">
        <v>35</v>
      </c>
      <c r="B29" s="19">
        <v>205.92</v>
      </c>
      <c r="C29" s="20">
        <v>6.5693999999999995E-4</v>
      </c>
      <c r="D29" s="5">
        <v>100000</v>
      </c>
      <c r="E29" s="5">
        <f t="shared" si="2"/>
        <v>3.1902680652680648E-10</v>
      </c>
      <c r="F29" s="13" t="s">
        <v>128</v>
      </c>
      <c r="K29" s="5"/>
      <c r="L29" s="5"/>
      <c r="M29" s="5"/>
    </row>
    <row r="30" spans="1:23">
      <c r="A30" s="19" t="s">
        <v>36</v>
      </c>
      <c r="B30" s="19">
        <v>172.94</v>
      </c>
      <c r="C30" s="20">
        <v>1.7294000000000001E-3</v>
      </c>
      <c r="D30" s="5">
        <v>100000</v>
      </c>
      <c r="E30" s="5">
        <f t="shared" si="2"/>
        <v>1.0000000000000001E-9</v>
      </c>
      <c r="F30" s="13" t="s">
        <v>102</v>
      </c>
      <c r="K30" s="5"/>
      <c r="L30" s="5"/>
      <c r="M30" s="5"/>
    </row>
    <row r="31" spans="1:23">
      <c r="A31" s="19" t="s">
        <v>37</v>
      </c>
      <c r="B31" s="19">
        <v>129.5994</v>
      </c>
      <c r="C31" s="20">
        <v>1.2959940000000002E-3</v>
      </c>
      <c r="D31" s="5">
        <v>100000</v>
      </c>
      <c r="E31" s="5">
        <f t="shared" si="2"/>
        <v>1.0000000000000001E-9</v>
      </c>
      <c r="F31" s="13" t="s">
        <v>102</v>
      </c>
      <c r="K31" s="5"/>
      <c r="L31" s="5"/>
      <c r="M31" s="5"/>
    </row>
    <row r="32" spans="1:23">
      <c r="E32" s="5"/>
    </row>
    <row r="33" spans="1:14">
      <c r="A33" s="18" t="s">
        <v>124</v>
      </c>
      <c r="B33" s="5" t="s">
        <v>11</v>
      </c>
      <c r="C33" s="5" t="s">
        <v>55</v>
      </c>
      <c r="D33" s="5"/>
      <c r="E33" s="5"/>
      <c r="F33" s="13"/>
      <c r="G33" t="s">
        <v>72</v>
      </c>
      <c r="L33" t="s">
        <v>11</v>
      </c>
      <c r="M33" t="s">
        <v>9</v>
      </c>
      <c r="N33" t="s">
        <v>110</v>
      </c>
    </row>
    <row r="34" spans="1:14">
      <c r="A34" s="5" t="s">
        <v>44</v>
      </c>
      <c r="B34" s="5">
        <v>337.27</v>
      </c>
      <c r="C34" s="5">
        <v>1.69</v>
      </c>
      <c r="D34" s="14">
        <v>100000</v>
      </c>
      <c r="E34" s="5">
        <f t="shared" ref="E34:E43" si="3">((C34/B34)*10)/D34</f>
        <v>5.0108221899368456E-7</v>
      </c>
      <c r="F34" s="13" t="s">
        <v>39</v>
      </c>
      <c r="L34" s="7">
        <v>278.01</v>
      </c>
      <c r="M34">
        <v>1.0000000000000001E-5</v>
      </c>
      <c r="N34" s="15">
        <f>M34/L34</f>
        <v>3.5969929139239601E-8</v>
      </c>
    </row>
    <row r="35" spans="1:14">
      <c r="A35" s="5" t="s">
        <v>46</v>
      </c>
      <c r="B35" s="5">
        <v>376.36</v>
      </c>
      <c r="C35" s="5">
        <v>2.5999999999999999E-3</v>
      </c>
      <c r="D35" s="14">
        <v>100000</v>
      </c>
      <c r="E35" s="5">
        <f t="shared" si="3"/>
        <v>6.9082793070464442E-10</v>
      </c>
      <c r="F35" s="13" t="s">
        <v>98</v>
      </c>
      <c r="N35">
        <v>3.5899999999999997E-8</v>
      </c>
    </row>
    <row r="36" spans="1:14">
      <c r="A36" s="5" t="s">
        <v>48</v>
      </c>
      <c r="B36" s="5">
        <v>123.12</v>
      </c>
      <c r="C36" s="5">
        <v>0.98499999999999999</v>
      </c>
      <c r="D36" s="14">
        <v>100000</v>
      </c>
      <c r="E36" s="5">
        <f t="shared" si="3"/>
        <v>8.0003248862897974E-7</v>
      </c>
      <c r="F36" s="13" t="s">
        <v>41</v>
      </c>
      <c r="N36" t="s">
        <v>111</v>
      </c>
    </row>
    <row r="37" spans="1:14">
      <c r="A37" s="5" t="s">
        <v>49</v>
      </c>
      <c r="B37" s="5">
        <v>238.27</v>
      </c>
      <c r="C37" s="5">
        <v>1.0129999999999999</v>
      </c>
      <c r="D37" s="14">
        <v>100000</v>
      </c>
      <c r="E37" s="5">
        <f t="shared" si="3"/>
        <v>4.2514794141100433E-7</v>
      </c>
      <c r="F37" s="13" t="s">
        <v>42</v>
      </c>
    </row>
    <row r="38" spans="1:14">
      <c r="A38" s="5" t="s">
        <v>45</v>
      </c>
      <c r="B38" s="5">
        <v>205.64</v>
      </c>
      <c r="C38" s="5">
        <v>1.028</v>
      </c>
      <c r="D38" s="14">
        <v>100000</v>
      </c>
      <c r="E38" s="5">
        <f t="shared" si="3"/>
        <v>4.9990274265707063E-7</v>
      </c>
      <c r="F38" s="13" t="s">
        <v>39</v>
      </c>
    </row>
    <row r="39" spans="1:14">
      <c r="A39" s="5" t="s">
        <v>47</v>
      </c>
      <c r="B39" s="5">
        <v>244.31</v>
      </c>
      <c r="C39" s="5">
        <v>9.7999999999999997E-3</v>
      </c>
      <c r="D39" s="14">
        <v>100000</v>
      </c>
      <c r="E39" s="5">
        <f t="shared" si="3"/>
        <v>4.0112971225082883E-9</v>
      </c>
      <c r="F39" s="13" t="s">
        <v>40</v>
      </c>
    </row>
    <row r="40" spans="1:14">
      <c r="A40" s="5" t="s">
        <v>50</v>
      </c>
      <c r="B40" s="5">
        <v>441.4</v>
      </c>
      <c r="C40" s="5">
        <v>1.77E-2</v>
      </c>
      <c r="D40" s="14">
        <v>100000</v>
      </c>
      <c r="E40" s="5">
        <f t="shared" si="3"/>
        <v>4.0099682827367471E-9</v>
      </c>
      <c r="F40" s="13" t="s">
        <v>40</v>
      </c>
    </row>
    <row r="41" spans="1:14">
      <c r="A41" s="5" t="s">
        <v>99</v>
      </c>
      <c r="B41" s="5">
        <v>1355.37</v>
      </c>
      <c r="C41" s="5">
        <v>9.4999999999999998E-3</v>
      </c>
      <c r="D41" s="14">
        <v>100000</v>
      </c>
      <c r="E41" s="5">
        <f t="shared" si="3"/>
        <v>7.0091561713775586E-10</v>
      </c>
      <c r="F41" s="13" t="s">
        <v>98</v>
      </c>
    </row>
    <row r="42" spans="1:14">
      <c r="A42" s="5" t="s">
        <v>51</v>
      </c>
      <c r="B42" s="5">
        <v>180.16</v>
      </c>
      <c r="C42" s="5">
        <v>0.90100000000000002</v>
      </c>
      <c r="D42" s="14">
        <v>100000</v>
      </c>
      <c r="E42" s="5">
        <f t="shared" si="3"/>
        <v>5.0011101243339257E-7</v>
      </c>
      <c r="F42" s="13" t="s">
        <v>39</v>
      </c>
    </row>
    <row r="43" spans="1:14">
      <c r="A43" s="5" t="s">
        <v>52</v>
      </c>
      <c r="B43" s="5">
        <v>137.13999999999999</v>
      </c>
      <c r="C43" s="5">
        <v>8.2299999999999998E-2</v>
      </c>
      <c r="D43" s="14">
        <v>100000</v>
      </c>
      <c r="E43" s="5">
        <f t="shared" si="3"/>
        <v>6.0011666909727283E-8</v>
      </c>
      <c r="F43" s="13" t="s">
        <v>43</v>
      </c>
    </row>
    <row r="45" spans="1:14">
      <c r="A45" t="s">
        <v>103</v>
      </c>
    </row>
    <row r="46" spans="1:14">
      <c r="A46" t="s">
        <v>104</v>
      </c>
      <c r="C46" s="6"/>
    </row>
    <row r="47" spans="1:14">
      <c r="A47" t="s">
        <v>112</v>
      </c>
      <c r="C47" s="6"/>
    </row>
    <row r="48" spans="1:14">
      <c r="A48" t="s">
        <v>109</v>
      </c>
      <c r="C48" s="6"/>
    </row>
    <row r="49" spans="1:8">
      <c r="A49" t="s">
        <v>105</v>
      </c>
      <c r="C49" s="6"/>
    </row>
    <row r="50" spans="1:8">
      <c r="C50" s="6"/>
    </row>
    <row r="51" spans="1:8">
      <c r="C51" s="6"/>
    </row>
    <row r="52" spans="1:8">
      <c r="A52" s="8" t="s">
        <v>73</v>
      </c>
      <c r="C52" s="6"/>
    </row>
    <row r="53" spans="1:8">
      <c r="A53" s="8" t="s">
        <v>183</v>
      </c>
      <c r="C53" s="6"/>
    </row>
    <row r="54" spans="1:8">
      <c r="A54" s="8" t="s">
        <v>71</v>
      </c>
      <c r="C54" s="6"/>
      <c r="G54" s="6" t="s">
        <v>21</v>
      </c>
      <c r="H54">
        <v>20</v>
      </c>
    </row>
    <row r="55" spans="1:8">
      <c r="A55" s="8" t="s">
        <v>92</v>
      </c>
      <c r="C55" s="6"/>
      <c r="G55" s="6" t="s">
        <v>129</v>
      </c>
      <c r="H55">
        <v>500</v>
      </c>
    </row>
    <row r="56" spans="1:8">
      <c r="A56" s="8" t="s">
        <v>84</v>
      </c>
      <c r="C56" s="6"/>
      <c r="G56" s="6" t="s">
        <v>22</v>
      </c>
      <c r="H56">
        <v>0.5</v>
      </c>
    </row>
    <row r="57" spans="1:8">
      <c r="A57" s="8" t="s">
        <v>85</v>
      </c>
      <c r="C57" s="6"/>
      <c r="G57" s="6" t="s">
        <v>148</v>
      </c>
      <c r="H57">
        <v>500</v>
      </c>
    </row>
    <row r="58" spans="1:8">
      <c r="A58" s="8" t="s">
        <v>93</v>
      </c>
      <c r="C58" s="6"/>
    </row>
    <row r="59" spans="1:8">
      <c r="B59" s="8" t="s">
        <v>140</v>
      </c>
    </row>
    <row r="60" spans="1:8">
      <c r="A60" s="1"/>
      <c r="B60" s="8" t="s">
        <v>182</v>
      </c>
    </row>
    <row r="61" spans="1:8">
      <c r="A61" s="1"/>
      <c r="B61" s="8" t="s">
        <v>113</v>
      </c>
    </row>
    <row r="62" spans="1:8">
      <c r="A62" s="8" t="s">
        <v>86</v>
      </c>
    </row>
    <row r="69" spans="1:2">
      <c r="A69" s="1"/>
    </row>
    <row r="70" spans="1:2">
      <c r="A70" s="1"/>
      <c r="B70" s="1"/>
    </row>
    <row r="71" spans="1:2">
      <c r="A71" s="1"/>
      <c r="B71" s="1"/>
    </row>
    <row r="72" spans="1:2">
      <c r="A72" s="1"/>
    </row>
    <row r="73" spans="1:2">
      <c r="A73" s="1"/>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workbookViewId="0"/>
  </sheetViews>
  <sheetFormatPr baseColWidth="10" defaultColWidth="8.83203125" defaultRowHeight="15" x14ac:dyDescent="0"/>
  <cols>
    <col min="1" max="1" width="20.6640625" bestFit="1" customWidth="1"/>
    <col min="2" max="2" width="9" bestFit="1" customWidth="1"/>
    <col min="3" max="3" width="9.5" customWidth="1"/>
    <col min="4" max="4" width="10.5" customWidth="1"/>
    <col min="5" max="5" width="11.83203125" customWidth="1"/>
    <col min="7" max="7" width="9.33203125" bestFit="1" customWidth="1"/>
    <col min="8" max="8" width="9" bestFit="1" customWidth="1"/>
    <col min="9" max="9" width="12.1640625" bestFit="1" customWidth="1"/>
    <col min="10" max="11" width="9" bestFit="1" customWidth="1"/>
    <col min="12" max="12" width="12.33203125" bestFit="1" customWidth="1"/>
    <col min="13" max="13" width="10.5" customWidth="1"/>
    <col min="14" max="16" width="9" bestFit="1" customWidth="1"/>
    <col min="17" max="17" width="9.33203125" bestFit="1" customWidth="1"/>
    <col min="18" max="18" width="10" customWidth="1"/>
    <col min="19" max="19" width="9.33203125" bestFit="1" customWidth="1"/>
  </cols>
  <sheetData>
    <row r="1" spans="1:21">
      <c r="A1" s="2" t="s">
        <v>223</v>
      </c>
    </row>
    <row r="2" spans="1:21">
      <c r="A2" t="s">
        <v>69</v>
      </c>
      <c r="B2" t="s">
        <v>11</v>
      </c>
      <c r="C2" t="s">
        <v>9</v>
      </c>
      <c r="D2" t="s">
        <v>68</v>
      </c>
      <c r="E2" t="s">
        <v>53</v>
      </c>
      <c r="G2" s="10" t="s">
        <v>56</v>
      </c>
      <c r="H2" s="10" t="s">
        <v>57</v>
      </c>
      <c r="I2" s="10" t="s">
        <v>58</v>
      </c>
      <c r="J2" s="10" t="s">
        <v>59</v>
      </c>
      <c r="K2" s="10" t="s">
        <v>60</v>
      </c>
      <c r="L2" s="10" t="s">
        <v>61</v>
      </c>
      <c r="M2" s="10" t="s">
        <v>62</v>
      </c>
      <c r="N2" s="10" t="s">
        <v>63</v>
      </c>
      <c r="O2" s="10" t="s">
        <v>64</v>
      </c>
      <c r="P2" s="10" t="s">
        <v>65</v>
      </c>
      <c r="Q2" s="10" t="s">
        <v>66</v>
      </c>
      <c r="R2" s="10" t="s">
        <v>67</v>
      </c>
      <c r="S2" s="10" t="s">
        <v>207</v>
      </c>
    </row>
    <row r="3" spans="1:21">
      <c r="A3" s="3" t="s">
        <v>27</v>
      </c>
      <c r="B3" s="3">
        <v>58.442999999999998</v>
      </c>
      <c r="C3" s="3">
        <f>B3*E3</f>
        <v>23.844743999999999</v>
      </c>
      <c r="D3" s="3"/>
      <c r="E3" s="3">
        <v>0.40799999999999997</v>
      </c>
      <c r="F3" s="3"/>
      <c r="G3" s="3">
        <f>E3</f>
        <v>0.40799999999999997</v>
      </c>
      <c r="H3" s="3">
        <f>E3</f>
        <v>0.40799999999999997</v>
      </c>
      <c r="I3" s="3"/>
      <c r="J3" s="3"/>
      <c r="K3" s="3"/>
      <c r="L3" s="3"/>
      <c r="M3" s="3"/>
      <c r="N3" s="3"/>
      <c r="O3" s="3"/>
      <c r="P3" s="3"/>
      <c r="Q3" s="3"/>
      <c r="R3" s="3"/>
      <c r="S3" s="3"/>
      <c r="T3" s="5"/>
      <c r="U3" s="5"/>
    </row>
    <row r="4" spans="1:21">
      <c r="A4" s="3" t="s">
        <v>29</v>
      </c>
      <c r="B4" s="3">
        <v>74.55</v>
      </c>
      <c r="C4" s="3">
        <f>B4*E4</f>
        <v>0.74549999999999994</v>
      </c>
      <c r="D4" s="3"/>
      <c r="E4" s="3">
        <v>0.01</v>
      </c>
      <c r="F4" s="3"/>
      <c r="G4" s="3"/>
      <c r="H4" s="3">
        <f>E4</f>
        <v>0.01</v>
      </c>
      <c r="I4" s="3">
        <f>E4</f>
        <v>0.01</v>
      </c>
      <c r="J4" s="3"/>
      <c r="K4" s="3"/>
      <c r="L4" s="3"/>
      <c r="M4" s="3"/>
      <c r="N4" s="3"/>
      <c r="O4" s="3"/>
      <c r="P4" s="3"/>
      <c r="Q4" s="3"/>
      <c r="R4" s="3"/>
      <c r="S4" s="3"/>
      <c r="T4" s="5"/>
      <c r="U4" s="5"/>
    </row>
    <row r="5" spans="1:21">
      <c r="A5" s="3" t="s">
        <v>38</v>
      </c>
      <c r="B5" s="3">
        <v>84.01</v>
      </c>
      <c r="C5" s="3">
        <v>0.84010000000000007</v>
      </c>
      <c r="D5" s="3"/>
      <c r="E5" s="3">
        <f t="shared" ref="E5:E10" si="0">C5/B5</f>
        <v>0.01</v>
      </c>
      <c r="F5" s="3"/>
      <c r="G5" s="3">
        <f>E5</f>
        <v>0.01</v>
      </c>
      <c r="H5" s="3"/>
      <c r="I5" s="3"/>
      <c r="J5" s="3"/>
      <c r="K5" s="3"/>
      <c r="L5" s="3"/>
      <c r="M5" s="3"/>
      <c r="N5" s="3"/>
      <c r="O5" s="3"/>
      <c r="P5" s="3"/>
      <c r="Q5" s="3"/>
      <c r="R5" s="3"/>
      <c r="S5" s="3"/>
      <c r="T5" s="5"/>
      <c r="U5" s="5"/>
    </row>
    <row r="6" spans="1:21">
      <c r="A6" s="3" t="s">
        <v>28</v>
      </c>
      <c r="B6" s="3">
        <v>288.38</v>
      </c>
      <c r="C6" s="3">
        <v>8.6513999999999989</v>
      </c>
      <c r="D6" s="3"/>
      <c r="E6" s="3">
        <f t="shared" si="0"/>
        <v>2.9999999999999995E-2</v>
      </c>
      <c r="F6" s="3"/>
      <c r="G6" s="3">
        <f>E6*2</f>
        <v>5.9999999999999991E-2</v>
      </c>
      <c r="H6" s="3"/>
      <c r="I6" s="3"/>
      <c r="J6" s="3"/>
      <c r="K6" s="3"/>
      <c r="L6" s="3"/>
      <c r="M6" s="3">
        <f>E6</f>
        <v>2.9999999999999995E-2</v>
      </c>
      <c r="N6" s="3"/>
      <c r="O6" s="3"/>
      <c r="P6" s="3"/>
      <c r="Q6" s="3"/>
      <c r="R6" s="3"/>
      <c r="S6" s="3"/>
      <c r="T6" s="5"/>
      <c r="U6" s="5"/>
    </row>
    <row r="7" spans="1:21">
      <c r="A7" s="3" t="s">
        <v>30</v>
      </c>
      <c r="B7" s="3">
        <v>102.89</v>
      </c>
      <c r="C7" s="3">
        <v>8.231200000000001E-2</v>
      </c>
      <c r="D7" s="3"/>
      <c r="E7" s="3">
        <f t="shared" si="0"/>
        <v>8.0000000000000015E-4</v>
      </c>
      <c r="F7" s="3"/>
      <c r="G7" s="3">
        <f>E7</f>
        <v>8.0000000000000015E-4</v>
      </c>
      <c r="H7" s="3"/>
      <c r="I7" s="3"/>
      <c r="J7" s="3"/>
      <c r="K7" s="3"/>
      <c r="L7" s="3"/>
      <c r="M7" s="3"/>
      <c r="N7" s="3">
        <f>E7</f>
        <v>8.0000000000000015E-4</v>
      </c>
      <c r="O7" s="3"/>
      <c r="P7" s="3"/>
      <c r="Q7" s="3"/>
      <c r="R7" s="3"/>
      <c r="S7" s="3"/>
      <c r="T7" s="5"/>
    </row>
    <row r="8" spans="1:21">
      <c r="A8" s="3" t="s">
        <v>31</v>
      </c>
      <c r="B8" s="3">
        <v>61.83</v>
      </c>
      <c r="C8" s="3">
        <v>2.5968600000000001E-2</v>
      </c>
      <c r="D8" s="3"/>
      <c r="E8" s="3">
        <f t="shared" si="0"/>
        <v>4.2000000000000002E-4</v>
      </c>
      <c r="F8" s="3"/>
      <c r="G8" s="3"/>
      <c r="H8" s="3"/>
      <c r="I8" s="3"/>
      <c r="J8" s="3"/>
      <c r="K8" s="3"/>
      <c r="L8" s="3"/>
      <c r="M8" s="3"/>
      <c r="N8" s="3"/>
      <c r="O8" s="3">
        <f>E8</f>
        <v>4.2000000000000002E-4</v>
      </c>
      <c r="P8" s="3"/>
      <c r="Q8" s="3"/>
      <c r="R8" s="3"/>
      <c r="S8" s="3"/>
      <c r="T8" s="5"/>
      <c r="U8" s="5"/>
    </row>
    <row r="9" spans="1:21">
      <c r="A9" s="3" t="s">
        <v>32</v>
      </c>
      <c r="B9" s="3">
        <v>158.53</v>
      </c>
      <c r="C9" s="3">
        <v>1.4267700000000001E-2</v>
      </c>
      <c r="D9" s="3"/>
      <c r="E9" s="3">
        <f t="shared" si="0"/>
        <v>9.0000000000000006E-5</v>
      </c>
      <c r="F9" s="3"/>
      <c r="G9" s="3"/>
      <c r="H9" s="3">
        <f>E9</f>
        <v>9.0000000000000006E-5</v>
      </c>
      <c r="I9" s="3"/>
      <c r="J9" s="3"/>
      <c r="K9" s="3"/>
      <c r="L9" s="3"/>
      <c r="M9" s="3"/>
      <c r="N9" s="3"/>
      <c r="O9" s="3"/>
      <c r="P9" s="3">
        <f>E9</f>
        <v>9.0000000000000006E-5</v>
      </c>
      <c r="Q9" s="3"/>
      <c r="R9" s="3"/>
      <c r="S9" s="3"/>
      <c r="T9" s="5"/>
      <c r="U9" s="5"/>
    </row>
    <row r="10" spans="1:21">
      <c r="A10" s="3" t="s">
        <v>33</v>
      </c>
      <c r="B10" s="3">
        <v>41.99</v>
      </c>
      <c r="C10" s="3">
        <v>2.3094500000000002E-3</v>
      </c>
      <c r="D10" s="3"/>
      <c r="E10" s="3">
        <f t="shared" si="0"/>
        <v>5.5000000000000002E-5</v>
      </c>
      <c r="F10" s="3"/>
      <c r="G10" s="3">
        <f>E10</f>
        <v>5.5000000000000002E-5</v>
      </c>
      <c r="H10" s="3"/>
      <c r="I10" s="3"/>
      <c r="J10" s="3"/>
      <c r="K10" s="3"/>
      <c r="L10" s="3"/>
      <c r="M10" s="3"/>
      <c r="N10" s="3"/>
      <c r="O10" s="3"/>
      <c r="P10" s="3"/>
      <c r="Q10" s="3">
        <f>E10</f>
        <v>5.5000000000000002E-5</v>
      </c>
      <c r="R10" s="3"/>
      <c r="S10" s="3"/>
      <c r="T10" s="5"/>
      <c r="U10" s="5"/>
    </row>
    <row r="11" spans="1:21">
      <c r="A11" s="3" t="s">
        <v>54</v>
      </c>
      <c r="B11" s="3">
        <v>136.09</v>
      </c>
      <c r="C11" s="3">
        <f>B11*E11</f>
        <v>6.94059E-3</v>
      </c>
      <c r="D11" s="3"/>
      <c r="E11" s="12">
        <v>5.1E-5</v>
      </c>
      <c r="F11" s="3"/>
      <c r="G11" s="3"/>
      <c r="H11" s="3"/>
      <c r="I11" s="3"/>
      <c r="J11" s="3"/>
      <c r="K11" s="3"/>
      <c r="L11" s="12">
        <v>5.1E-5</v>
      </c>
      <c r="M11" s="3"/>
      <c r="N11" s="3"/>
      <c r="O11" s="3"/>
      <c r="P11" s="3"/>
      <c r="Q11" s="3"/>
      <c r="R11" s="3"/>
      <c r="S11" s="3"/>
    </row>
    <row r="12" spans="1:21">
      <c r="A12" s="5"/>
      <c r="B12" s="5"/>
    </row>
    <row r="13" spans="1:21">
      <c r="A13" s="5" t="s">
        <v>82</v>
      </c>
      <c r="C13" t="s">
        <v>55</v>
      </c>
    </row>
    <row r="14" spans="1:21">
      <c r="A14" s="4" t="s">
        <v>208</v>
      </c>
      <c r="B14" s="4">
        <v>203.3</v>
      </c>
      <c r="C14" s="4">
        <v>21.2</v>
      </c>
      <c r="D14" s="4">
        <v>20</v>
      </c>
      <c r="E14" s="4">
        <f>((C14/B14)*10)/D14</f>
        <v>5.2139695031972452E-2</v>
      </c>
      <c r="F14" s="4"/>
      <c r="G14" s="4"/>
      <c r="H14" s="4">
        <f>E14*2</f>
        <v>0.1042793900639449</v>
      </c>
      <c r="I14" s="4"/>
      <c r="J14" s="4">
        <f>E14</f>
        <v>5.2139695031972452E-2</v>
      </c>
      <c r="K14" s="4"/>
      <c r="L14" s="4"/>
      <c r="M14" s="4"/>
      <c r="N14" s="4"/>
      <c r="O14" s="4"/>
      <c r="P14" s="4"/>
      <c r="Q14" s="4"/>
      <c r="R14" s="4"/>
      <c r="S14" s="4"/>
      <c r="T14" s="5"/>
      <c r="U14" s="5"/>
    </row>
    <row r="15" spans="1:21">
      <c r="A15" s="4" t="s">
        <v>209</v>
      </c>
      <c r="B15" s="4">
        <v>147.01</v>
      </c>
      <c r="C15" s="4">
        <v>3.04</v>
      </c>
      <c r="D15" s="4">
        <v>20</v>
      </c>
      <c r="E15" s="4">
        <f>((C15/B15)*10)/D15</f>
        <v>1.0339432691653629E-2</v>
      </c>
      <c r="F15" s="4"/>
      <c r="G15" s="4"/>
      <c r="H15" s="4">
        <f>E15*2</f>
        <v>2.0678865383307259E-2</v>
      </c>
      <c r="I15" s="4"/>
      <c r="J15" s="4"/>
      <c r="K15" s="4">
        <f>E15</f>
        <v>1.0339432691653629E-2</v>
      </c>
      <c r="L15" s="4"/>
      <c r="M15" s="4"/>
      <c r="N15" s="4"/>
      <c r="O15" s="4"/>
      <c r="P15" s="4"/>
      <c r="Q15" s="4"/>
      <c r="R15" s="4"/>
      <c r="S15" s="4"/>
      <c r="T15" s="5"/>
      <c r="U15" s="5"/>
    </row>
    <row r="16" spans="1:21" s="5" customFormat="1"/>
    <row r="17" spans="1:22">
      <c r="A17" t="s">
        <v>210</v>
      </c>
      <c r="C17" t="s">
        <v>70</v>
      </c>
      <c r="F17" s="5"/>
      <c r="G17" s="5"/>
      <c r="H17" s="5"/>
      <c r="I17" s="5"/>
      <c r="J17" s="5"/>
      <c r="K17" s="5"/>
      <c r="L17" s="5"/>
      <c r="M17" s="5"/>
      <c r="N17" s="5"/>
      <c r="O17" s="5"/>
      <c r="P17" s="5"/>
      <c r="Q17" s="5"/>
      <c r="R17" s="5"/>
      <c r="S17" s="5"/>
      <c r="T17" s="5"/>
      <c r="U17" s="5"/>
    </row>
    <row r="18" spans="1:22">
      <c r="A18" s="7" t="s">
        <v>211</v>
      </c>
      <c r="B18" s="7">
        <v>278.01</v>
      </c>
      <c r="C18" s="7">
        <v>2.8E-3</v>
      </c>
      <c r="D18" s="7">
        <v>500</v>
      </c>
      <c r="E18" s="7">
        <f>((C18/B18)*10)/D18</f>
        <v>2.0143160317974173E-7</v>
      </c>
      <c r="F18" s="7"/>
      <c r="G18" s="7"/>
      <c r="H18" s="7"/>
      <c r="I18" s="7"/>
      <c r="J18" s="7"/>
      <c r="K18" s="7"/>
      <c r="L18" s="7"/>
      <c r="M18" s="7">
        <f>E18</f>
        <v>2.0143160317974173E-7</v>
      </c>
      <c r="N18" s="7"/>
      <c r="O18" s="7"/>
      <c r="P18" s="7"/>
      <c r="Q18" s="7"/>
      <c r="R18" s="7">
        <f>E18</f>
        <v>2.0143160317974173E-7</v>
      </c>
      <c r="S18" s="7"/>
      <c r="T18" s="5"/>
      <c r="U18" s="5"/>
    </row>
    <row r="19" spans="1:22">
      <c r="A19" s="7" t="s">
        <v>91</v>
      </c>
      <c r="B19" s="7">
        <v>235.1</v>
      </c>
      <c r="C19" s="7">
        <v>8.0999999999999996E-3</v>
      </c>
      <c r="D19" s="7">
        <v>500</v>
      </c>
      <c r="E19" s="7">
        <f>((C19/B19)*10)/D19</f>
        <v>6.8906848149723514E-7</v>
      </c>
      <c r="F19" s="7"/>
      <c r="G19" s="7"/>
      <c r="H19" s="7"/>
      <c r="I19" s="7"/>
      <c r="J19" s="7"/>
      <c r="K19" s="7"/>
      <c r="L19" s="7"/>
      <c r="M19" s="7"/>
      <c r="N19" s="7"/>
      <c r="O19" s="7"/>
      <c r="P19" s="7"/>
      <c r="Q19" s="7"/>
      <c r="R19" s="7"/>
      <c r="S19" s="7"/>
      <c r="T19" s="11"/>
      <c r="U19" s="11"/>
      <c r="V19" s="8"/>
    </row>
    <row r="20" spans="1:22">
      <c r="G20" s="9" t="s">
        <v>56</v>
      </c>
      <c r="H20" s="9" t="s">
        <v>57</v>
      </c>
      <c r="I20" s="9" t="s">
        <v>58</v>
      </c>
      <c r="J20" s="9" t="s">
        <v>59</v>
      </c>
      <c r="K20" s="9" t="s">
        <v>60</v>
      </c>
      <c r="L20" s="9" t="s">
        <v>61</v>
      </c>
      <c r="M20" s="9" t="s">
        <v>62</v>
      </c>
      <c r="N20" s="9" t="s">
        <v>63</v>
      </c>
      <c r="O20" s="9" t="s">
        <v>64</v>
      </c>
      <c r="P20" s="9" t="s">
        <v>65</v>
      </c>
      <c r="Q20" s="9" t="s">
        <v>66</v>
      </c>
      <c r="R20" s="9" t="s">
        <v>67</v>
      </c>
      <c r="S20" s="9" t="s">
        <v>207</v>
      </c>
      <c r="T20" s="11"/>
      <c r="U20" s="11"/>
      <c r="V20" s="8"/>
    </row>
    <row r="21" spans="1:22">
      <c r="A21" s="9" t="s">
        <v>74</v>
      </c>
      <c r="B21" s="9"/>
      <c r="C21" s="9"/>
      <c r="D21" s="9"/>
      <c r="E21" s="9"/>
      <c r="F21" s="9"/>
      <c r="G21" s="9">
        <f t="shared" ref="G21:S21" si="1">SUM(G3:G18)</f>
        <v>0.47885500000000003</v>
      </c>
      <c r="H21" s="9">
        <f t="shared" si="1"/>
        <v>0.5430482554472521</v>
      </c>
      <c r="I21" s="9">
        <f t="shared" si="1"/>
        <v>0.01</v>
      </c>
      <c r="J21" s="9">
        <f t="shared" si="1"/>
        <v>5.2139695031972452E-2</v>
      </c>
      <c r="K21" s="9">
        <f t="shared" si="1"/>
        <v>1.0339432691653629E-2</v>
      </c>
      <c r="L21" s="9">
        <f t="shared" si="1"/>
        <v>5.1E-5</v>
      </c>
      <c r="M21" s="9">
        <f t="shared" si="1"/>
        <v>3.0000201431603174E-2</v>
      </c>
      <c r="N21" s="9">
        <f t="shared" si="1"/>
        <v>8.0000000000000015E-4</v>
      </c>
      <c r="O21" s="9">
        <f t="shared" si="1"/>
        <v>4.2000000000000002E-4</v>
      </c>
      <c r="P21" s="9">
        <f t="shared" si="1"/>
        <v>9.0000000000000006E-5</v>
      </c>
      <c r="Q21" s="9">
        <f t="shared" si="1"/>
        <v>5.5000000000000002E-5</v>
      </c>
      <c r="R21" s="9">
        <f t="shared" si="1"/>
        <v>2.0143160317974173E-7</v>
      </c>
      <c r="S21" s="9">
        <f t="shared" si="1"/>
        <v>0</v>
      </c>
    </row>
    <row r="22" spans="1:22">
      <c r="A22" s="9" t="s">
        <v>75</v>
      </c>
      <c r="B22" s="9"/>
      <c r="C22" s="9"/>
      <c r="D22" s="9"/>
      <c r="E22" s="9"/>
      <c r="F22" s="9"/>
      <c r="G22" s="9" t="s">
        <v>88</v>
      </c>
      <c r="H22" s="9" t="s">
        <v>76</v>
      </c>
      <c r="I22" s="9" t="s">
        <v>77</v>
      </c>
      <c r="J22" s="9" t="s">
        <v>89</v>
      </c>
      <c r="K22" s="9" t="s">
        <v>77</v>
      </c>
      <c r="L22" s="9" t="s">
        <v>78</v>
      </c>
      <c r="M22" s="9" t="s">
        <v>90</v>
      </c>
      <c r="N22" s="9" t="s">
        <v>79</v>
      </c>
      <c r="O22" s="9" t="s">
        <v>212</v>
      </c>
      <c r="P22" s="9" t="s">
        <v>80</v>
      </c>
      <c r="Q22" s="9" t="s">
        <v>81</v>
      </c>
      <c r="R22" s="9" t="s">
        <v>213</v>
      </c>
      <c r="S22" s="9" t="s">
        <v>214</v>
      </c>
    </row>
    <row r="23" spans="1:22">
      <c r="T23" s="5"/>
      <c r="U23" s="5"/>
    </row>
    <row r="24" spans="1:22">
      <c r="A24" t="s">
        <v>215</v>
      </c>
      <c r="B24" s="1"/>
      <c r="C24" s="1" t="s">
        <v>55</v>
      </c>
    </row>
    <row r="25" spans="1:22">
      <c r="A25" s="1" t="s">
        <v>216</v>
      </c>
      <c r="B25" s="1">
        <v>125.84399999999999</v>
      </c>
      <c r="C25" s="27">
        <v>1.1325959999999998E-2</v>
      </c>
      <c r="D25">
        <v>100000</v>
      </c>
      <c r="E25" s="5">
        <f t="shared" ref="E25:E30" si="2">((C25/B25)*10)/D25</f>
        <v>8.9999999999999995E-9</v>
      </c>
    </row>
    <row r="26" spans="1:22">
      <c r="A26" s="1" t="s">
        <v>217</v>
      </c>
      <c r="B26" s="1">
        <v>161.47</v>
      </c>
      <c r="C26" s="27">
        <v>1.2917599999999999E-3</v>
      </c>
      <c r="D26">
        <v>100000</v>
      </c>
      <c r="E26" s="5">
        <f t="shared" si="2"/>
        <v>7.9999999999999993E-10</v>
      </c>
      <c r="K26" s="5"/>
      <c r="L26" s="5"/>
      <c r="M26" s="5"/>
    </row>
    <row r="27" spans="1:22">
      <c r="A27" s="1" t="s">
        <v>34</v>
      </c>
      <c r="B27" s="1">
        <v>129.839</v>
      </c>
      <c r="C27" s="27">
        <v>6.4919499999999998E-4</v>
      </c>
      <c r="D27">
        <v>100000</v>
      </c>
      <c r="E27" s="5">
        <f t="shared" si="2"/>
        <v>4.9999999999999993E-10</v>
      </c>
      <c r="G27" t="s">
        <v>72</v>
      </c>
      <c r="K27" s="5"/>
      <c r="L27" s="5"/>
      <c r="M27" s="5"/>
    </row>
    <row r="28" spans="1:22">
      <c r="A28" s="1" t="s">
        <v>35</v>
      </c>
      <c r="B28" s="1">
        <v>218.98</v>
      </c>
      <c r="C28" s="27">
        <v>6.5693999999999995E-4</v>
      </c>
      <c r="D28">
        <v>100000</v>
      </c>
      <c r="E28" s="5">
        <f t="shared" si="2"/>
        <v>3E-10</v>
      </c>
      <c r="K28" s="5"/>
      <c r="L28" s="5"/>
      <c r="M28" s="5"/>
    </row>
    <row r="29" spans="1:22">
      <c r="A29" s="1" t="s">
        <v>36</v>
      </c>
      <c r="B29" s="1">
        <v>172.94</v>
      </c>
      <c r="C29" s="27">
        <v>1.7294000000000001E-3</v>
      </c>
      <c r="D29">
        <v>100000</v>
      </c>
      <c r="E29" s="5">
        <f t="shared" si="2"/>
        <v>1.0000000000000001E-9</v>
      </c>
      <c r="K29" s="5"/>
      <c r="L29" s="5"/>
      <c r="M29" s="5"/>
    </row>
    <row r="30" spans="1:22">
      <c r="A30" s="1" t="s">
        <v>37</v>
      </c>
      <c r="B30" s="1">
        <v>129.5994</v>
      </c>
      <c r="C30" s="27">
        <v>1.2959940000000002E-3</v>
      </c>
      <c r="D30">
        <v>100000</v>
      </c>
      <c r="E30" s="5">
        <f t="shared" si="2"/>
        <v>1.0000000000000001E-9</v>
      </c>
      <c r="K30" s="5"/>
      <c r="L30" s="5"/>
      <c r="M30" s="5"/>
    </row>
    <row r="31" spans="1:22">
      <c r="E31" s="5"/>
    </row>
    <row r="32" spans="1:22">
      <c r="A32" t="s">
        <v>218</v>
      </c>
      <c r="C32" t="s">
        <v>55</v>
      </c>
      <c r="E32" s="5"/>
    </row>
    <row r="33" spans="1:7">
      <c r="A33" t="s">
        <v>219</v>
      </c>
      <c r="D33">
        <v>10000</v>
      </c>
      <c r="E33" s="28" t="s">
        <v>220</v>
      </c>
    </row>
    <row r="34" spans="1:7">
      <c r="A34" t="s">
        <v>44</v>
      </c>
      <c r="D34" s="6">
        <v>10000</v>
      </c>
      <c r="E34" s="28" t="s">
        <v>39</v>
      </c>
    </row>
    <row r="35" spans="1:7">
      <c r="A35" t="s">
        <v>45</v>
      </c>
      <c r="D35" s="6">
        <v>10000</v>
      </c>
      <c r="E35" s="28" t="s">
        <v>39</v>
      </c>
    </row>
    <row r="36" spans="1:7">
      <c r="A36" t="s">
        <v>46</v>
      </c>
      <c r="D36" s="6">
        <v>10000</v>
      </c>
      <c r="E36" s="28" t="s">
        <v>220</v>
      </c>
    </row>
    <row r="37" spans="1:7">
      <c r="A37" t="s">
        <v>47</v>
      </c>
      <c r="D37" s="6">
        <v>10000</v>
      </c>
      <c r="E37" s="29" t="s">
        <v>40</v>
      </c>
      <c r="G37" t="s">
        <v>72</v>
      </c>
    </row>
    <row r="38" spans="1:7">
      <c r="A38" t="s">
        <v>48</v>
      </c>
      <c r="D38" s="6">
        <v>10000</v>
      </c>
      <c r="E38" s="28" t="s">
        <v>41</v>
      </c>
    </row>
    <row r="39" spans="1:7">
      <c r="A39" t="s">
        <v>49</v>
      </c>
      <c r="D39" s="6">
        <v>10000</v>
      </c>
      <c r="E39" s="28" t="s">
        <v>42</v>
      </c>
    </row>
    <row r="40" spans="1:7">
      <c r="A40" t="s">
        <v>50</v>
      </c>
      <c r="D40" s="6">
        <v>10000</v>
      </c>
      <c r="E40" s="28" t="s">
        <v>40</v>
      </c>
    </row>
    <row r="41" spans="1:7">
      <c r="A41" t="s">
        <v>51</v>
      </c>
      <c r="D41" s="6">
        <v>10000</v>
      </c>
      <c r="E41" s="28" t="s">
        <v>39</v>
      </c>
    </row>
    <row r="42" spans="1:7">
      <c r="A42" t="s">
        <v>52</v>
      </c>
      <c r="D42" s="6">
        <v>10000</v>
      </c>
      <c r="E42" s="28" t="s">
        <v>43</v>
      </c>
    </row>
    <row r="44" spans="1:7">
      <c r="A44" s="8" t="s">
        <v>73</v>
      </c>
    </row>
    <row r="45" spans="1:7">
      <c r="A45" s="8" t="s">
        <v>83</v>
      </c>
      <c r="C45" s="6"/>
    </row>
    <row r="46" spans="1:7">
      <c r="A46" s="8" t="s">
        <v>71</v>
      </c>
      <c r="C46" s="6"/>
    </row>
    <row r="47" spans="1:7">
      <c r="A47" s="8" t="s">
        <v>92</v>
      </c>
      <c r="C47" s="6"/>
    </row>
    <row r="48" spans="1:7">
      <c r="A48" s="8" t="s">
        <v>84</v>
      </c>
      <c r="C48" s="6"/>
    </row>
    <row r="49" spans="1:3">
      <c r="A49" s="8" t="s">
        <v>85</v>
      </c>
      <c r="C49" s="6"/>
    </row>
    <row r="50" spans="1:3">
      <c r="A50" s="8" t="s">
        <v>93</v>
      </c>
      <c r="C50" s="6"/>
    </row>
    <row r="51" spans="1:3">
      <c r="B51" s="8" t="s">
        <v>221</v>
      </c>
      <c r="C51" s="6"/>
    </row>
    <row r="52" spans="1:3">
      <c r="A52" s="1"/>
      <c r="B52" s="8" t="s">
        <v>87</v>
      </c>
      <c r="C52" s="6"/>
    </row>
    <row r="53" spans="1:3">
      <c r="A53" s="1"/>
      <c r="B53" s="8" t="s">
        <v>222</v>
      </c>
      <c r="C53" s="6"/>
    </row>
    <row r="54" spans="1:3">
      <c r="A54" s="8" t="s">
        <v>86</v>
      </c>
      <c r="C54" s="6"/>
    </row>
    <row r="55" spans="1:3">
      <c r="C55" s="6"/>
    </row>
    <row r="56" spans="1:3">
      <c r="B56" s="1"/>
      <c r="C56" s="6"/>
    </row>
    <row r="57" spans="1:3">
      <c r="A57" s="1"/>
      <c r="B57" s="1"/>
    </row>
    <row r="58" spans="1:3">
      <c r="A58" s="1"/>
    </row>
    <row r="59" spans="1:3">
      <c r="A59" s="1"/>
    </row>
    <row r="60" spans="1:3">
      <c r="A60" s="1"/>
    </row>
    <row r="61" spans="1:3">
      <c r="A61" s="1"/>
    </row>
    <row r="62" spans="1:3">
      <c r="A62" s="1"/>
    </row>
    <row r="63" spans="1:3">
      <c r="A63" s="1"/>
    </row>
    <row r="64" spans="1:3">
      <c r="A64" s="1"/>
    </row>
    <row r="65" spans="1:2">
      <c r="A65" s="1"/>
    </row>
    <row r="66" spans="1:2">
      <c r="A66" s="1"/>
    </row>
    <row r="67" spans="1:2">
      <c r="A67" s="1"/>
    </row>
    <row r="68" spans="1:2">
      <c r="A68" s="1"/>
      <c r="B68" s="1"/>
    </row>
    <row r="69" spans="1:2">
      <c r="A69" s="1"/>
      <c r="B69" s="1"/>
    </row>
    <row r="70" spans="1:2">
      <c r="A70" s="1"/>
    </row>
    <row r="71" spans="1:2">
      <c r="A71" s="1"/>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tabSelected="1" topLeftCell="C9" workbookViewId="0">
      <selection activeCell="O43" sqref="O43"/>
    </sheetView>
  </sheetViews>
  <sheetFormatPr baseColWidth="10" defaultColWidth="10.83203125" defaultRowHeight="15" x14ac:dyDescent="0"/>
  <cols>
    <col min="1" max="1" width="20.83203125" style="1" customWidth="1"/>
    <col min="2" max="2" width="22" style="1" bestFit="1" customWidth="1"/>
    <col min="3" max="3" width="9.1640625" style="1" bestFit="1" customWidth="1"/>
    <col min="4" max="4" width="17" style="1" bestFit="1" customWidth="1"/>
    <col min="5" max="5" width="12.1640625" style="1" bestFit="1" customWidth="1"/>
    <col min="6" max="6" width="12.33203125" style="1" bestFit="1" customWidth="1"/>
    <col min="7" max="7" width="16.33203125" style="1" bestFit="1" customWidth="1"/>
    <col min="8" max="8" width="13" style="1" bestFit="1" customWidth="1"/>
    <col min="9" max="9" width="16.1640625" style="1" bestFit="1" customWidth="1"/>
    <col min="10" max="10" width="10" style="1" bestFit="1" customWidth="1"/>
    <col min="11" max="11" width="12.1640625" style="1" bestFit="1" customWidth="1"/>
    <col min="12" max="12" width="13.33203125" style="1" bestFit="1" customWidth="1"/>
    <col min="13" max="13" width="12.1640625" style="1" bestFit="1" customWidth="1"/>
    <col min="14" max="14" width="13.6640625" style="1" bestFit="1" customWidth="1"/>
    <col min="15" max="15" width="12.1640625" style="1" bestFit="1" customWidth="1"/>
    <col min="16" max="16384" width="10.83203125" style="1"/>
  </cols>
  <sheetData>
    <row r="1" spans="1:15">
      <c r="A1" s="23" t="s">
        <v>20</v>
      </c>
      <c r="B1" s="23" t="s">
        <v>8</v>
      </c>
      <c r="C1" s="23" t="s">
        <v>11</v>
      </c>
      <c r="D1" s="23" t="s">
        <v>131</v>
      </c>
      <c r="E1" s="23" t="s">
        <v>9</v>
      </c>
      <c r="F1" s="23"/>
      <c r="G1" s="23" t="s">
        <v>55</v>
      </c>
      <c r="H1" s="23" t="s">
        <v>119</v>
      </c>
      <c r="I1" s="23" t="s">
        <v>130</v>
      </c>
      <c r="J1" s="23" t="s">
        <v>68</v>
      </c>
      <c r="K1" s="23" t="s">
        <v>120</v>
      </c>
      <c r="L1" s="24" t="s">
        <v>135</v>
      </c>
      <c r="M1" s="24" t="s">
        <v>136</v>
      </c>
      <c r="N1" s="23" t="s">
        <v>137</v>
      </c>
      <c r="O1" s="23" t="s">
        <v>138</v>
      </c>
    </row>
    <row r="2" spans="1:15">
      <c r="A2" s="6" t="s">
        <v>378</v>
      </c>
      <c r="B2" s="6" t="s">
        <v>132</v>
      </c>
      <c r="C2" s="6">
        <v>210.7</v>
      </c>
      <c r="E2" s="6">
        <v>6.32</v>
      </c>
      <c r="F2" s="6">
        <v>174.2</v>
      </c>
      <c r="G2" s="6">
        <v>0.63200000000000001</v>
      </c>
      <c r="I2" s="6">
        <f>E2/C2</f>
        <v>2.9995253915519698E-2</v>
      </c>
      <c r="J2" s="6">
        <v>50000</v>
      </c>
      <c r="K2" s="6">
        <f>I2/J2</f>
        <v>5.9990507831039392E-7</v>
      </c>
      <c r="L2">
        <v>6</v>
      </c>
      <c r="M2" s="1">
        <f>K2*L2</f>
        <v>3.5994304698623635E-6</v>
      </c>
      <c r="N2" s="1">
        <v>4</v>
      </c>
      <c r="O2">
        <f>K2*N2</f>
        <v>2.3996203132415757E-6</v>
      </c>
    </row>
    <row r="3" spans="1:15">
      <c r="A3" s="6"/>
      <c r="B3" s="6" t="s">
        <v>375</v>
      </c>
      <c r="C3" s="6">
        <v>313.22000000000003</v>
      </c>
      <c r="E3" s="6">
        <v>1.5640000000000001</v>
      </c>
      <c r="F3" s="6"/>
      <c r="G3" s="6">
        <v>0.15640000000000001</v>
      </c>
      <c r="I3" s="6">
        <f t="shared" ref="I3:I13" si="0">E3/C3</f>
        <v>4.9932954472894451E-3</v>
      </c>
      <c r="J3" s="6">
        <v>50000</v>
      </c>
      <c r="K3" s="6">
        <f t="shared" ref="K2:K13" si="1">I3/J3</f>
        <v>9.9865908945788902E-8</v>
      </c>
      <c r="L3">
        <v>6</v>
      </c>
      <c r="M3" s="1">
        <f t="shared" ref="M3:M13" si="2">K3*L3</f>
        <v>5.9919545367473336E-7</v>
      </c>
      <c r="N3" s="1">
        <v>2</v>
      </c>
      <c r="O3">
        <f t="shared" ref="O3:O13" si="3">K3*N3</f>
        <v>1.997318178915778E-7</v>
      </c>
    </row>
    <row r="4" spans="1:15">
      <c r="A4" s="6"/>
      <c r="B4" s="6" t="s">
        <v>133</v>
      </c>
      <c r="C4" s="6">
        <v>209.65</v>
      </c>
      <c r="E4" s="6">
        <v>2.1</v>
      </c>
      <c r="F4" s="6">
        <v>155.15</v>
      </c>
      <c r="G4" s="6">
        <v>0.21</v>
      </c>
      <c r="I4" s="6">
        <f t="shared" si="0"/>
        <v>1.001669449081803E-2</v>
      </c>
      <c r="J4" s="6">
        <v>50000</v>
      </c>
      <c r="K4" s="6">
        <f t="shared" si="1"/>
        <v>2.0033388981636061E-7</v>
      </c>
      <c r="L4">
        <v>6</v>
      </c>
      <c r="M4" s="1">
        <f t="shared" si="2"/>
        <v>1.2020033388981636E-6</v>
      </c>
      <c r="N4" s="1">
        <v>3</v>
      </c>
      <c r="O4">
        <f t="shared" si="3"/>
        <v>6.010016694490818E-7</v>
      </c>
    </row>
    <row r="5" spans="1:15">
      <c r="A5" s="6"/>
      <c r="B5" s="6" t="s">
        <v>0</v>
      </c>
      <c r="C5" s="6">
        <v>131.16999999999999</v>
      </c>
      <c r="E5" s="6">
        <v>2.625</v>
      </c>
      <c r="F5" s="6"/>
      <c r="G5" s="6">
        <v>0.26250000000000001</v>
      </c>
      <c r="I5" s="6">
        <f t="shared" si="0"/>
        <v>2.0012197911107726E-2</v>
      </c>
      <c r="J5" s="6">
        <v>50000</v>
      </c>
      <c r="K5" s="6">
        <f t="shared" si="1"/>
        <v>4.0024395822215451E-7</v>
      </c>
      <c r="L5">
        <v>6</v>
      </c>
      <c r="M5" s="1">
        <f t="shared" si="2"/>
        <v>2.401463749332927E-6</v>
      </c>
      <c r="N5" s="1">
        <v>1</v>
      </c>
      <c r="O5">
        <f t="shared" si="3"/>
        <v>4.0024395822215451E-7</v>
      </c>
    </row>
    <row r="6" spans="1:15">
      <c r="A6" s="6"/>
      <c r="B6" s="6" t="s">
        <v>1</v>
      </c>
      <c r="C6" s="6">
        <v>131.16999999999999</v>
      </c>
      <c r="E6" s="6">
        <v>2.62</v>
      </c>
      <c r="F6" s="6"/>
      <c r="G6" s="6">
        <v>0.26200000000000001</v>
      </c>
      <c r="I6" s="6">
        <f t="shared" si="0"/>
        <v>1.9974079438896092E-2</v>
      </c>
      <c r="J6" s="6">
        <v>50000</v>
      </c>
      <c r="K6" s="6">
        <f t="shared" si="1"/>
        <v>3.9948158877792185E-7</v>
      </c>
      <c r="L6">
        <v>6</v>
      </c>
      <c r="M6" s="1">
        <f t="shared" si="2"/>
        <v>2.396889532667531E-6</v>
      </c>
      <c r="N6" s="1">
        <v>1</v>
      </c>
      <c r="O6">
        <f t="shared" si="3"/>
        <v>3.9948158877792185E-7</v>
      </c>
    </row>
    <row r="7" spans="1:15">
      <c r="A7" s="6"/>
      <c r="B7" s="6" t="s">
        <v>134</v>
      </c>
      <c r="C7" s="6">
        <v>182.69</v>
      </c>
      <c r="E7" s="6">
        <v>3.625</v>
      </c>
      <c r="F7" s="6">
        <v>146.19</v>
      </c>
      <c r="G7" s="6">
        <v>0.36249999999999999</v>
      </c>
      <c r="I7" s="6">
        <f t="shared" si="0"/>
        <v>1.984235590344299E-2</v>
      </c>
      <c r="J7" s="6">
        <v>50000</v>
      </c>
      <c r="K7" s="6">
        <f t="shared" si="1"/>
        <v>3.9684711806885979E-7</v>
      </c>
      <c r="L7">
        <v>6</v>
      </c>
      <c r="M7" s="1">
        <f t="shared" si="2"/>
        <v>2.3810827084131589E-6</v>
      </c>
      <c r="N7" s="1">
        <v>2</v>
      </c>
      <c r="O7">
        <f t="shared" si="3"/>
        <v>7.9369423613771959E-7</v>
      </c>
    </row>
    <row r="8" spans="1:15">
      <c r="A8" s="6"/>
      <c r="B8" s="6" t="s">
        <v>2</v>
      </c>
      <c r="C8" s="6">
        <v>149.21</v>
      </c>
      <c r="E8" s="6">
        <v>0.755</v>
      </c>
      <c r="F8" s="6"/>
      <c r="G8" s="6">
        <v>7.5499999999999998E-2</v>
      </c>
      <c r="I8" s="6">
        <f t="shared" si="0"/>
        <v>5.0599825748944439E-3</v>
      </c>
      <c r="J8" s="6">
        <v>50000</v>
      </c>
      <c r="K8" s="6">
        <f t="shared" si="1"/>
        <v>1.0119965149788888E-7</v>
      </c>
      <c r="L8">
        <v>5</v>
      </c>
      <c r="M8" s="1">
        <f t="shared" si="2"/>
        <v>5.0599825748944436E-7</v>
      </c>
      <c r="N8" s="1">
        <v>1</v>
      </c>
      <c r="O8">
        <f t="shared" si="3"/>
        <v>1.0119965149788888E-7</v>
      </c>
    </row>
    <row r="9" spans="1:15">
      <c r="A9" s="6"/>
      <c r="B9" s="6" t="s">
        <v>3</v>
      </c>
      <c r="C9" s="6">
        <v>165.19</v>
      </c>
      <c r="E9" s="6">
        <v>1.65</v>
      </c>
      <c r="F9" s="6"/>
      <c r="G9" s="6">
        <v>0.16500000000000001</v>
      </c>
      <c r="I9" s="6">
        <f t="shared" si="0"/>
        <v>9.9884980931049094E-3</v>
      </c>
      <c r="J9" s="6">
        <v>50000</v>
      </c>
      <c r="K9" s="6">
        <f t="shared" si="1"/>
        <v>1.9976996186209818E-7</v>
      </c>
      <c r="L9">
        <v>9</v>
      </c>
      <c r="M9" s="1">
        <f t="shared" si="2"/>
        <v>1.7979296567588837E-6</v>
      </c>
      <c r="N9" s="1">
        <v>1</v>
      </c>
      <c r="O9">
        <f t="shared" si="3"/>
        <v>1.9976996186209818E-7</v>
      </c>
    </row>
    <row r="10" spans="1:15">
      <c r="A10" s="6"/>
      <c r="B10" s="6" t="s">
        <v>4</v>
      </c>
      <c r="C10" s="6">
        <v>119.12</v>
      </c>
      <c r="E10" s="6">
        <v>2.38</v>
      </c>
      <c r="F10" s="6"/>
      <c r="G10" s="6">
        <v>0.23799999999999999</v>
      </c>
      <c r="I10" s="6">
        <f t="shared" si="0"/>
        <v>1.9979852249832099E-2</v>
      </c>
      <c r="J10" s="6">
        <v>50000</v>
      </c>
      <c r="K10" s="6">
        <f t="shared" si="1"/>
        <v>3.9959704499664197E-7</v>
      </c>
      <c r="L10">
        <v>4</v>
      </c>
      <c r="M10" s="1">
        <f t="shared" si="2"/>
        <v>1.5983881799865679E-6</v>
      </c>
      <c r="N10" s="1">
        <v>1</v>
      </c>
      <c r="O10">
        <f t="shared" si="3"/>
        <v>3.9959704499664197E-7</v>
      </c>
    </row>
    <row r="11" spans="1:15">
      <c r="A11" s="6"/>
      <c r="B11" s="6" t="s">
        <v>5</v>
      </c>
      <c r="C11" s="6">
        <v>204.23</v>
      </c>
      <c r="E11" s="6">
        <v>0.51</v>
      </c>
      <c r="F11" s="6"/>
      <c r="G11" s="6">
        <v>5.0999999999999997E-2</v>
      </c>
      <c r="I11" s="6">
        <f t="shared" si="0"/>
        <v>2.4971845468344514E-3</v>
      </c>
      <c r="J11" s="6">
        <v>50000</v>
      </c>
      <c r="K11" s="6">
        <f t="shared" si="1"/>
        <v>4.994369093668903E-8</v>
      </c>
      <c r="L11">
        <v>11</v>
      </c>
      <c r="M11" s="1">
        <f t="shared" si="2"/>
        <v>5.4938060030357927E-7</v>
      </c>
      <c r="N11" s="1">
        <v>2</v>
      </c>
      <c r="O11">
        <f t="shared" si="3"/>
        <v>9.988738187337806E-8</v>
      </c>
    </row>
    <row r="12" spans="1:15">
      <c r="A12" s="6"/>
      <c r="B12" s="6" t="s">
        <v>6</v>
      </c>
      <c r="C12" s="6">
        <v>181.19</v>
      </c>
      <c r="E12" s="6">
        <v>1.8</v>
      </c>
      <c r="F12" s="6"/>
      <c r="G12" s="6">
        <v>0.18</v>
      </c>
      <c r="I12" s="6">
        <f t="shared" si="0"/>
        <v>9.9343230862630385E-3</v>
      </c>
      <c r="J12" s="6">
        <v>50000</v>
      </c>
      <c r="K12" s="6">
        <f t="shared" si="1"/>
        <v>1.9868646172526078E-7</v>
      </c>
      <c r="L12">
        <v>9</v>
      </c>
      <c r="M12" s="1">
        <f t="shared" si="2"/>
        <v>1.788178155527347E-6</v>
      </c>
      <c r="N12" s="1">
        <v>1</v>
      </c>
      <c r="O12">
        <f t="shared" si="3"/>
        <v>1.9868646172526078E-7</v>
      </c>
    </row>
    <row r="13" spans="1:15">
      <c r="A13" s="6"/>
      <c r="B13" s="6" t="s">
        <v>7</v>
      </c>
      <c r="C13" s="6">
        <v>117.15</v>
      </c>
      <c r="E13" s="6">
        <v>2.34</v>
      </c>
      <c r="F13" s="6"/>
      <c r="G13" s="6">
        <v>0.23400000000000001</v>
      </c>
      <c r="I13" s="6">
        <f t="shared" si="0"/>
        <v>1.9974391805377717E-2</v>
      </c>
      <c r="J13" s="6">
        <v>50000</v>
      </c>
      <c r="K13" s="6">
        <f t="shared" si="1"/>
        <v>3.9948783610755436E-7</v>
      </c>
      <c r="L13">
        <v>5</v>
      </c>
      <c r="M13" s="1">
        <f t="shared" si="2"/>
        <v>1.9974391805377719E-6</v>
      </c>
      <c r="N13" s="1">
        <v>1</v>
      </c>
      <c r="O13">
        <f t="shared" si="3"/>
        <v>3.9948783610755436E-7</v>
      </c>
    </row>
    <row r="14" spans="1:15">
      <c r="A14" s="6"/>
      <c r="B14" s="6"/>
      <c r="C14" s="6"/>
      <c r="E14" s="6"/>
      <c r="F14" s="6"/>
      <c r="G14" s="6"/>
      <c r="I14" s="6"/>
      <c r="J14" s="6"/>
      <c r="K14" s="16"/>
      <c r="M14" s="2">
        <f>SUM(M2:M13)</f>
        <v>2.0817379283452472E-5</v>
      </c>
      <c r="O14" s="2">
        <f>SUM(O2:O13)</f>
        <v>6.1924019217828531E-6</v>
      </c>
    </row>
    <row r="15" spans="1:15">
      <c r="A15" s="6"/>
      <c r="B15" s="6"/>
      <c r="C15" s="6"/>
      <c r="E15" s="6"/>
      <c r="F15" s="6"/>
      <c r="G15" s="6"/>
      <c r="I15" s="6"/>
      <c r="J15" s="6"/>
      <c r="K15" s="6"/>
    </row>
    <row r="16" spans="1:15">
      <c r="A16" s="6" t="s">
        <v>141</v>
      </c>
      <c r="B16" s="6" t="s">
        <v>12</v>
      </c>
      <c r="C16" s="6">
        <v>146.13999999999999</v>
      </c>
      <c r="E16" s="6">
        <f>I16*C16</f>
        <v>0.14613999999999999</v>
      </c>
      <c r="F16" s="6"/>
      <c r="G16" s="6">
        <f>E16/10</f>
        <v>1.4613999999999999E-2</v>
      </c>
      <c r="I16" s="6">
        <v>1E-3</v>
      </c>
      <c r="J16" s="6">
        <v>2000</v>
      </c>
      <c r="K16" s="6">
        <f t="shared" ref="K16:K25" si="4">I16/J16</f>
        <v>4.9999999999999998E-7</v>
      </c>
      <c r="L16" s="1">
        <v>5</v>
      </c>
      <c r="M16" s="1">
        <f>K16*L16</f>
        <v>2.4999999999999998E-6</v>
      </c>
      <c r="N16" s="6">
        <v>2</v>
      </c>
      <c r="O16">
        <f>K16*N16</f>
        <v>9.9999999999999995E-7</v>
      </c>
    </row>
    <row r="17" spans="1:15">
      <c r="A17" s="6"/>
      <c r="B17" s="6" t="s">
        <v>10</v>
      </c>
      <c r="C17" s="6">
        <v>180.16</v>
      </c>
      <c r="E17" s="6">
        <f t="shared" ref="E17:E25" si="5">I17*C17</f>
        <v>0.18015999999999999</v>
      </c>
      <c r="F17" s="6"/>
      <c r="G17" s="6">
        <f t="shared" ref="G17:G25" si="6">E17/10</f>
        <v>1.8015999999999997E-2</v>
      </c>
      <c r="I17" s="6">
        <v>1E-3</v>
      </c>
      <c r="J17" s="6">
        <v>2000</v>
      </c>
      <c r="K17" s="6">
        <f t="shared" si="4"/>
        <v>4.9999999999999998E-7</v>
      </c>
      <c r="L17" s="1">
        <v>6</v>
      </c>
      <c r="M17" s="1">
        <f t="shared" ref="M17:M25" si="7">K17*L17</f>
        <v>3.0000000000000001E-6</v>
      </c>
      <c r="N17" s="6">
        <v>0</v>
      </c>
      <c r="O17">
        <f t="shared" ref="O17:O25" si="8">K17*N17</f>
        <v>0</v>
      </c>
    </row>
    <row r="18" spans="1:15">
      <c r="A18" s="6"/>
      <c r="B18" s="6" t="s">
        <v>13</v>
      </c>
      <c r="C18" s="6">
        <v>150.13</v>
      </c>
      <c r="E18" s="6">
        <f t="shared" si="5"/>
        <v>0.15012999999999999</v>
      </c>
      <c r="F18" s="6"/>
      <c r="G18" s="6">
        <f t="shared" si="6"/>
        <v>1.5012999999999999E-2</v>
      </c>
      <c r="I18" s="6">
        <v>1E-3</v>
      </c>
      <c r="J18" s="6">
        <v>2000</v>
      </c>
      <c r="K18" s="6">
        <f t="shared" si="4"/>
        <v>4.9999999999999998E-7</v>
      </c>
      <c r="L18" s="1">
        <v>5</v>
      </c>
      <c r="M18" s="1">
        <f t="shared" si="7"/>
        <v>2.4999999999999998E-6</v>
      </c>
      <c r="N18" s="6">
        <v>0</v>
      </c>
      <c r="O18">
        <f t="shared" si="8"/>
        <v>0</v>
      </c>
    </row>
    <row r="19" spans="1:15">
      <c r="A19" s="6"/>
      <c r="B19" s="6" t="s">
        <v>14</v>
      </c>
      <c r="C19" s="6">
        <v>110.04</v>
      </c>
      <c r="E19" s="6">
        <f>I19*C19</f>
        <v>0.11004000000000001</v>
      </c>
      <c r="F19" s="6"/>
      <c r="G19" s="6">
        <f t="shared" si="6"/>
        <v>1.1004000000000002E-2</v>
      </c>
      <c r="I19" s="6">
        <v>1E-3</v>
      </c>
      <c r="J19" s="6">
        <v>2000</v>
      </c>
      <c r="K19" s="6">
        <f>I19/J19</f>
        <v>4.9999999999999998E-7</v>
      </c>
      <c r="L19" s="1">
        <v>3</v>
      </c>
      <c r="M19" s="1">
        <f t="shared" si="7"/>
        <v>1.5E-6</v>
      </c>
      <c r="N19" s="6">
        <v>0</v>
      </c>
      <c r="O19">
        <f t="shared" si="8"/>
        <v>0</v>
      </c>
    </row>
    <row r="20" spans="1:15">
      <c r="A20" s="6"/>
      <c r="B20" s="6" t="s">
        <v>376</v>
      </c>
      <c r="C20" s="6">
        <v>294.10000000000002</v>
      </c>
      <c r="E20" s="6">
        <f>I20*C20</f>
        <v>0.29410000000000003</v>
      </c>
      <c r="F20" s="6"/>
      <c r="G20" s="6">
        <f>E20/10</f>
        <v>2.9410000000000002E-2</v>
      </c>
      <c r="I20" s="6">
        <v>1E-3</v>
      </c>
      <c r="J20" s="6">
        <v>2000</v>
      </c>
      <c r="K20" s="6">
        <f t="shared" si="4"/>
        <v>4.9999999999999998E-7</v>
      </c>
      <c r="L20" s="1">
        <v>6</v>
      </c>
      <c r="M20" s="1">
        <f t="shared" si="7"/>
        <v>3.0000000000000001E-6</v>
      </c>
      <c r="N20" s="6">
        <v>0</v>
      </c>
      <c r="O20">
        <f t="shared" si="8"/>
        <v>0</v>
      </c>
    </row>
    <row r="21" spans="1:15">
      <c r="A21" s="6"/>
      <c r="B21" s="6" t="s">
        <v>15</v>
      </c>
      <c r="C21" s="6">
        <v>132.07</v>
      </c>
      <c r="E21" s="6">
        <f t="shared" si="5"/>
        <v>0.13206999999999999</v>
      </c>
      <c r="F21" s="6"/>
      <c r="G21" s="6">
        <f t="shared" si="6"/>
        <v>1.3207E-2</v>
      </c>
      <c r="I21" s="6">
        <v>1E-3</v>
      </c>
      <c r="J21" s="6">
        <v>2000</v>
      </c>
      <c r="K21" s="6">
        <f t="shared" si="4"/>
        <v>4.9999999999999998E-7</v>
      </c>
      <c r="L21" s="1">
        <v>4</v>
      </c>
      <c r="M21" s="1">
        <f t="shared" si="7"/>
        <v>1.9999999999999999E-6</v>
      </c>
      <c r="N21" s="6">
        <v>0</v>
      </c>
      <c r="O21">
        <f t="shared" si="8"/>
        <v>0</v>
      </c>
    </row>
    <row r="22" spans="1:15">
      <c r="A22" s="6"/>
      <c r="B22" s="6" t="s">
        <v>16</v>
      </c>
      <c r="C22" s="6">
        <v>82.03</v>
      </c>
      <c r="E22" s="6">
        <f t="shared" si="5"/>
        <v>8.2030000000000006E-2</v>
      </c>
      <c r="F22" s="6"/>
      <c r="G22" s="6">
        <f t="shared" si="6"/>
        <v>8.2030000000000002E-3</v>
      </c>
      <c r="I22" s="6">
        <v>1E-3</v>
      </c>
      <c r="J22" s="6">
        <v>2000</v>
      </c>
      <c r="K22" s="6">
        <f t="shared" si="4"/>
        <v>4.9999999999999998E-7</v>
      </c>
      <c r="L22" s="1">
        <v>2</v>
      </c>
      <c r="M22" s="1">
        <f t="shared" si="7"/>
        <v>9.9999999999999995E-7</v>
      </c>
      <c r="N22" s="6">
        <v>0</v>
      </c>
      <c r="O22">
        <f t="shared" si="8"/>
        <v>0</v>
      </c>
    </row>
    <row r="23" spans="1:15">
      <c r="A23" s="6"/>
      <c r="B23" s="6" t="s">
        <v>377</v>
      </c>
      <c r="C23" s="6">
        <v>162.05000000000001</v>
      </c>
      <c r="E23" s="6">
        <f t="shared" si="5"/>
        <v>0.16205000000000003</v>
      </c>
      <c r="F23" s="6"/>
      <c r="G23" s="6">
        <f t="shared" si="6"/>
        <v>1.6205000000000004E-2</v>
      </c>
      <c r="I23" s="6">
        <v>1E-3</v>
      </c>
      <c r="J23" s="6">
        <v>2000</v>
      </c>
      <c r="K23" s="6">
        <f t="shared" si="4"/>
        <v>4.9999999999999998E-7</v>
      </c>
      <c r="L23" s="1">
        <v>4</v>
      </c>
      <c r="M23" s="1">
        <f t="shared" si="7"/>
        <v>1.9999999999999999E-6</v>
      </c>
      <c r="N23" s="6">
        <v>0</v>
      </c>
      <c r="O23">
        <f t="shared" si="8"/>
        <v>0</v>
      </c>
    </row>
    <row r="24" spans="1:15">
      <c r="A24" s="6"/>
      <c r="B24" s="6" t="s">
        <v>142</v>
      </c>
      <c r="C24" s="6">
        <v>168.08</v>
      </c>
      <c r="E24" s="6">
        <f t="shared" si="5"/>
        <v>0.16808000000000001</v>
      </c>
      <c r="F24" s="6"/>
      <c r="G24" s="6">
        <f t="shared" si="6"/>
        <v>1.6808E-2</v>
      </c>
      <c r="I24" s="6">
        <v>1E-3</v>
      </c>
      <c r="J24" s="6">
        <v>2000</v>
      </c>
      <c r="K24" s="6">
        <f t="shared" si="4"/>
        <v>4.9999999999999998E-7</v>
      </c>
      <c r="L24" s="1">
        <v>5</v>
      </c>
      <c r="M24" s="1">
        <f t="shared" si="7"/>
        <v>2.4999999999999998E-6</v>
      </c>
      <c r="N24" s="6">
        <v>0</v>
      </c>
      <c r="O24">
        <f t="shared" si="8"/>
        <v>0</v>
      </c>
    </row>
    <row r="25" spans="1:15">
      <c r="A25" s="6"/>
      <c r="B25" t="s">
        <v>97</v>
      </c>
      <c r="C25">
        <v>60.6</v>
      </c>
      <c r="E25" s="6">
        <f t="shared" si="5"/>
        <v>0.60599999999999998</v>
      </c>
      <c r="F25"/>
      <c r="G25" s="6">
        <f t="shared" si="6"/>
        <v>6.0600000000000001E-2</v>
      </c>
      <c r="I25" s="6">
        <v>0.01</v>
      </c>
      <c r="J25" s="6">
        <v>2000</v>
      </c>
      <c r="K25" s="6">
        <f t="shared" si="4"/>
        <v>5.0000000000000004E-6</v>
      </c>
      <c r="L25" s="1">
        <v>1</v>
      </c>
      <c r="M25" s="1">
        <f>K25*L25</f>
        <v>5.0000000000000004E-6</v>
      </c>
      <c r="N25" s="1">
        <v>2</v>
      </c>
      <c r="O25">
        <f>K25*N25</f>
        <v>1.0000000000000001E-5</v>
      </c>
    </row>
    <row r="26" spans="1:15">
      <c r="A26" s="6"/>
      <c r="B26" s="6"/>
      <c r="C26" s="6"/>
      <c r="E26" s="6"/>
      <c r="F26" s="6"/>
      <c r="G26" s="6"/>
      <c r="I26" s="6"/>
      <c r="J26" s="6"/>
      <c r="K26" s="16"/>
      <c r="M26" s="21">
        <f>SUM(M16:M25)</f>
        <v>2.5000000000000001E-5</v>
      </c>
      <c r="O26" s="2">
        <f>SUM(O16:O25)</f>
        <v>1.1000000000000001E-5</v>
      </c>
    </row>
    <row r="27" spans="1:15">
      <c r="A27" s="6"/>
      <c r="B27" s="6"/>
      <c r="C27" s="6"/>
      <c r="D27" s="6"/>
      <c r="E27" s="6"/>
      <c r="F27" s="6"/>
      <c r="G27" s="6"/>
      <c r="H27" s="6"/>
      <c r="I27" s="6"/>
      <c r="J27" s="6"/>
      <c r="K27" s="6"/>
    </row>
    <row r="28" spans="1:15">
      <c r="A28" s="6" t="s">
        <v>145</v>
      </c>
      <c r="B28" s="6" t="s">
        <v>121</v>
      </c>
      <c r="C28" s="6">
        <v>144.21</v>
      </c>
      <c r="D28" s="6">
        <v>0.91</v>
      </c>
      <c r="G28" s="6"/>
      <c r="H28" s="6">
        <v>15.847252750000001</v>
      </c>
      <c r="I28" s="6">
        <v>1</v>
      </c>
      <c r="J28" s="6">
        <v>2000000</v>
      </c>
      <c r="K28" s="6">
        <f t="shared" ref="K28:K33" si="9">I28/J28</f>
        <v>4.9999999999999998E-7</v>
      </c>
      <c r="L28" s="6">
        <v>8</v>
      </c>
      <c r="M28" s="1">
        <f t="shared" ref="M28:M33" si="10">K28*L28</f>
        <v>3.9999999999999998E-6</v>
      </c>
      <c r="N28" s="6">
        <v>0</v>
      </c>
      <c r="O28">
        <f>K28*N28</f>
        <v>0</v>
      </c>
    </row>
    <row r="29" spans="1:15">
      <c r="A29" s="6"/>
      <c r="B29" s="6" t="s">
        <v>122</v>
      </c>
      <c r="C29" s="6">
        <v>172.26</v>
      </c>
      <c r="D29" s="6"/>
      <c r="G29" s="6">
        <v>17.225999999999999</v>
      </c>
      <c r="H29" s="6"/>
      <c r="I29" s="6">
        <v>1</v>
      </c>
      <c r="J29" s="6">
        <v>2000000</v>
      </c>
      <c r="K29" s="6">
        <f t="shared" si="9"/>
        <v>4.9999999999999998E-7</v>
      </c>
      <c r="L29" s="6">
        <v>10</v>
      </c>
      <c r="M29" s="1">
        <f t="shared" si="10"/>
        <v>4.9999999999999996E-6</v>
      </c>
      <c r="N29" s="6">
        <v>0</v>
      </c>
      <c r="O29">
        <f t="shared" ref="O29:O33" si="11">K29*N29</f>
        <v>0</v>
      </c>
    </row>
    <row r="30" spans="1:15">
      <c r="A30" s="6"/>
      <c r="B30" s="6" t="s">
        <v>94</v>
      </c>
      <c r="C30" s="6">
        <v>88.11</v>
      </c>
      <c r="D30" s="6">
        <v>0.95</v>
      </c>
      <c r="G30" s="6"/>
      <c r="H30" s="6">
        <v>9.2747368419999994</v>
      </c>
      <c r="I30" s="6">
        <v>1</v>
      </c>
      <c r="J30" s="6">
        <v>2000000</v>
      </c>
      <c r="K30" s="6">
        <f t="shared" si="9"/>
        <v>4.9999999999999998E-7</v>
      </c>
      <c r="L30" s="6">
        <v>4</v>
      </c>
      <c r="M30" s="1">
        <f t="shared" si="10"/>
        <v>1.9999999999999999E-6</v>
      </c>
      <c r="N30" s="6">
        <v>0</v>
      </c>
      <c r="O30">
        <f t="shared" si="11"/>
        <v>0</v>
      </c>
    </row>
    <row r="31" spans="1:15">
      <c r="A31" s="6"/>
      <c r="B31" s="6" t="s">
        <v>95</v>
      </c>
      <c r="C31" s="6">
        <v>88.11</v>
      </c>
      <c r="D31" s="6">
        <v>0.96399999999999997</v>
      </c>
      <c r="G31" s="6"/>
      <c r="H31" s="6">
        <v>9.1400414940000001</v>
      </c>
      <c r="I31" s="6">
        <v>1</v>
      </c>
      <c r="J31" s="6">
        <v>2000000</v>
      </c>
      <c r="K31" s="6">
        <f t="shared" si="9"/>
        <v>4.9999999999999998E-7</v>
      </c>
      <c r="L31" s="6">
        <v>4</v>
      </c>
      <c r="M31" s="1">
        <f t="shared" si="10"/>
        <v>1.9999999999999999E-6</v>
      </c>
      <c r="N31" s="6">
        <v>0</v>
      </c>
      <c r="O31">
        <f t="shared" si="11"/>
        <v>0</v>
      </c>
    </row>
    <row r="32" spans="1:15">
      <c r="A32" s="6"/>
      <c r="B32" s="6" t="s">
        <v>96</v>
      </c>
      <c r="C32" s="6">
        <v>102.13</v>
      </c>
      <c r="D32" s="6">
        <v>0.93899999999999995</v>
      </c>
      <c r="G32" s="6"/>
      <c r="H32" s="6">
        <v>10.87646432</v>
      </c>
      <c r="I32" s="6">
        <v>1</v>
      </c>
      <c r="J32" s="6">
        <v>2000000</v>
      </c>
      <c r="K32" s="6">
        <f t="shared" si="9"/>
        <v>4.9999999999999998E-7</v>
      </c>
      <c r="L32" s="6">
        <v>5</v>
      </c>
      <c r="M32" s="1">
        <f t="shared" si="10"/>
        <v>2.4999999999999998E-6</v>
      </c>
      <c r="N32" s="6">
        <v>0</v>
      </c>
      <c r="O32">
        <f t="shared" si="11"/>
        <v>0</v>
      </c>
    </row>
    <row r="33" spans="1:18">
      <c r="A33" s="6"/>
      <c r="B33" s="6" t="s">
        <v>123</v>
      </c>
      <c r="C33" s="6">
        <v>46.067999999999998</v>
      </c>
      <c r="D33" s="6">
        <v>0.78900000000000003</v>
      </c>
      <c r="G33" s="6"/>
      <c r="H33" s="6">
        <v>54.861504590000003</v>
      </c>
      <c r="I33" s="6">
        <v>9.3960508649999994</v>
      </c>
      <c r="J33" s="6">
        <v>2000000</v>
      </c>
      <c r="K33" s="6">
        <f t="shared" si="9"/>
        <v>4.6980254324999998E-6</v>
      </c>
      <c r="L33" s="6">
        <v>2</v>
      </c>
      <c r="M33" s="1">
        <f t="shared" si="10"/>
        <v>9.3960508649999997E-6</v>
      </c>
      <c r="N33" s="6">
        <v>0</v>
      </c>
      <c r="O33">
        <f t="shared" si="11"/>
        <v>0</v>
      </c>
    </row>
    <row r="34" spans="1:18">
      <c r="A34" s="6"/>
      <c r="B34" s="6"/>
      <c r="C34" s="6"/>
      <c r="D34" s="6"/>
      <c r="E34" s="6"/>
      <c r="F34" s="6"/>
      <c r="G34" s="6"/>
      <c r="H34" s="6"/>
      <c r="I34" s="6"/>
      <c r="J34" s="6"/>
      <c r="K34" s="6"/>
      <c r="L34"/>
      <c r="M34" s="2">
        <f>SUM(M28:M33)</f>
        <v>2.4896050864999997E-5</v>
      </c>
      <c r="N34"/>
      <c r="O34" s="2">
        <f>SUM(O28:O33)</f>
        <v>0</v>
      </c>
    </row>
    <row r="35" spans="1:18">
      <c r="A35"/>
      <c r="B35"/>
      <c r="C35"/>
      <c r="G35"/>
      <c r="I35"/>
      <c r="J35"/>
      <c r="K35"/>
      <c r="L35"/>
      <c r="M35"/>
      <c r="N35"/>
      <c r="O35"/>
      <c r="Q35" t="s">
        <v>26</v>
      </c>
    </row>
    <row r="36" spans="1:18">
      <c r="A36" s="1" t="s">
        <v>147</v>
      </c>
      <c r="B36" t="s">
        <v>23</v>
      </c>
      <c r="C36">
        <v>84.99</v>
      </c>
      <c r="E36" s="6">
        <f t="shared" ref="E36:E38" si="12">I36*C36</f>
        <v>6.4592399999999994</v>
      </c>
      <c r="G36" s="6">
        <f t="shared" ref="G36:G38" si="13">E36/10</f>
        <v>0.64592399999999994</v>
      </c>
      <c r="I36">
        <f>Q36/1000</f>
        <v>7.5999999999999998E-2</v>
      </c>
      <c r="J36" s="6">
        <v>2000</v>
      </c>
      <c r="K36" s="6">
        <f>I36/J36</f>
        <v>3.8000000000000002E-5</v>
      </c>
      <c r="L36" s="6">
        <v>0</v>
      </c>
      <c r="M36" s="1">
        <f t="shared" ref="M36:M38" si="14">K36*L36</f>
        <v>0</v>
      </c>
      <c r="N36">
        <v>1</v>
      </c>
      <c r="O36">
        <f>K36*N36</f>
        <v>3.8000000000000002E-5</v>
      </c>
      <c r="Q36">
        <f>(38/50)*100</f>
        <v>76</v>
      </c>
    </row>
    <row r="37" spans="1:18">
      <c r="B37" t="s">
        <v>24</v>
      </c>
      <c r="C37">
        <v>69</v>
      </c>
      <c r="E37" s="6">
        <f t="shared" si="12"/>
        <v>0.27600000000000002</v>
      </c>
      <c r="G37" s="6">
        <f t="shared" si="13"/>
        <v>2.7600000000000003E-2</v>
      </c>
      <c r="I37">
        <f>Q37/1000</f>
        <v>4.0000000000000001E-3</v>
      </c>
      <c r="J37" s="6">
        <v>2000</v>
      </c>
      <c r="K37" s="6">
        <f>I37/J37</f>
        <v>1.9999999999999999E-6</v>
      </c>
      <c r="L37">
        <v>0</v>
      </c>
      <c r="M37" s="1">
        <f t="shared" si="14"/>
        <v>0</v>
      </c>
      <c r="N37">
        <v>1</v>
      </c>
      <c r="O37">
        <f t="shared" ref="O37:O38" si="15">K37*N37</f>
        <v>1.9999999999999999E-6</v>
      </c>
      <c r="Q37">
        <f>(2/50)*100</f>
        <v>4</v>
      </c>
    </row>
    <row r="38" spans="1:18">
      <c r="B38" t="s">
        <v>25</v>
      </c>
      <c r="C38">
        <v>53.49</v>
      </c>
      <c r="E38" s="6">
        <f t="shared" si="12"/>
        <v>0.53490000000000004</v>
      </c>
      <c r="G38" s="6">
        <f t="shared" si="13"/>
        <v>5.3490000000000003E-2</v>
      </c>
      <c r="I38">
        <f>Q38/1000</f>
        <v>0.01</v>
      </c>
      <c r="J38" s="6">
        <v>2000</v>
      </c>
      <c r="K38" s="6">
        <f>I38/J38</f>
        <v>5.0000000000000004E-6</v>
      </c>
      <c r="L38">
        <v>0</v>
      </c>
      <c r="M38" s="1">
        <f t="shared" si="14"/>
        <v>0</v>
      </c>
      <c r="N38">
        <v>1</v>
      </c>
      <c r="O38">
        <f t="shared" si="15"/>
        <v>5.0000000000000004E-6</v>
      </c>
      <c r="Q38">
        <f>(5/50)*100</f>
        <v>10</v>
      </c>
    </row>
    <row r="39" spans="1:18">
      <c r="B39"/>
      <c r="C39"/>
      <c r="G39"/>
      <c r="I39"/>
      <c r="J39"/>
      <c r="K39"/>
      <c r="L39"/>
      <c r="M39" s="2">
        <f>SUM(M36:M38)</f>
        <v>0</v>
      </c>
      <c r="N39"/>
      <c r="O39" s="21">
        <f>SUM(O36:O38)</f>
        <v>4.5000000000000003E-5</v>
      </c>
      <c r="Q39">
        <f>SUM(Q36:Q38)</f>
        <v>90</v>
      </c>
      <c r="R39" s="1" t="s">
        <v>151</v>
      </c>
    </row>
    <row r="40" spans="1:18">
      <c r="B40"/>
      <c r="C40"/>
      <c r="F40"/>
      <c r="I40"/>
      <c r="J40"/>
      <c r="K40"/>
      <c r="L40"/>
      <c r="M40"/>
      <c r="N40"/>
      <c r="O40"/>
    </row>
    <row r="41" spans="1:18">
      <c r="A41" s="1" t="s">
        <v>139</v>
      </c>
      <c r="M41" s="21">
        <f>SUM(M39,M34,M26,M14)</f>
        <v>7.0713430148452473E-5</v>
      </c>
      <c r="N41" s="22"/>
      <c r="O41" s="21">
        <f>SUM(O39,O34,O26,O14)</f>
        <v>6.219240192178286E-5</v>
      </c>
      <c r="P41" s="22"/>
    </row>
    <row r="42" spans="1:18">
      <c r="A42" s="1" t="s">
        <v>143</v>
      </c>
      <c r="M42" s="22">
        <f>SUM(M34,M26,M14)</f>
        <v>7.0713430148452473E-5</v>
      </c>
      <c r="O42" s="1">
        <f>SUM(O34,O26,O14)</f>
        <v>1.7192401921782854E-5</v>
      </c>
    </row>
    <row r="43" spans="1:18">
      <c r="A43" t="s">
        <v>144</v>
      </c>
      <c r="B43"/>
      <c r="C43"/>
      <c r="D43"/>
      <c r="O43" s="22">
        <f>O39</f>
        <v>4.5000000000000003E-5</v>
      </c>
    </row>
    <row r="44" spans="1:18">
      <c r="B44"/>
      <c r="C44"/>
      <c r="D44"/>
      <c r="E44"/>
      <c r="F44"/>
      <c r="K44" s="6"/>
      <c r="L44" s="6"/>
      <c r="M44"/>
      <c r="N44"/>
      <c r="O44"/>
    </row>
    <row r="45" spans="1:18">
      <c r="A45" t="s">
        <v>149</v>
      </c>
      <c r="B45"/>
      <c r="C45"/>
      <c r="D45"/>
      <c r="E45"/>
      <c r="F45"/>
      <c r="K45" s="6"/>
      <c r="L45" s="6" t="s">
        <v>17</v>
      </c>
      <c r="M45">
        <f>(M14/M41)*100</f>
        <v>29.439074359353572</v>
      </c>
      <c r="N45"/>
      <c r="O45"/>
    </row>
    <row r="46" spans="1:18">
      <c r="A46"/>
      <c r="E46"/>
      <c r="F46"/>
      <c r="G46"/>
      <c r="K46" s="6"/>
      <c r="L46" s="6" t="s">
        <v>18</v>
      </c>
      <c r="M46">
        <f>(M26/M41)*100</f>
        <v>35.353963097980348</v>
      </c>
      <c r="N46"/>
      <c r="O46"/>
    </row>
    <row r="47" spans="1:18">
      <c r="B47" s="6"/>
      <c r="C47" s="6"/>
      <c r="D47" s="6"/>
      <c r="G47" s="6"/>
      <c r="H47" s="6"/>
      <c r="I47" s="6"/>
      <c r="J47" s="6"/>
      <c r="K47" s="6"/>
      <c r="L47" s="6" t="s">
        <v>19</v>
      </c>
      <c r="M47">
        <f>(M34/M41)*100</f>
        <v>35.206962542666069</v>
      </c>
      <c r="N47"/>
      <c r="O47"/>
    </row>
    <row r="48" spans="1:18">
      <c r="B48" s="6"/>
      <c r="C48" s="6"/>
      <c r="D48" s="6"/>
      <c r="G48" s="6"/>
      <c r="H48" s="6"/>
      <c r="I48" s="6"/>
      <c r="J48" s="6"/>
      <c r="K48" s="6"/>
      <c r="L48"/>
      <c r="M48"/>
      <c r="N48"/>
      <c r="O48"/>
    </row>
    <row r="49" spans="1:15">
      <c r="B49" s="6"/>
      <c r="C49" s="6"/>
      <c r="D49" s="6"/>
      <c r="G49" s="6"/>
      <c r="H49" s="6"/>
      <c r="I49" s="6"/>
      <c r="J49" s="6"/>
      <c r="L49"/>
      <c r="M49"/>
      <c r="N49"/>
      <c r="O49"/>
    </row>
    <row r="50" spans="1:15">
      <c r="B50" s="6"/>
      <c r="C50" s="6"/>
      <c r="D50" s="6"/>
      <c r="G50" s="6"/>
      <c r="H50" s="6"/>
      <c r="I50" s="6"/>
      <c r="J50" s="6"/>
      <c r="L50"/>
      <c r="M50" s="15"/>
      <c r="N50"/>
      <c r="O50"/>
    </row>
    <row r="51" spans="1:15">
      <c r="A51" s="6"/>
      <c r="B51" s="6"/>
      <c r="C51" s="6"/>
      <c r="D51" s="6"/>
      <c r="E51" s="6"/>
      <c r="F51" s="6"/>
      <c r="G51" s="6"/>
      <c r="H51" s="6"/>
      <c r="I51" s="6"/>
      <c r="J51" s="6"/>
      <c r="L51"/>
      <c r="M51"/>
      <c r="N51"/>
      <c r="O51"/>
    </row>
    <row r="52" spans="1:15">
      <c r="B52" s="6" t="s">
        <v>146</v>
      </c>
      <c r="C52" s="6" t="s">
        <v>150</v>
      </c>
      <c r="D52" s="6"/>
      <c r="E52" s="6"/>
      <c r="F52" s="6"/>
      <c r="G52" s="6"/>
      <c r="H52" s="6"/>
      <c r="I52" s="6"/>
      <c r="J52" s="6"/>
    </row>
    <row r="53" spans="1:15">
      <c r="A53" s="6" t="s">
        <v>21</v>
      </c>
      <c r="B53" s="6">
        <f>1/J2</f>
        <v>2.0000000000000002E-5</v>
      </c>
      <c r="C53" s="6">
        <f>B53*1000000</f>
        <v>20</v>
      </c>
      <c r="D53" s="6"/>
      <c r="E53" s="6"/>
      <c r="F53" s="6"/>
      <c r="G53" s="6"/>
      <c r="H53" s="6"/>
      <c r="I53" s="6"/>
      <c r="J53" s="6"/>
    </row>
    <row r="54" spans="1:15">
      <c r="A54" s="6" t="s">
        <v>129</v>
      </c>
      <c r="B54" s="6">
        <f>1/J16</f>
        <v>5.0000000000000001E-4</v>
      </c>
      <c r="C54" s="6">
        <f t="shared" ref="C54:C56" si="16">B54*1000000</f>
        <v>500</v>
      </c>
      <c r="D54" s="6"/>
      <c r="E54" s="6"/>
      <c r="F54" s="6"/>
      <c r="G54" s="6"/>
      <c r="H54" s="6"/>
      <c r="I54" s="6"/>
      <c r="J54" s="6"/>
      <c r="K54"/>
      <c r="M54"/>
    </row>
    <row r="55" spans="1:15">
      <c r="A55" s="6" t="s">
        <v>22</v>
      </c>
      <c r="B55" s="6">
        <f>1/J28</f>
        <v>4.9999999999999998E-7</v>
      </c>
      <c r="C55" s="6">
        <f t="shared" si="16"/>
        <v>0.5</v>
      </c>
      <c r="D55" s="6"/>
      <c r="E55" s="17"/>
      <c r="F55" s="6"/>
      <c r="G55" s="17"/>
      <c r="H55" s="6"/>
      <c r="I55" s="17"/>
      <c r="J55" s="17"/>
      <c r="K55"/>
      <c r="L55" s="5"/>
      <c r="M55" s="5"/>
    </row>
    <row r="56" spans="1:15">
      <c r="A56" s="6" t="s">
        <v>148</v>
      </c>
      <c r="B56" s="6">
        <f>1/J36</f>
        <v>5.0000000000000001E-4</v>
      </c>
      <c r="C56" s="6">
        <f t="shared" si="16"/>
        <v>500</v>
      </c>
      <c r="D56" s="6"/>
      <c r="E56" s="17"/>
      <c r="F56" s="6"/>
      <c r="G56" s="17"/>
      <c r="H56" s="6"/>
      <c r="I56" s="17"/>
      <c r="J56" s="17"/>
    </row>
    <row r="57" spans="1:15">
      <c r="A57" s="6"/>
      <c r="B57" s="6"/>
      <c r="C57" s="6"/>
      <c r="D57" s="6"/>
      <c r="E57" s="17"/>
      <c r="F57" s="6"/>
      <c r="G57" s="17"/>
      <c r="H57" s="6"/>
      <c r="I57" s="17"/>
      <c r="J57" s="17"/>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pane ySplit="2" topLeftCell="A3" activePane="bottomLeft" state="frozen"/>
      <selection pane="bottomLeft" activeCell="P13" sqref="P13"/>
    </sheetView>
  </sheetViews>
  <sheetFormatPr baseColWidth="10" defaultRowHeight="15" x14ac:dyDescent="0"/>
  <cols>
    <col min="1" max="1" width="12.5" bestFit="1" customWidth="1"/>
    <col min="2" max="2" width="9.83203125" bestFit="1" customWidth="1"/>
    <col min="3" max="3" width="19.83203125" bestFit="1" customWidth="1"/>
    <col min="4" max="4" width="30" bestFit="1" customWidth="1"/>
    <col min="5" max="5" width="20.1640625" customWidth="1"/>
  </cols>
  <sheetData>
    <row r="1" spans="1:12" ht="34" customHeight="1">
      <c r="A1" s="57" t="s">
        <v>359</v>
      </c>
      <c r="B1" s="57"/>
      <c r="C1" s="57"/>
      <c r="D1" s="57"/>
      <c r="E1" s="57"/>
      <c r="F1" s="58"/>
      <c r="G1" s="58"/>
      <c r="H1" s="58"/>
      <c r="I1" s="58"/>
      <c r="J1" s="58"/>
      <c r="K1" s="58"/>
      <c r="L1" s="58"/>
    </row>
    <row r="2" spans="1:12" ht="45">
      <c r="A2" s="30" t="s">
        <v>225</v>
      </c>
      <c r="B2" s="31" t="s">
        <v>226</v>
      </c>
      <c r="C2" s="30" t="s">
        <v>227</v>
      </c>
      <c r="D2" s="30" t="s">
        <v>228</v>
      </c>
      <c r="E2" s="32" t="s">
        <v>357</v>
      </c>
      <c r="F2" s="33" t="s">
        <v>229</v>
      </c>
      <c r="G2" s="33" t="s">
        <v>230</v>
      </c>
      <c r="H2" s="33" t="s">
        <v>231</v>
      </c>
      <c r="I2" s="33" t="s">
        <v>232</v>
      </c>
      <c r="J2" s="33" t="s">
        <v>233</v>
      </c>
      <c r="K2" s="33" t="s">
        <v>234</v>
      </c>
      <c r="L2" s="33" t="s">
        <v>235</v>
      </c>
    </row>
    <row r="3" spans="1:12" ht="45">
      <c r="A3" s="34" t="s">
        <v>236</v>
      </c>
      <c r="B3" s="34" t="s">
        <v>237</v>
      </c>
      <c r="C3" s="35" t="s">
        <v>238</v>
      </c>
      <c r="D3" s="35" t="s">
        <v>239</v>
      </c>
      <c r="E3" s="34" t="s">
        <v>240</v>
      </c>
      <c r="F3" s="36">
        <v>47</v>
      </c>
      <c r="G3" s="36">
        <v>145</v>
      </c>
      <c r="H3" s="37">
        <v>105</v>
      </c>
      <c r="I3" s="36">
        <v>80</v>
      </c>
      <c r="J3" s="36">
        <v>229</v>
      </c>
      <c r="K3" s="36">
        <v>142</v>
      </c>
      <c r="L3" s="37">
        <v>97</v>
      </c>
    </row>
    <row r="4" spans="1:12" ht="30">
      <c r="A4" s="34" t="s">
        <v>241</v>
      </c>
      <c r="B4" s="34" t="s">
        <v>237</v>
      </c>
      <c r="C4" s="35" t="s">
        <v>238</v>
      </c>
      <c r="D4" s="35" t="s">
        <v>239</v>
      </c>
      <c r="E4" s="34"/>
      <c r="F4" s="36">
        <v>47</v>
      </c>
      <c r="G4" s="36">
        <v>145</v>
      </c>
      <c r="H4" s="37">
        <v>105</v>
      </c>
      <c r="I4" s="36">
        <v>80</v>
      </c>
      <c r="J4" s="36">
        <v>229</v>
      </c>
      <c r="K4" s="36">
        <v>142</v>
      </c>
      <c r="L4" s="37">
        <v>97</v>
      </c>
    </row>
    <row r="5" spans="1:12" ht="30">
      <c r="A5" s="34" t="s">
        <v>242</v>
      </c>
      <c r="B5" s="34" t="s">
        <v>243</v>
      </c>
      <c r="C5" s="35" t="s">
        <v>238</v>
      </c>
      <c r="D5" s="35" t="s">
        <v>244</v>
      </c>
      <c r="E5" s="34"/>
      <c r="F5" s="36">
        <v>182</v>
      </c>
      <c r="G5" s="36">
        <v>137</v>
      </c>
      <c r="H5" s="36">
        <v>565</v>
      </c>
      <c r="I5" s="36">
        <v>250</v>
      </c>
      <c r="J5" s="36">
        <v>189</v>
      </c>
      <c r="K5" s="37">
        <v>322</v>
      </c>
      <c r="L5" s="37">
        <v>136</v>
      </c>
    </row>
    <row r="6" spans="1:12">
      <c r="A6" s="34" t="s">
        <v>245</v>
      </c>
      <c r="B6" s="34" t="s">
        <v>246</v>
      </c>
      <c r="C6" s="38" t="s">
        <v>238</v>
      </c>
      <c r="D6" s="35" t="s">
        <v>247</v>
      </c>
      <c r="E6" s="34"/>
      <c r="F6" s="45" t="s">
        <v>358</v>
      </c>
      <c r="G6" s="45" t="s">
        <v>358</v>
      </c>
      <c r="H6" s="45" t="s">
        <v>358</v>
      </c>
      <c r="I6" s="37">
        <v>719</v>
      </c>
      <c r="J6" s="36">
        <v>613</v>
      </c>
      <c r="K6" s="45" t="s">
        <v>358</v>
      </c>
      <c r="L6" s="36">
        <v>1135</v>
      </c>
    </row>
    <row r="7" spans="1:12">
      <c r="A7" s="34" t="s">
        <v>248</v>
      </c>
      <c r="B7" s="34" t="s">
        <v>249</v>
      </c>
      <c r="C7" s="35" t="s">
        <v>238</v>
      </c>
      <c r="D7" s="35" t="s">
        <v>250</v>
      </c>
      <c r="E7" s="34" t="s">
        <v>251</v>
      </c>
      <c r="F7" s="36">
        <v>82</v>
      </c>
      <c r="G7" s="36">
        <v>296</v>
      </c>
      <c r="H7" s="36">
        <v>21</v>
      </c>
      <c r="I7" s="37">
        <v>42</v>
      </c>
      <c r="J7" s="36">
        <v>170</v>
      </c>
      <c r="K7" s="36">
        <v>64</v>
      </c>
      <c r="L7" s="36">
        <v>122</v>
      </c>
    </row>
    <row r="8" spans="1:12">
      <c r="A8" s="34" t="s">
        <v>252</v>
      </c>
      <c r="B8" s="34" t="s">
        <v>253</v>
      </c>
      <c r="C8" s="35" t="s">
        <v>238</v>
      </c>
      <c r="D8" s="35" t="s">
        <v>254</v>
      </c>
      <c r="E8" s="34"/>
      <c r="F8" s="45" t="s">
        <v>358</v>
      </c>
      <c r="G8" s="45" t="s">
        <v>358</v>
      </c>
      <c r="H8" s="45" t="s">
        <v>358</v>
      </c>
      <c r="I8" s="46" t="s">
        <v>358</v>
      </c>
      <c r="J8" s="45" t="s">
        <v>358</v>
      </c>
      <c r="K8" s="45" t="s">
        <v>358</v>
      </c>
      <c r="L8" s="45" t="s">
        <v>358</v>
      </c>
    </row>
    <row r="9" spans="1:12" ht="30">
      <c r="A9" s="34" t="s">
        <v>255</v>
      </c>
      <c r="B9" s="34" t="s">
        <v>256</v>
      </c>
      <c r="C9" s="35" t="s">
        <v>238</v>
      </c>
      <c r="D9" s="35" t="s">
        <v>257</v>
      </c>
      <c r="E9" s="34" t="s">
        <v>258</v>
      </c>
      <c r="F9" s="36">
        <v>5</v>
      </c>
      <c r="G9" s="36">
        <v>68</v>
      </c>
      <c r="H9" s="36">
        <v>4</v>
      </c>
      <c r="I9" s="36">
        <v>21</v>
      </c>
      <c r="J9" s="36">
        <v>749</v>
      </c>
      <c r="K9" s="36">
        <v>22</v>
      </c>
      <c r="L9" s="37">
        <v>11</v>
      </c>
    </row>
    <row r="10" spans="1:12">
      <c r="A10" s="34" t="s">
        <v>259</v>
      </c>
      <c r="B10" s="34" t="s">
        <v>256</v>
      </c>
      <c r="C10" s="35" t="s">
        <v>238</v>
      </c>
      <c r="D10" s="35" t="s">
        <v>260</v>
      </c>
      <c r="E10" s="34"/>
      <c r="F10" s="36">
        <v>5</v>
      </c>
      <c r="G10" s="36">
        <v>68</v>
      </c>
      <c r="H10" s="36">
        <v>4</v>
      </c>
      <c r="I10" s="36">
        <v>21</v>
      </c>
      <c r="J10" s="36">
        <v>749</v>
      </c>
      <c r="K10" s="36">
        <v>22</v>
      </c>
      <c r="L10" s="37">
        <v>11</v>
      </c>
    </row>
    <row r="11" spans="1:12">
      <c r="A11" s="34" t="s">
        <v>261</v>
      </c>
      <c r="B11" s="34" t="s">
        <v>262</v>
      </c>
      <c r="C11" s="35" t="s">
        <v>238</v>
      </c>
      <c r="D11" s="35" t="s">
        <v>263</v>
      </c>
      <c r="E11" s="34" t="s">
        <v>264</v>
      </c>
      <c r="F11" s="36">
        <v>37</v>
      </c>
      <c r="G11" s="36">
        <v>41</v>
      </c>
      <c r="H11" s="36">
        <v>19</v>
      </c>
      <c r="I11" s="36">
        <v>19</v>
      </c>
      <c r="J11" s="36">
        <v>12</v>
      </c>
      <c r="K11" s="36">
        <v>33</v>
      </c>
      <c r="L11" s="37">
        <v>54</v>
      </c>
    </row>
    <row r="12" spans="1:12">
      <c r="A12" s="34" t="s">
        <v>265</v>
      </c>
      <c r="B12" s="34" t="s">
        <v>266</v>
      </c>
      <c r="C12" s="35" t="s">
        <v>238</v>
      </c>
      <c r="D12" s="35" t="s">
        <v>263</v>
      </c>
      <c r="E12" s="34" t="s">
        <v>267</v>
      </c>
      <c r="F12" s="36">
        <v>3</v>
      </c>
      <c r="G12" s="36">
        <v>23</v>
      </c>
      <c r="H12" s="36">
        <v>6</v>
      </c>
      <c r="I12" s="36">
        <v>28</v>
      </c>
      <c r="J12" s="36">
        <v>8</v>
      </c>
      <c r="K12" s="36">
        <v>10</v>
      </c>
      <c r="L12" s="37">
        <v>6</v>
      </c>
    </row>
    <row r="13" spans="1:12" ht="30">
      <c r="A13" s="34" t="s">
        <v>268</v>
      </c>
      <c r="B13" s="34" t="s">
        <v>269</v>
      </c>
      <c r="C13" s="35" t="s">
        <v>238</v>
      </c>
      <c r="D13" s="35" t="s">
        <v>270</v>
      </c>
      <c r="E13" s="34" t="s">
        <v>271</v>
      </c>
      <c r="F13" s="36">
        <v>11</v>
      </c>
      <c r="G13" s="36">
        <v>249</v>
      </c>
      <c r="H13" s="36">
        <v>29</v>
      </c>
      <c r="I13" s="36">
        <v>20</v>
      </c>
      <c r="J13" s="45" t="s">
        <v>358</v>
      </c>
      <c r="K13" s="36">
        <v>55</v>
      </c>
      <c r="L13" s="37">
        <v>8</v>
      </c>
    </row>
    <row r="14" spans="1:12">
      <c r="A14" s="34" t="s">
        <v>272</v>
      </c>
      <c r="B14" s="34" t="s">
        <v>273</v>
      </c>
      <c r="C14" s="35" t="s">
        <v>238</v>
      </c>
      <c r="D14" s="39" t="s">
        <v>274</v>
      </c>
      <c r="E14" s="34"/>
      <c r="F14" s="45" t="s">
        <v>358</v>
      </c>
      <c r="G14" s="45" t="s">
        <v>358</v>
      </c>
      <c r="H14" s="45" t="s">
        <v>358</v>
      </c>
      <c r="I14" s="46" t="s">
        <v>358</v>
      </c>
      <c r="J14" s="45" t="s">
        <v>358</v>
      </c>
      <c r="K14" s="45" t="s">
        <v>358</v>
      </c>
      <c r="L14" s="45" t="s">
        <v>358</v>
      </c>
    </row>
    <row r="15" spans="1:12">
      <c r="A15" s="34" t="s">
        <v>275</v>
      </c>
      <c r="B15" s="34" t="s">
        <v>276</v>
      </c>
      <c r="C15" s="35" t="s">
        <v>238</v>
      </c>
      <c r="D15" s="35" t="s">
        <v>277</v>
      </c>
      <c r="E15" s="34"/>
      <c r="F15" s="45" t="s">
        <v>358</v>
      </c>
      <c r="G15" s="36">
        <v>2768</v>
      </c>
      <c r="H15" s="45" t="s">
        <v>358</v>
      </c>
      <c r="I15" s="45" t="s">
        <v>358</v>
      </c>
      <c r="J15" s="45" t="s">
        <v>358</v>
      </c>
      <c r="K15" s="45" t="s">
        <v>358</v>
      </c>
      <c r="L15" s="37">
        <v>525</v>
      </c>
    </row>
    <row r="16" spans="1:12" ht="30">
      <c r="A16" s="34" t="s">
        <v>278</v>
      </c>
      <c r="B16" s="34" t="s">
        <v>279</v>
      </c>
      <c r="C16" s="35" t="s">
        <v>280</v>
      </c>
      <c r="D16" s="35" t="s">
        <v>281</v>
      </c>
      <c r="E16" s="34"/>
      <c r="F16" s="45" t="s">
        <v>358</v>
      </c>
      <c r="G16" s="36">
        <v>151</v>
      </c>
      <c r="H16" s="45" t="s">
        <v>358</v>
      </c>
      <c r="I16" s="37">
        <v>88</v>
      </c>
      <c r="J16" s="36">
        <v>260</v>
      </c>
      <c r="K16" s="45" t="s">
        <v>358</v>
      </c>
      <c r="L16" s="45" t="s">
        <v>358</v>
      </c>
    </row>
    <row r="17" spans="1:12" ht="30">
      <c r="A17" s="34" t="s">
        <v>282</v>
      </c>
      <c r="B17" s="34" t="s">
        <v>283</v>
      </c>
      <c r="C17" s="35" t="s">
        <v>280</v>
      </c>
      <c r="D17" s="35" t="s">
        <v>284</v>
      </c>
      <c r="E17" s="34"/>
      <c r="F17" s="36">
        <v>476</v>
      </c>
      <c r="G17" s="36">
        <v>6</v>
      </c>
      <c r="H17" s="36">
        <v>42</v>
      </c>
      <c r="I17" s="37">
        <v>57</v>
      </c>
      <c r="J17" s="36">
        <v>20</v>
      </c>
      <c r="K17" s="36">
        <v>476</v>
      </c>
      <c r="L17" s="36">
        <v>176</v>
      </c>
    </row>
    <row r="18" spans="1:12" ht="30">
      <c r="A18" s="40" t="s">
        <v>285</v>
      </c>
      <c r="B18" s="40" t="s">
        <v>286</v>
      </c>
      <c r="C18" s="35" t="s">
        <v>280</v>
      </c>
      <c r="D18" s="35" t="s">
        <v>287</v>
      </c>
      <c r="E18" s="34"/>
      <c r="F18" s="45" t="s">
        <v>358</v>
      </c>
      <c r="G18" s="36">
        <v>59</v>
      </c>
      <c r="H18" s="45" t="s">
        <v>358</v>
      </c>
      <c r="I18" s="37">
        <v>68</v>
      </c>
      <c r="J18" s="36">
        <v>282</v>
      </c>
      <c r="K18" s="36">
        <v>377</v>
      </c>
      <c r="L18" s="36">
        <v>283</v>
      </c>
    </row>
    <row r="19" spans="1:12" ht="30">
      <c r="A19" s="40" t="s">
        <v>288</v>
      </c>
      <c r="B19" s="40" t="s">
        <v>289</v>
      </c>
      <c r="C19" s="35" t="s">
        <v>280</v>
      </c>
      <c r="D19" s="35" t="s">
        <v>284</v>
      </c>
      <c r="E19" s="34"/>
      <c r="F19" s="36">
        <v>57</v>
      </c>
      <c r="G19" s="36">
        <v>72</v>
      </c>
      <c r="H19" s="36">
        <v>86</v>
      </c>
      <c r="I19" s="36">
        <v>164</v>
      </c>
      <c r="J19" s="36">
        <v>30</v>
      </c>
      <c r="K19" s="36">
        <v>28</v>
      </c>
      <c r="L19" s="37">
        <v>44</v>
      </c>
    </row>
    <row r="20" spans="1:12" ht="45">
      <c r="A20" s="34" t="s">
        <v>290</v>
      </c>
      <c r="B20" s="34" t="s">
        <v>291</v>
      </c>
      <c r="C20" s="35" t="s">
        <v>280</v>
      </c>
      <c r="D20" s="35" t="s">
        <v>292</v>
      </c>
      <c r="E20" s="41"/>
      <c r="F20" s="36">
        <v>70</v>
      </c>
      <c r="G20" s="36">
        <v>42</v>
      </c>
      <c r="H20" s="36">
        <v>45</v>
      </c>
      <c r="I20" s="37">
        <v>5</v>
      </c>
      <c r="J20" s="36">
        <v>9</v>
      </c>
      <c r="K20" s="36">
        <v>10</v>
      </c>
      <c r="L20" s="37">
        <v>15</v>
      </c>
    </row>
    <row r="21" spans="1:12" ht="30">
      <c r="A21" s="34" t="s">
        <v>293</v>
      </c>
      <c r="B21" s="34" t="s">
        <v>294</v>
      </c>
      <c r="C21" s="35" t="s">
        <v>280</v>
      </c>
      <c r="D21" s="35" t="s">
        <v>295</v>
      </c>
      <c r="E21" s="41" t="s">
        <v>296</v>
      </c>
      <c r="F21" s="36">
        <v>14</v>
      </c>
      <c r="G21" s="36">
        <v>14</v>
      </c>
      <c r="H21" s="36">
        <v>3</v>
      </c>
      <c r="I21" s="36">
        <v>3</v>
      </c>
      <c r="J21" s="36">
        <v>4</v>
      </c>
      <c r="K21" s="36">
        <v>11</v>
      </c>
      <c r="L21" s="37">
        <v>10</v>
      </c>
    </row>
    <row r="22" spans="1:12" ht="30">
      <c r="A22" s="34" t="s">
        <v>297</v>
      </c>
      <c r="B22" s="34" t="s">
        <v>298</v>
      </c>
      <c r="C22" s="42" t="s">
        <v>299</v>
      </c>
      <c r="D22" s="39" t="s">
        <v>300</v>
      </c>
      <c r="E22" s="41"/>
      <c r="F22" s="45" t="s">
        <v>358</v>
      </c>
      <c r="G22" s="36">
        <v>488</v>
      </c>
      <c r="H22" s="45" t="s">
        <v>358</v>
      </c>
      <c r="I22" s="37">
        <v>79</v>
      </c>
      <c r="J22" s="45" t="s">
        <v>358</v>
      </c>
      <c r="K22" s="36">
        <v>1408</v>
      </c>
      <c r="L22" s="36">
        <v>1854</v>
      </c>
    </row>
    <row r="23" spans="1:12">
      <c r="A23" s="34" t="s">
        <v>301</v>
      </c>
      <c r="B23" s="34" t="s">
        <v>302</v>
      </c>
      <c r="C23" s="42" t="s">
        <v>299</v>
      </c>
      <c r="D23" s="39" t="s">
        <v>303</v>
      </c>
      <c r="E23" s="43" t="s">
        <v>304</v>
      </c>
      <c r="F23" s="36">
        <v>2519</v>
      </c>
      <c r="G23" s="36">
        <v>47</v>
      </c>
      <c r="H23" s="36">
        <v>412</v>
      </c>
      <c r="I23" s="37">
        <v>41</v>
      </c>
      <c r="J23" s="36">
        <v>46</v>
      </c>
      <c r="K23" s="36">
        <v>389</v>
      </c>
      <c r="L23" s="36">
        <v>1776</v>
      </c>
    </row>
    <row r="24" spans="1:12" ht="90">
      <c r="A24" s="34" t="s">
        <v>305</v>
      </c>
      <c r="B24" s="34" t="s">
        <v>306</v>
      </c>
      <c r="C24" s="35" t="s">
        <v>307</v>
      </c>
      <c r="D24" s="35" t="s">
        <v>308</v>
      </c>
      <c r="E24" s="34" t="s">
        <v>309</v>
      </c>
      <c r="F24" s="37">
        <v>24</v>
      </c>
      <c r="G24" s="36">
        <v>287</v>
      </c>
      <c r="H24" s="37">
        <v>20</v>
      </c>
      <c r="I24" s="36">
        <v>32</v>
      </c>
      <c r="J24" s="36">
        <v>540</v>
      </c>
      <c r="K24" s="36">
        <v>70</v>
      </c>
      <c r="L24" s="37">
        <v>21</v>
      </c>
    </row>
    <row r="25" spans="1:12" ht="45">
      <c r="A25" s="34" t="s">
        <v>310</v>
      </c>
      <c r="B25" s="34" t="s">
        <v>311</v>
      </c>
      <c r="C25" s="35" t="s">
        <v>307</v>
      </c>
      <c r="D25" s="35" t="s">
        <v>312</v>
      </c>
      <c r="E25" s="34" t="s">
        <v>313</v>
      </c>
      <c r="F25" s="36">
        <v>33</v>
      </c>
      <c r="G25" s="36">
        <v>1565</v>
      </c>
      <c r="H25" s="37">
        <v>53</v>
      </c>
      <c r="I25" s="36">
        <v>129</v>
      </c>
      <c r="J25" s="45" t="s">
        <v>358</v>
      </c>
      <c r="K25" s="36">
        <v>18</v>
      </c>
      <c r="L25" s="37">
        <v>27</v>
      </c>
    </row>
    <row r="26" spans="1:12" ht="30">
      <c r="A26" s="34" t="s">
        <v>314</v>
      </c>
      <c r="B26" s="34" t="s">
        <v>315</v>
      </c>
      <c r="C26" s="35" t="s">
        <v>307</v>
      </c>
      <c r="D26" s="35" t="s">
        <v>316</v>
      </c>
      <c r="E26" s="43"/>
      <c r="F26" s="47" t="s">
        <v>358</v>
      </c>
      <c r="G26" s="36">
        <v>153</v>
      </c>
      <c r="H26" s="46" t="s">
        <v>358</v>
      </c>
      <c r="I26" s="36">
        <v>111</v>
      </c>
      <c r="J26" s="45" t="s">
        <v>358</v>
      </c>
      <c r="K26" s="45" t="s">
        <v>358</v>
      </c>
      <c r="L26" s="45" t="s">
        <v>358</v>
      </c>
    </row>
    <row r="27" spans="1:12">
      <c r="A27" s="34" t="s">
        <v>317</v>
      </c>
      <c r="B27" s="34" t="s">
        <v>318</v>
      </c>
      <c r="C27" s="35" t="s">
        <v>307</v>
      </c>
      <c r="D27" s="35" t="s">
        <v>319</v>
      </c>
      <c r="E27" s="34"/>
      <c r="F27" s="45" t="s">
        <v>358</v>
      </c>
      <c r="G27" s="36">
        <v>753</v>
      </c>
      <c r="H27" s="45" t="s">
        <v>358</v>
      </c>
      <c r="I27" s="46" t="s">
        <v>358</v>
      </c>
      <c r="J27" s="45" t="s">
        <v>358</v>
      </c>
      <c r="K27" s="45" t="s">
        <v>358</v>
      </c>
      <c r="L27" s="45" t="s">
        <v>358</v>
      </c>
    </row>
    <row r="28" spans="1:12">
      <c r="A28" s="34" t="s">
        <v>320</v>
      </c>
      <c r="B28" s="34" t="s">
        <v>321</v>
      </c>
      <c r="C28" s="35" t="s">
        <v>307</v>
      </c>
      <c r="D28" s="35" t="s">
        <v>319</v>
      </c>
      <c r="E28" s="34" t="s">
        <v>322</v>
      </c>
      <c r="F28" s="37">
        <v>49</v>
      </c>
      <c r="G28" s="36">
        <v>1443</v>
      </c>
      <c r="H28" s="36">
        <v>41</v>
      </c>
      <c r="I28" s="36">
        <v>75</v>
      </c>
      <c r="J28" s="36">
        <v>2037</v>
      </c>
      <c r="K28" s="36">
        <v>108</v>
      </c>
      <c r="L28" s="36">
        <v>34</v>
      </c>
    </row>
    <row r="29" spans="1:12">
      <c r="A29" s="34" t="s">
        <v>356</v>
      </c>
      <c r="B29" s="34" t="s">
        <v>323</v>
      </c>
      <c r="C29" s="35" t="s">
        <v>307</v>
      </c>
      <c r="D29" s="35" t="s">
        <v>324</v>
      </c>
      <c r="E29" s="34"/>
      <c r="F29" s="36">
        <v>160</v>
      </c>
      <c r="G29" s="45" t="s">
        <v>358</v>
      </c>
      <c r="H29" s="37">
        <v>27</v>
      </c>
      <c r="I29" s="36">
        <v>39</v>
      </c>
      <c r="J29" s="36">
        <v>572</v>
      </c>
      <c r="K29" s="36">
        <v>126</v>
      </c>
      <c r="L29" s="36">
        <v>123</v>
      </c>
    </row>
    <row r="30" spans="1:12">
      <c r="A30" s="34" t="s">
        <v>325</v>
      </c>
      <c r="B30" s="34" t="s">
        <v>326</v>
      </c>
      <c r="C30" s="35" t="s">
        <v>307</v>
      </c>
      <c r="D30" s="35" t="s">
        <v>324</v>
      </c>
      <c r="E30" s="41" t="s">
        <v>327</v>
      </c>
      <c r="F30" s="36">
        <v>12</v>
      </c>
      <c r="G30" s="36">
        <v>249</v>
      </c>
      <c r="H30" s="36">
        <v>139</v>
      </c>
      <c r="I30" s="36">
        <v>118</v>
      </c>
      <c r="J30" s="36">
        <v>309</v>
      </c>
      <c r="K30" s="36">
        <v>16</v>
      </c>
      <c r="L30" s="37">
        <v>7</v>
      </c>
    </row>
    <row r="31" spans="1:12" ht="30">
      <c r="A31" s="34" t="s">
        <v>328</v>
      </c>
      <c r="B31" s="34" t="s">
        <v>329</v>
      </c>
      <c r="C31" s="35" t="s">
        <v>307</v>
      </c>
      <c r="D31" s="35" t="s">
        <v>330</v>
      </c>
      <c r="E31" s="34" t="s">
        <v>331</v>
      </c>
      <c r="F31" s="47" t="s">
        <v>358</v>
      </c>
      <c r="G31" s="45" t="s">
        <v>358</v>
      </c>
      <c r="H31" s="37">
        <v>799</v>
      </c>
      <c r="I31" s="45" t="s">
        <v>358</v>
      </c>
      <c r="J31" s="36">
        <v>662</v>
      </c>
      <c r="K31" s="36">
        <v>1564</v>
      </c>
      <c r="L31" s="45" t="s">
        <v>358</v>
      </c>
    </row>
    <row r="32" spans="1:12">
      <c r="A32" s="34" t="s">
        <v>332</v>
      </c>
      <c r="B32" s="34" t="s">
        <v>333</v>
      </c>
      <c r="C32" s="35" t="s">
        <v>307</v>
      </c>
      <c r="D32" s="35" t="s">
        <v>334</v>
      </c>
      <c r="E32" s="41" t="s">
        <v>335</v>
      </c>
      <c r="F32" s="36">
        <v>2563</v>
      </c>
      <c r="G32" s="45" t="s">
        <v>358</v>
      </c>
      <c r="H32" s="37">
        <v>32</v>
      </c>
      <c r="I32" s="36">
        <v>2267</v>
      </c>
      <c r="J32" s="45" t="s">
        <v>358</v>
      </c>
      <c r="K32" s="45" t="s">
        <v>358</v>
      </c>
      <c r="L32" s="45" t="s">
        <v>358</v>
      </c>
    </row>
    <row r="33" spans="1:12" ht="30">
      <c r="A33" s="34" t="s">
        <v>336</v>
      </c>
      <c r="B33" s="34" t="s">
        <v>337</v>
      </c>
      <c r="C33" s="35" t="s">
        <v>307</v>
      </c>
      <c r="D33" s="35" t="s">
        <v>338</v>
      </c>
      <c r="E33" s="41"/>
      <c r="F33" s="46" t="s">
        <v>358</v>
      </c>
      <c r="G33" s="45" t="s">
        <v>358</v>
      </c>
      <c r="H33" s="45" t="s">
        <v>358</v>
      </c>
      <c r="I33" s="45" t="s">
        <v>358</v>
      </c>
      <c r="J33" s="45" t="s">
        <v>358</v>
      </c>
      <c r="K33" s="46" t="s">
        <v>358</v>
      </c>
      <c r="L33" s="36">
        <v>1842</v>
      </c>
    </row>
    <row r="34" spans="1:12">
      <c r="A34" s="34" t="s">
        <v>339</v>
      </c>
      <c r="B34" s="34" t="s">
        <v>340</v>
      </c>
      <c r="C34" s="35" t="s">
        <v>307</v>
      </c>
      <c r="D34" s="35" t="s">
        <v>338</v>
      </c>
      <c r="E34" s="34"/>
      <c r="F34" s="37">
        <v>233</v>
      </c>
      <c r="G34" s="36">
        <v>439</v>
      </c>
      <c r="H34" s="36">
        <v>54</v>
      </c>
      <c r="I34" s="36">
        <v>657</v>
      </c>
      <c r="J34" s="45" t="s">
        <v>358</v>
      </c>
      <c r="K34" s="36">
        <v>532</v>
      </c>
      <c r="L34" s="36">
        <v>25</v>
      </c>
    </row>
    <row r="35" spans="1:12">
      <c r="A35" s="34" t="s">
        <v>341</v>
      </c>
      <c r="B35" s="34" t="s">
        <v>340</v>
      </c>
      <c r="C35" s="35" t="s">
        <v>307</v>
      </c>
      <c r="D35" s="35" t="s">
        <v>338</v>
      </c>
      <c r="E35" s="34"/>
      <c r="F35" s="36">
        <v>233</v>
      </c>
      <c r="G35" s="36">
        <v>439</v>
      </c>
      <c r="H35" s="36">
        <v>54</v>
      </c>
      <c r="I35" s="36">
        <v>657</v>
      </c>
      <c r="J35" s="45" t="s">
        <v>358</v>
      </c>
      <c r="K35" s="37">
        <v>532</v>
      </c>
      <c r="L35" s="36">
        <v>25</v>
      </c>
    </row>
    <row r="36" spans="1:12" ht="75">
      <c r="A36" s="34" t="s">
        <v>342</v>
      </c>
      <c r="B36" s="34" t="s">
        <v>343</v>
      </c>
      <c r="C36" s="35" t="s">
        <v>307</v>
      </c>
      <c r="D36" s="35" t="s">
        <v>338</v>
      </c>
      <c r="E36" s="34"/>
      <c r="F36" s="45" t="s">
        <v>358</v>
      </c>
      <c r="G36" s="45" t="s">
        <v>358</v>
      </c>
      <c r="H36" s="45" t="s">
        <v>358</v>
      </c>
      <c r="I36" s="45" t="s">
        <v>358</v>
      </c>
      <c r="J36" s="45" t="s">
        <v>358</v>
      </c>
      <c r="K36" s="46" t="s">
        <v>358</v>
      </c>
      <c r="L36" s="36">
        <v>5485</v>
      </c>
    </row>
    <row r="37" spans="1:12">
      <c r="A37" s="34" t="s">
        <v>344</v>
      </c>
      <c r="B37" s="34" t="s">
        <v>345</v>
      </c>
      <c r="C37" s="35" t="s">
        <v>307</v>
      </c>
      <c r="D37" s="35" t="s">
        <v>338</v>
      </c>
      <c r="E37" s="34"/>
      <c r="F37" s="45" t="s">
        <v>358</v>
      </c>
      <c r="G37" s="45" t="s">
        <v>358</v>
      </c>
      <c r="H37" s="45" t="s">
        <v>358</v>
      </c>
      <c r="I37" s="45" t="s">
        <v>358</v>
      </c>
      <c r="J37" s="45" t="s">
        <v>358</v>
      </c>
      <c r="K37" s="46" t="s">
        <v>358</v>
      </c>
      <c r="L37" s="36">
        <v>5468</v>
      </c>
    </row>
    <row r="38" spans="1:12">
      <c r="A38" s="34" t="s">
        <v>346</v>
      </c>
      <c r="B38" s="34" t="s">
        <v>347</v>
      </c>
      <c r="C38" s="35" t="s">
        <v>307</v>
      </c>
      <c r="D38" s="35" t="s">
        <v>348</v>
      </c>
      <c r="E38" s="34"/>
      <c r="F38" s="36">
        <v>631</v>
      </c>
      <c r="G38" s="36">
        <v>631</v>
      </c>
      <c r="H38" s="36">
        <v>194</v>
      </c>
      <c r="I38" s="45" t="s">
        <v>358</v>
      </c>
      <c r="J38" s="45" t="s">
        <v>358</v>
      </c>
      <c r="K38" s="46" t="s">
        <v>358</v>
      </c>
      <c r="L38" s="36">
        <v>104</v>
      </c>
    </row>
    <row r="39" spans="1:12">
      <c r="A39" s="34" t="s">
        <v>349</v>
      </c>
      <c r="B39" s="34" t="s">
        <v>350</v>
      </c>
      <c r="C39" s="35" t="s">
        <v>351</v>
      </c>
      <c r="D39" s="35" t="s">
        <v>352</v>
      </c>
      <c r="E39" s="34"/>
      <c r="F39" s="46" t="s">
        <v>358</v>
      </c>
      <c r="G39" s="45" t="s">
        <v>358</v>
      </c>
      <c r="H39" s="45" t="s">
        <v>358</v>
      </c>
      <c r="I39" s="45" t="s">
        <v>358</v>
      </c>
      <c r="J39" s="45" t="s">
        <v>358</v>
      </c>
      <c r="K39" s="45" t="s">
        <v>358</v>
      </c>
      <c r="L39" s="45" t="s">
        <v>358</v>
      </c>
    </row>
    <row r="40" spans="1:12">
      <c r="A40" s="44" t="s">
        <v>353</v>
      </c>
      <c r="B40" s="44" t="s">
        <v>354</v>
      </c>
      <c r="C40" s="44" t="s">
        <v>351</v>
      </c>
      <c r="D40" s="38" t="s">
        <v>355</v>
      </c>
      <c r="E40" s="34"/>
      <c r="F40" s="45" t="s">
        <v>358</v>
      </c>
      <c r="G40" s="45" t="s">
        <v>358</v>
      </c>
      <c r="H40" s="45" t="s">
        <v>358</v>
      </c>
      <c r="I40" s="45" t="s">
        <v>358</v>
      </c>
      <c r="J40" s="36">
        <v>2090</v>
      </c>
      <c r="K40" s="37">
        <v>1456</v>
      </c>
      <c r="L40" s="36">
        <v>145</v>
      </c>
    </row>
  </sheetData>
  <mergeCells count="1">
    <mergeCell ref="A1:L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sqref="A1:H8"/>
    </sheetView>
  </sheetViews>
  <sheetFormatPr baseColWidth="10" defaultRowHeight="15" x14ac:dyDescent="0"/>
  <sheetData>
    <row r="1" spans="1:8" ht="16" thickBot="1">
      <c r="A1" s="48" t="s">
        <v>360</v>
      </c>
      <c r="B1" s="49" t="s">
        <v>361</v>
      </c>
      <c r="C1" s="49" t="s">
        <v>362</v>
      </c>
      <c r="D1" s="49" t="s">
        <v>363</v>
      </c>
      <c r="E1" s="49" t="s">
        <v>364</v>
      </c>
      <c r="F1" s="49" t="s">
        <v>365</v>
      </c>
      <c r="G1" s="50" t="s">
        <v>366</v>
      </c>
      <c r="H1" s="50" t="s">
        <v>367</v>
      </c>
    </row>
    <row r="2" spans="1:8" ht="16" thickBot="1">
      <c r="A2" s="51" t="s">
        <v>368</v>
      </c>
      <c r="B2" s="52">
        <v>1.47</v>
      </c>
      <c r="C2" s="52">
        <v>35.14</v>
      </c>
      <c r="D2" s="52">
        <v>0.61</v>
      </c>
      <c r="E2" s="52">
        <v>0</v>
      </c>
      <c r="F2" s="52">
        <v>0.23</v>
      </c>
      <c r="G2" s="53">
        <v>29.760164</v>
      </c>
      <c r="H2" s="53">
        <v>-93.340159</v>
      </c>
    </row>
    <row r="3" spans="1:8" ht="16" thickBot="1">
      <c r="A3" s="51" t="s">
        <v>369</v>
      </c>
      <c r="B3" s="52">
        <v>2.52</v>
      </c>
      <c r="C3" s="52">
        <v>123.49</v>
      </c>
      <c r="D3" s="52">
        <v>85.26</v>
      </c>
      <c r="E3" s="52">
        <v>0.18</v>
      </c>
      <c r="F3" s="52">
        <v>3.81</v>
      </c>
      <c r="G3" s="53">
        <v>29.575344000000001</v>
      </c>
      <c r="H3" s="53">
        <v>-91.538556</v>
      </c>
    </row>
    <row r="4" spans="1:8" ht="16" thickBot="1">
      <c r="A4" s="54" t="s">
        <v>370</v>
      </c>
      <c r="B4" s="52">
        <v>0.94</v>
      </c>
      <c r="C4" s="52">
        <v>20.91</v>
      </c>
      <c r="D4" s="52">
        <v>9.1999999999999993</v>
      </c>
      <c r="E4" s="52">
        <v>0.82</v>
      </c>
      <c r="F4" s="52">
        <v>0.72</v>
      </c>
      <c r="G4" s="53">
        <v>29.348783999999998</v>
      </c>
      <c r="H4" s="53">
        <v>-89.538171000000006</v>
      </c>
    </row>
    <row r="5" spans="1:8" ht="16" thickBot="1">
      <c r="A5" s="55" t="s">
        <v>371</v>
      </c>
      <c r="B5" s="52">
        <v>1.27</v>
      </c>
      <c r="C5" s="52">
        <v>66.97</v>
      </c>
      <c r="D5" s="52">
        <v>4.3600000000000003</v>
      </c>
      <c r="E5" s="52">
        <v>0.26</v>
      </c>
      <c r="F5" s="52">
        <v>2.35</v>
      </c>
      <c r="G5" s="53">
        <v>29.530840000000001</v>
      </c>
      <c r="H5" s="53">
        <v>-92.326147000000006</v>
      </c>
    </row>
    <row r="6" spans="1:8" ht="16" thickBot="1">
      <c r="A6" s="54" t="s">
        <v>372</v>
      </c>
      <c r="B6" s="52">
        <v>1.19</v>
      </c>
      <c r="C6" s="52">
        <v>111.42</v>
      </c>
      <c r="D6" s="52">
        <v>0.23</v>
      </c>
      <c r="E6" s="52">
        <v>0.04</v>
      </c>
      <c r="F6" s="52">
        <v>0.41</v>
      </c>
      <c r="G6" s="53">
        <v>30.003298999999998</v>
      </c>
      <c r="H6" s="53">
        <v>-89.826562999999993</v>
      </c>
    </row>
    <row r="7" spans="1:8" ht="16" thickBot="1">
      <c r="A7" s="56" t="s">
        <v>373</v>
      </c>
      <c r="B7" s="52">
        <v>2.52</v>
      </c>
      <c r="C7" s="52">
        <v>123.49</v>
      </c>
      <c r="D7" s="52">
        <v>85.26</v>
      </c>
      <c r="E7" s="52">
        <v>0.18</v>
      </c>
      <c r="F7" s="52">
        <v>3.81</v>
      </c>
      <c r="G7" s="53">
        <v>29.207082</v>
      </c>
      <c r="H7" s="53">
        <v>-90.647469999999998</v>
      </c>
    </row>
    <row r="8" spans="1:8" ht="16" thickBot="1">
      <c r="A8" s="55" t="s">
        <v>374</v>
      </c>
      <c r="B8" s="52">
        <v>2.52</v>
      </c>
      <c r="C8" s="52">
        <v>123.49</v>
      </c>
      <c r="D8" s="52">
        <v>85.26</v>
      </c>
      <c r="E8" s="52">
        <v>0.18</v>
      </c>
      <c r="F8" s="52">
        <v>3.81</v>
      </c>
      <c r="G8" s="53">
        <v>29.760164</v>
      </c>
      <c r="H8" s="53">
        <v>-93.340159</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JW1</vt:lpstr>
      <vt:lpstr>JW2</vt:lpstr>
      <vt:lpstr>JW3</vt:lpstr>
      <vt:lpstr>JW4</vt:lpstr>
      <vt:lpstr>JWAMPFe</vt:lpstr>
      <vt:lpstr>C &amp; N mixes</vt:lpstr>
      <vt:lpstr>Isolate taxonomy and abundance</vt:lpstr>
      <vt:lpstr>Site 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Cameron Thrash</dc:creator>
  <cp:lastModifiedBy>Michael Henson</cp:lastModifiedBy>
  <dcterms:created xsi:type="dcterms:W3CDTF">2013-11-13T16:51:03Z</dcterms:created>
  <dcterms:modified xsi:type="dcterms:W3CDTF">2018-07-27T17:55:21Z</dcterms:modified>
</cp:coreProperties>
</file>